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drawings/drawing10.xml" ContentType="application/vnd.openxmlformats-officedocument.drawing+xml"/>
  <Override PartName="/xl/tables/table6.xml" ContentType="application/vnd.openxmlformats-officedocument.spreadsheetml.table+xml"/>
  <Override PartName="/xl/drawings/drawing11.xml" ContentType="application/vnd.openxmlformats-officedocument.drawing+xml"/>
  <Override PartName="/xl/tables/table7.xml" ContentType="application/vnd.openxmlformats-officedocument.spreadsheetml.table+xml"/>
  <Override PartName="/xl/drawings/drawing1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3.xml" ContentType="application/vnd.openxmlformats-officedocument.drawing+xml"/>
  <Override PartName="/xl/tables/table22.xml" ContentType="application/vnd.openxmlformats-officedocument.spreadsheetml.table+xml"/>
  <Override PartName="/xl/drawings/drawing14.xml" ContentType="application/vnd.openxmlformats-officedocument.drawing+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drawings/drawing16.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drawings/drawing20.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1.xml" ContentType="application/vnd.openxmlformats-officedocument.drawing+xml"/>
  <Override PartName="/xl/tables/table42.xml" ContentType="application/vnd.openxmlformats-officedocument.spreadsheetml.tab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2.xml" ContentType="application/vnd.openxmlformats-officedocument.drawing+xml"/>
  <Override PartName="/xl/drawings/drawing23.xml" ContentType="application/vnd.openxmlformats-officedocument.drawing+xml"/>
  <Override PartName="/xl/tables/table43.xml" ContentType="application/vnd.openxmlformats-officedocument.spreadsheetml.tab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4.xml" ContentType="application/vnd.openxmlformats-officedocument.drawing+xml"/>
  <Override PartName="/xl/tables/table44.xml" ContentType="application/vnd.openxmlformats-officedocument.spreadsheetml.table+xml"/>
  <Override PartName="/xl/drawings/drawing25.xml" ContentType="application/vnd.openxmlformats-officedocument.drawing+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2.xml" ContentType="application/vnd.openxmlformats-officedocument.drawing+xml"/>
  <Override PartName="/xl/drawings/drawing33.xml" ContentType="application/vnd.openxmlformats-officedocument.drawing+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4.xml" ContentType="application/vnd.openxmlformats-officedocument.drawing+xml"/>
  <Override PartName="/xl/drawings/drawing3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a1bc5884fcb0f331/Desktop/"/>
    </mc:Choice>
  </mc:AlternateContent>
  <xr:revisionPtr revIDLastSave="29" documentId="8_{C9BDE0EE-64A0-4156-A842-5F054B529814}" xr6:coauthVersionLast="47" xr6:coauthVersionMax="47" xr10:uidLastSave="{E656B4F1-DB28-426C-BC9B-6067C7210ACF}"/>
  <bookViews>
    <workbookView xWindow="-110" yWindow="-110" windowWidth="19420" windowHeight="10300" xr2:uid="{76D751B7-4E99-45F6-88BB-1CB7443F0ED4}"/>
  </bookViews>
  <sheets>
    <sheet name="Summary" sheetId="5" r:id="rId1"/>
    <sheet name="Executive Summary" sheetId="33" r:id="rId2"/>
    <sheet name="Assumptions" sheetId="17" r:id="rId3"/>
    <sheet name="Assumption Notes" sheetId="45" r:id="rId4"/>
    <sheet name="WACC" sheetId="42" r:id="rId5"/>
    <sheet name="CAGR Projections" sheetId="43" r:id="rId6"/>
    <sheet name="Return Metrics" sheetId="41" r:id="rId7"/>
    <sheet name="Audit Checks" sheetId="44" r:id="rId8"/>
    <sheet name="Profit Loss" sheetId="1" r:id="rId9"/>
    <sheet name="Balance_Sheet" sheetId="2" r:id="rId10"/>
    <sheet name="Cash Flow" sheetId="3" r:id="rId11"/>
    <sheet name="Common Size" sheetId="6" r:id="rId12"/>
    <sheet name="Ind_P&amp;L" sheetId="7" r:id="rId13"/>
    <sheet name="Ind_bal" sheetId="8" r:id="rId14"/>
    <sheet name="Ind_Cashflow" sheetId="19" r:id="rId15"/>
    <sheet name="Beta" sheetId="10" r:id="rId16"/>
    <sheet name="Regression" sheetId="11" r:id="rId17"/>
    <sheet name="DCF Valuation" sheetId="26" r:id="rId18"/>
    <sheet name="DDM FCFF FCFE RelativeValuation" sheetId="12" r:id="rId19"/>
    <sheet name="Valuation Dashboard" sheetId="27" r:id="rId20"/>
    <sheet name="Competition" sheetId="13" r:id="rId21"/>
    <sheet name="Credit Ratio" sheetId="15" r:id="rId22"/>
    <sheet name="Ratios" sheetId="21" r:id="rId23"/>
    <sheet name="Ind_Data" sheetId="24" r:id="rId24"/>
    <sheet name="Raw P&amp;L" sheetId="22" r:id="rId25"/>
    <sheet name="Raw Balance Sheet" sheetId="23" r:id="rId26"/>
    <sheet name="Model Flow" sheetId="34" r:id="rId27"/>
    <sheet name="Industry Outlook" sheetId="35" r:id="rId28"/>
    <sheet name="Operational Drivers" sheetId="36" r:id="rId29"/>
    <sheet name="Sensitivity Analysis" sheetId="38" r:id="rId30"/>
    <sheet name="Scenario Analysis" sheetId="37" r:id="rId31"/>
    <sheet name="Investment Thesis" sheetId="29" r:id="rId32"/>
    <sheet name="Investment Recommendation" sheetId="32" r:id="rId33"/>
    <sheet name="Risk Analysis" sheetId="31" r:id="rId34"/>
    <sheet name="Documentation Sheet" sheetId="39" r:id="rId35"/>
  </sheets>
  <definedNames>
    <definedName name="_xlchart.v1.0" hidden="1">Summary!$C$65:$C$70</definedName>
    <definedName name="_xlchart.v1.1" hidden="1">Summary!$D$64</definedName>
    <definedName name="_xlchart.v1.2" hidden="1">Summary!$D$65:$D$70</definedName>
    <definedName name="_xlchart.v1.3" hidden="1">'Valuation Dashboard'!$H$25:$H$27</definedName>
    <definedName name="_xlchart.v1.4" hidden="1">'Valuation Dashboard'!$I$25:$I$27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 i="13" l="1"/>
  <c r="D79" i="17"/>
  <c r="D78" i="17"/>
  <c r="D77" i="17"/>
  <c r="D76" i="17"/>
  <c r="D75" i="17"/>
  <c r="E3" i="10"/>
  <c r="D3" i="10"/>
  <c r="F47" i="2"/>
  <c r="E47" i="2"/>
  <c r="D47" i="2"/>
  <c r="C47" i="2"/>
  <c r="B47" i="2"/>
  <c r="B7" i="41"/>
  <c r="B61" i="3"/>
  <c r="B60" i="3" s="1"/>
  <c r="K48" i="3"/>
  <c r="J48" i="3"/>
  <c r="I48" i="3"/>
  <c r="H48" i="3"/>
  <c r="G48" i="3"/>
  <c r="F69" i="3"/>
  <c r="D69" i="3"/>
  <c r="C69" i="3"/>
  <c r="E69" i="3"/>
  <c r="B69" i="3"/>
  <c r="F67" i="3"/>
  <c r="B113" i="39"/>
  <c r="B96" i="32"/>
  <c r="B95" i="32"/>
  <c r="B94" i="32"/>
  <c r="B93" i="32"/>
  <c r="B92" i="32"/>
  <c r="B45" i="32"/>
  <c r="B115" i="39" s="1"/>
  <c r="B59" i="29"/>
  <c r="D38" i="37"/>
  <c r="B3" i="38"/>
  <c r="D77" i="36"/>
  <c r="D76" i="36"/>
  <c r="D75" i="36"/>
  <c r="D72" i="36"/>
  <c r="D71" i="36"/>
  <c r="D70" i="36"/>
  <c r="E66" i="36"/>
  <c r="E65" i="36"/>
  <c r="E64" i="36"/>
  <c r="D60" i="36"/>
  <c r="D59" i="36"/>
  <c r="D58" i="36"/>
  <c r="D57" i="36"/>
  <c r="M73" i="21"/>
  <c r="L73" i="21"/>
  <c r="K73" i="21"/>
  <c r="J73" i="21"/>
  <c r="I73" i="21"/>
  <c r="G73" i="21"/>
  <c r="F73" i="21"/>
  <c r="E73" i="21"/>
  <c r="D73" i="21"/>
  <c r="C73" i="21"/>
  <c r="G72" i="21"/>
  <c r="F72" i="21"/>
  <c r="E72" i="21"/>
  <c r="D72" i="21"/>
  <c r="C72" i="21"/>
  <c r="M71" i="21"/>
  <c r="L71" i="21"/>
  <c r="K71" i="21"/>
  <c r="J71" i="21"/>
  <c r="I71" i="21"/>
  <c r="M70" i="21"/>
  <c r="L70" i="21"/>
  <c r="K70" i="21"/>
  <c r="J70" i="21"/>
  <c r="I70" i="21"/>
  <c r="M67" i="21"/>
  <c r="L67" i="21"/>
  <c r="K67" i="21"/>
  <c r="J67" i="21"/>
  <c r="I67" i="21"/>
  <c r="G67" i="21"/>
  <c r="F67" i="21"/>
  <c r="E67" i="21"/>
  <c r="D67" i="21"/>
  <c r="C67" i="21"/>
  <c r="M66" i="21"/>
  <c r="L66" i="21"/>
  <c r="K66" i="21"/>
  <c r="J66" i="21"/>
  <c r="I66" i="21"/>
  <c r="M65" i="21"/>
  <c r="L65" i="21"/>
  <c r="K65" i="21"/>
  <c r="J65" i="21"/>
  <c r="I65" i="21"/>
  <c r="G65" i="21"/>
  <c r="F65" i="21"/>
  <c r="E65" i="21"/>
  <c r="D65" i="21"/>
  <c r="C65" i="21"/>
  <c r="M64" i="21"/>
  <c r="L64" i="21"/>
  <c r="K64" i="21"/>
  <c r="J64" i="21"/>
  <c r="I64" i="21"/>
  <c r="M59" i="21"/>
  <c r="L59" i="21"/>
  <c r="K59" i="21"/>
  <c r="J59" i="21"/>
  <c r="I59" i="21"/>
  <c r="G59" i="21"/>
  <c r="F59" i="21"/>
  <c r="E59" i="21"/>
  <c r="D59" i="21"/>
  <c r="C59" i="21"/>
  <c r="G58" i="21"/>
  <c r="F58" i="21"/>
  <c r="E58" i="21"/>
  <c r="D58" i="21"/>
  <c r="C58" i="21"/>
  <c r="M56" i="21"/>
  <c r="L56" i="21"/>
  <c r="K56" i="21"/>
  <c r="J56" i="21"/>
  <c r="I56" i="21"/>
  <c r="G56" i="21"/>
  <c r="F56" i="21"/>
  <c r="E56" i="21"/>
  <c r="D56" i="21"/>
  <c r="C56" i="21"/>
  <c r="M52" i="21"/>
  <c r="L52" i="21"/>
  <c r="K52" i="21"/>
  <c r="J52" i="21"/>
  <c r="I52" i="21"/>
  <c r="G52" i="21"/>
  <c r="F52" i="21"/>
  <c r="E52" i="21"/>
  <c r="D52" i="21"/>
  <c r="C52" i="21"/>
  <c r="G51" i="21"/>
  <c r="F51" i="21"/>
  <c r="E51" i="21"/>
  <c r="D51" i="21"/>
  <c r="D57" i="21" s="1"/>
  <c r="C51" i="21"/>
  <c r="M47" i="21"/>
  <c r="L47" i="21"/>
  <c r="K47" i="21"/>
  <c r="J47" i="21"/>
  <c r="I47" i="21"/>
  <c r="G47" i="21"/>
  <c r="F47" i="21"/>
  <c r="E47" i="21"/>
  <c r="D47" i="21"/>
  <c r="C47" i="21"/>
  <c r="M44" i="21"/>
  <c r="L44" i="21"/>
  <c r="K44" i="21"/>
  <c r="J44" i="21"/>
  <c r="I44" i="21"/>
  <c r="G44" i="21"/>
  <c r="F44" i="21"/>
  <c r="E44" i="21"/>
  <c r="D44" i="21"/>
  <c r="C44" i="21"/>
  <c r="M42" i="21"/>
  <c r="L42" i="21"/>
  <c r="K42" i="21"/>
  <c r="J42" i="21"/>
  <c r="I42" i="21"/>
  <c r="M41" i="21"/>
  <c r="L41" i="21"/>
  <c r="K41" i="21"/>
  <c r="J41" i="21"/>
  <c r="I41" i="21"/>
  <c r="G41" i="21"/>
  <c r="D26" i="5" s="1"/>
  <c r="F41" i="21"/>
  <c r="D25" i="5" s="1"/>
  <c r="E41" i="21"/>
  <c r="D24" i="5" s="1"/>
  <c r="D41" i="21"/>
  <c r="D23" i="5" s="1"/>
  <c r="C41" i="21"/>
  <c r="D22" i="5" s="1"/>
  <c r="M37" i="21"/>
  <c r="L37" i="21"/>
  <c r="K37" i="21"/>
  <c r="J37" i="21"/>
  <c r="I37" i="21"/>
  <c r="M36" i="21"/>
  <c r="L36" i="21"/>
  <c r="K36" i="21"/>
  <c r="J36" i="21"/>
  <c r="I36" i="21"/>
  <c r="M34" i="21"/>
  <c r="L34" i="21"/>
  <c r="K34" i="21"/>
  <c r="J34" i="21"/>
  <c r="I34" i="21"/>
  <c r="G34" i="21"/>
  <c r="F34" i="21"/>
  <c r="E34" i="21"/>
  <c r="D34" i="21"/>
  <c r="C34" i="21"/>
  <c r="M33" i="21"/>
  <c r="L33" i="21"/>
  <c r="K33" i="21"/>
  <c r="J33" i="21"/>
  <c r="I33" i="21"/>
  <c r="G33" i="21"/>
  <c r="F33" i="21"/>
  <c r="E33" i="21"/>
  <c r="D33" i="21"/>
  <c r="C33" i="21"/>
  <c r="M30" i="21"/>
  <c r="L30" i="21"/>
  <c r="K30" i="21"/>
  <c r="J30" i="21"/>
  <c r="I30" i="21"/>
  <c r="M29" i="21"/>
  <c r="L29" i="21"/>
  <c r="K29" i="21"/>
  <c r="J29" i="21"/>
  <c r="I29" i="21"/>
  <c r="G28" i="21"/>
  <c r="E7" i="5" s="1"/>
  <c r="F28" i="21"/>
  <c r="F79" i="21" s="1"/>
  <c r="E28" i="21"/>
  <c r="E79" i="21" s="1"/>
  <c r="D28" i="21"/>
  <c r="D79" i="21" s="1"/>
  <c r="C28" i="21"/>
  <c r="M26" i="21"/>
  <c r="L26" i="21"/>
  <c r="K26" i="21"/>
  <c r="J26" i="21"/>
  <c r="I26" i="21"/>
  <c r="M25" i="21"/>
  <c r="L25" i="21"/>
  <c r="K25" i="21"/>
  <c r="J25" i="21"/>
  <c r="I25" i="21"/>
  <c r="G25" i="21"/>
  <c r="F25" i="21"/>
  <c r="E25" i="21"/>
  <c r="D25" i="21"/>
  <c r="C25" i="21"/>
  <c r="M24" i="21"/>
  <c r="L24" i="21"/>
  <c r="K24" i="21"/>
  <c r="J24" i="21"/>
  <c r="I24" i="21"/>
  <c r="G22" i="21"/>
  <c r="F22" i="21"/>
  <c r="E22" i="21"/>
  <c r="D22" i="21"/>
  <c r="M21" i="21"/>
  <c r="M22" i="21" s="1"/>
  <c r="L21" i="21"/>
  <c r="L22" i="21" s="1"/>
  <c r="K21" i="21"/>
  <c r="K22" i="21" s="1"/>
  <c r="J21" i="21"/>
  <c r="J22" i="21" s="1"/>
  <c r="G21" i="21"/>
  <c r="F21" i="21"/>
  <c r="E21" i="21"/>
  <c r="D21" i="21"/>
  <c r="M20" i="21"/>
  <c r="L20" i="21"/>
  <c r="K20" i="21"/>
  <c r="J20" i="21"/>
  <c r="G20" i="21"/>
  <c r="F20" i="21"/>
  <c r="E20" i="21"/>
  <c r="D20" i="21"/>
  <c r="M19" i="21"/>
  <c r="L19" i="21"/>
  <c r="K19" i="21"/>
  <c r="J19" i="21"/>
  <c r="G19" i="21"/>
  <c r="F19" i="21"/>
  <c r="E19" i="21"/>
  <c r="D19" i="21"/>
  <c r="M17" i="21"/>
  <c r="L17" i="21"/>
  <c r="K17" i="21"/>
  <c r="J17" i="21"/>
  <c r="I17" i="21"/>
  <c r="M16" i="21"/>
  <c r="M28" i="21" s="1"/>
  <c r="L16" i="21"/>
  <c r="L28" i="21" s="1"/>
  <c r="K16" i="21"/>
  <c r="K28" i="21" s="1"/>
  <c r="J16" i="21"/>
  <c r="J28" i="21" s="1"/>
  <c r="D80" i="21" s="1"/>
  <c r="I16" i="21"/>
  <c r="I28" i="21" s="1"/>
  <c r="G16" i="21"/>
  <c r="F16" i="21"/>
  <c r="E16" i="21"/>
  <c r="D16" i="21"/>
  <c r="C16" i="21"/>
  <c r="E3" i="5" s="1"/>
  <c r="M15" i="21"/>
  <c r="L15" i="21"/>
  <c r="K15" i="21"/>
  <c r="J15" i="21"/>
  <c r="I15" i="21"/>
  <c r="G15" i="21"/>
  <c r="F15" i="21"/>
  <c r="E15" i="21"/>
  <c r="D15" i="21"/>
  <c r="C15" i="21"/>
  <c r="M14" i="21"/>
  <c r="M35" i="21" s="1"/>
  <c r="L14" i="21"/>
  <c r="L35" i="21" s="1"/>
  <c r="K14" i="21"/>
  <c r="K35" i="21" s="1"/>
  <c r="J14" i="21"/>
  <c r="J35" i="21" s="1"/>
  <c r="I14" i="21"/>
  <c r="I35" i="21" s="1"/>
  <c r="M13" i="21"/>
  <c r="L13" i="21"/>
  <c r="K13" i="21"/>
  <c r="J13" i="21"/>
  <c r="I13" i="21"/>
  <c r="M8" i="21"/>
  <c r="L8" i="21"/>
  <c r="K8" i="21"/>
  <c r="J8" i="21"/>
  <c r="I8" i="21"/>
  <c r="G8" i="21"/>
  <c r="F8" i="21"/>
  <c r="E8" i="21"/>
  <c r="D8" i="21"/>
  <c r="C8" i="21"/>
  <c r="G6" i="21"/>
  <c r="F6" i="21"/>
  <c r="E6" i="21"/>
  <c r="D6" i="21"/>
  <c r="C6" i="21"/>
  <c r="G5" i="21"/>
  <c r="F5" i="21"/>
  <c r="E5" i="21"/>
  <c r="D5" i="21"/>
  <c r="C5" i="21"/>
  <c r="I4" i="21"/>
  <c r="O9" i="13"/>
  <c r="N9" i="13"/>
  <c r="O8" i="13"/>
  <c r="N8" i="13"/>
  <c r="E8" i="13"/>
  <c r="C8" i="13"/>
  <c r="M7" i="13"/>
  <c r="L7" i="13"/>
  <c r="K7" i="13"/>
  <c r="J7" i="13"/>
  <c r="S8" i="13" s="1"/>
  <c r="I7" i="13"/>
  <c r="H7" i="13"/>
  <c r="G7" i="13"/>
  <c r="R8" i="13" s="1"/>
  <c r="M6" i="13"/>
  <c r="L6" i="13"/>
  <c r="K6" i="13"/>
  <c r="J6" i="13"/>
  <c r="S7" i="13" s="1"/>
  <c r="I6" i="13"/>
  <c r="H6" i="13"/>
  <c r="G6" i="13"/>
  <c r="R7" i="13" s="1"/>
  <c r="M5" i="13"/>
  <c r="L5" i="13"/>
  <c r="K5" i="13"/>
  <c r="J5" i="13"/>
  <c r="S6" i="13" s="1"/>
  <c r="I5" i="13"/>
  <c r="H5" i="13"/>
  <c r="G5" i="13"/>
  <c r="R6" i="13" s="1"/>
  <c r="M4" i="13"/>
  <c r="L4" i="13"/>
  <c r="K4" i="13"/>
  <c r="J4" i="13"/>
  <c r="S5" i="13" s="1"/>
  <c r="I4" i="13"/>
  <c r="H4" i="13"/>
  <c r="G4" i="13"/>
  <c r="R5" i="13" s="1"/>
  <c r="M3" i="13"/>
  <c r="L3" i="13"/>
  <c r="K3" i="13"/>
  <c r="J3" i="13"/>
  <c r="S4" i="13" s="1"/>
  <c r="I3" i="13"/>
  <c r="H3" i="13"/>
  <c r="G3" i="13"/>
  <c r="R4" i="13" s="1"/>
  <c r="M2" i="13"/>
  <c r="L2" i="13"/>
  <c r="K2" i="13"/>
  <c r="J2" i="13"/>
  <c r="S3" i="13" s="1"/>
  <c r="I2" i="13"/>
  <c r="H2" i="13"/>
  <c r="G2" i="13"/>
  <c r="D66" i="27"/>
  <c r="D65" i="27"/>
  <c r="D64" i="27"/>
  <c r="D63" i="27"/>
  <c r="D62" i="27"/>
  <c r="A41" i="27"/>
  <c r="F40" i="27"/>
  <c r="E40" i="27"/>
  <c r="D40" i="27"/>
  <c r="C40" i="27"/>
  <c r="B40" i="27"/>
  <c r="F23" i="27"/>
  <c r="E23" i="27"/>
  <c r="D23" i="27"/>
  <c r="C23" i="27"/>
  <c r="B23" i="27"/>
  <c r="B16" i="27"/>
  <c r="B8" i="27"/>
  <c r="E5" i="27"/>
  <c r="B174" i="12"/>
  <c r="B120" i="12"/>
  <c r="B116" i="12"/>
  <c r="C126" i="12" s="1"/>
  <c r="E111" i="12"/>
  <c r="G111" i="12" s="1"/>
  <c r="B106" i="12"/>
  <c r="A95" i="12"/>
  <c r="A94" i="12"/>
  <c r="A93" i="12"/>
  <c r="A92" i="12"/>
  <c r="A91" i="12"/>
  <c r="C74" i="12"/>
  <c r="D60" i="12"/>
  <c r="B42" i="12"/>
  <c r="H40" i="12"/>
  <c r="B44" i="12" s="1"/>
  <c r="H35" i="12"/>
  <c r="H33" i="12"/>
  <c r="G17" i="12"/>
  <c r="F17" i="12"/>
  <c r="E17" i="12"/>
  <c r="D17" i="12"/>
  <c r="C17" i="12"/>
  <c r="B12" i="12"/>
  <c r="L3" i="12"/>
  <c r="K3" i="12"/>
  <c r="J3" i="12"/>
  <c r="I3" i="12"/>
  <c r="H3" i="12"/>
  <c r="G3" i="12"/>
  <c r="G9" i="21" s="1"/>
  <c r="G10" i="21" s="1"/>
  <c r="F3" i="12"/>
  <c r="F9" i="21" s="1"/>
  <c r="F10" i="21" s="1"/>
  <c r="E3" i="12"/>
  <c r="E9" i="21" s="1"/>
  <c r="E10" i="21" s="1"/>
  <c r="D3" i="12"/>
  <c r="C3" i="12"/>
  <c r="C9" i="21" s="1"/>
  <c r="C10" i="21" s="1"/>
  <c r="E48" i="26"/>
  <c r="B12" i="26"/>
  <c r="B117" i="12" s="1"/>
  <c r="B11" i="26"/>
  <c r="B118" i="12" s="1"/>
  <c r="U25" i="11"/>
  <c r="E523" i="10"/>
  <c r="D523" i="10"/>
  <c r="E522" i="10"/>
  <c r="D522" i="10"/>
  <c r="E521" i="10"/>
  <c r="D521" i="10"/>
  <c r="E520" i="10"/>
  <c r="D520" i="10"/>
  <c r="E519" i="10"/>
  <c r="D519" i="10"/>
  <c r="E518" i="10"/>
  <c r="D518" i="10"/>
  <c r="E517" i="10"/>
  <c r="D517" i="10"/>
  <c r="E516" i="10"/>
  <c r="D516" i="10"/>
  <c r="E515" i="10"/>
  <c r="D515" i="10"/>
  <c r="E514" i="10"/>
  <c r="D514" i="10"/>
  <c r="E513" i="10"/>
  <c r="D513" i="10"/>
  <c r="E512" i="10"/>
  <c r="D512" i="10"/>
  <c r="E511" i="10"/>
  <c r="D511" i="10"/>
  <c r="E510" i="10"/>
  <c r="D510" i="10"/>
  <c r="E509" i="10"/>
  <c r="D509" i="10"/>
  <c r="E508" i="10"/>
  <c r="D508" i="10"/>
  <c r="E507" i="10"/>
  <c r="D507" i="10"/>
  <c r="E506" i="10"/>
  <c r="D506" i="10"/>
  <c r="E505" i="10"/>
  <c r="D505" i="10"/>
  <c r="E504" i="10"/>
  <c r="D504" i="10"/>
  <c r="E503" i="10"/>
  <c r="D503" i="10"/>
  <c r="E502" i="10"/>
  <c r="D502" i="10"/>
  <c r="E501" i="10"/>
  <c r="D501" i="10"/>
  <c r="E500" i="10"/>
  <c r="D500" i="10"/>
  <c r="E499" i="10"/>
  <c r="D499" i="10"/>
  <c r="E498" i="10"/>
  <c r="D498" i="10"/>
  <c r="E497" i="10"/>
  <c r="D497" i="10"/>
  <c r="E496" i="10"/>
  <c r="D496" i="10"/>
  <c r="E495" i="10"/>
  <c r="D495" i="10"/>
  <c r="E494" i="10"/>
  <c r="D494" i="10"/>
  <c r="E493" i="10"/>
  <c r="D493" i="10"/>
  <c r="E492" i="10"/>
  <c r="D492" i="10"/>
  <c r="E491" i="10"/>
  <c r="D491" i="10"/>
  <c r="E490" i="10"/>
  <c r="D490" i="10"/>
  <c r="E489" i="10"/>
  <c r="D489" i="10"/>
  <c r="E488" i="10"/>
  <c r="D488" i="10"/>
  <c r="E487" i="10"/>
  <c r="D487" i="10"/>
  <c r="E486" i="10"/>
  <c r="D486" i="10"/>
  <c r="E485" i="10"/>
  <c r="D485" i="10"/>
  <c r="E484" i="10"/>
  <c r="D484" i="10"/>
  <c r="E483" i="10"/>
  <c r="D483" i="10"/>
  <c r="E482" i="10"/>
  <c r="D482" i="10"/>
  <c r="E481" i="10"/>
  <c r="D481" i="10"/>
  <c r="E480" i="10"/>
  <c r="D480" i="10"/>
  <c r="E479" i="10"/>
  <c r="D479" i="10"/>
  <c r="E478" i="10"/>
  <c r="D478" i="10"/>
  <c r="E477" i="10"/>
  <c r="D477" i="10"/>
  <c r="E476" i="10"/>
  <c r="D476" i="10"/>
  <c r="E475" i="10"/>
  <c r="D475" i="10"/>
  <c r="E474" i="10"/>
  <c r="D474" i="10"/>
  <c r="E473" i="10"/>
  <c r="D473" i="10"/>
  <c r="E472" i="10"/>
  <c r="D472" i="10"/>
  <c r="E471" i="10"/>
  <c r="D471" i="10"/>
  <c r="E470" i="10"/>
  <c r="D470" i="10"/>
  <c r="E469" i="10"/>
  <c r="D469" i="10"/>
  <c r="E468" i="10"/>
  <c r="D468" i="10"/>
  <c r="E467" i="10"/>
  <c r="D467" i="10"/>
  <c r="E466" i="10"/>
  <c r="D466" i="10"/>
  <c r="E465" i="10"/>
  <c r="D465" i="10"/>
  <c r="E464" i="10"/>
  <c r="D464" i="10"/>
  <c r="E463" i="10"/>
  <c r="D463" i="10"/>
  <c r="E462" i="10"/>
  <c r="D462" i="10"/>
  <c r="E461" i="10"/>
  <c r="D461" i="10"/>
  <c r="E460" i="10"/>
  <c r="D460" i="10"/>
  <c r="E459" i="10"/>
  <c r="D459" i="10"/>
  <c r="E458" i="10"/>
  <c r="D458" i="10"/>
  <c r="E457" i="10"/>
  <c r="D457" i="10"/>
  <c r="E456" i="10"/>
  <c r="D456" i="10"/>
  <c r="E455" i="10"/>
  <c r="D455" i="10"/>
  <c r="E454" i="10"/>
  <c r="D454" i="10"/>
  <c r="E453" i="10"/>
  <c r="D453" i="10"/>
  <c r="E452" i="10"/>
  <c r="D452" i="10"/>
  <c r="E451" i="10"/>
  <c r="D451" i="10"/>
  <c r="E450" i="10"/>
  <c r="D450" i="10"/>
  <c r="E449" i="10"/>
  <c r="D449" i="10"/>
  <c r="E448" i="10"/>
  <c r="D448" i="10"/>
  <c r="E447" i="10"/>
  <c r="D447" i="10"/>
  <c r="E446" i="10"/>
  <c r="D446" i="10"/>
  <c r="E445" i="10"/>
  <c r="D445" i="10"/>
  <c r="E444" i="10"/>
  <c r="D444" i="10"/>
  <c r="E443" i="10"/>
  <c r="D443" i="10"/>
  <c r="E442" i="10"/>
  <c r="D442" i="10"/>
  <c r="E441" i="10"/>
  <c r="D441" i="10"/>
  <c r="E440" i="10"/>
  <c r="D440" i="10"/>
  <c r="E439" i="10"/>
  <c r="D439" i="10"/>
  <c r="E438" i="10"/>
  <c r="D438" i="10"/>
  <c r="E437" i="10"/>
  <c r="D437" i="10"/>
  <c r="E436" i="10"/>
  <c r="D436" i="10"/>
  <c r="E435" i="10"/>
  <c r="D435" i="10"/>
  <c r="E434" i="10"/>
  <c r="D434" i="10"/>
  <c r="E433" i="10"/>
  <c r="D433" i="10"/>
  <c r="E432" i="10"/>
  <c r="D432" i="10"/>
  <c r="E431" i="10"/>
  <c r="D431" i="10"/>
  <c r="E430" i="10"/>
  <c r="D430" i="10"/>
  <c r="E429" i="10"/>
  <c r="D429" i="10"/>
  <c r="E428" i="10"/>
  <c r="D428" i="10"/>
  <c r="E427" i="10"/>
  <c r="D427" i="10"/>
  <c r="E426" i="10"/>
  <c r="D426" i="10"/>
  <c r="E425" i="10"/>
  <c r="D425" i="10"/>
  <c r="E424" i="10"/>
  <c r="D424" i="10"/>
  <c r="E423" i="10"/>
  <c r="D423" i="10"/>
  <c r="E422" i="10"/>
  <c r="D422" i="10"/>
  <c r="E421" i="10"/>
  <c r="D421" i="10"/>
  <c r="E420" i="10"/>
  <c r="D420" i="10"/>
  <c r="E419" i="10"/>
  <c r="D419" i="10"/>
  <c r="E418" i="10"/>
  <c r="D418" i="10"/>
  <c r="E417" i="10"/>
  <c r="D417" i="10"/>
  <c r="E416" i="10"/>
  <c r="D416" i="10"/>
  <c r="E415" i="10"/>
  <c r="D415" i="10"/>
  <c r="E414" i="10"/>
  <c r="D414" i="10"/>
  <c r="E413" i="10"/>
  <c r="D413" i="10"/>
  <c r="E412" i="10"/>
  <c r="D412" i="10"/>
  <c r="E411" i="10"/>
  <c r="D411" i="10"/>
  <c r="E410" i="10"/>
  <c r="D410" i="10"/>
  <c r="E409" i="10"/>
  <c r="D409" i="10"/>
  <c r="E408" i="10"/>
  <c r="D408" i="10"/>
  <c r="E407" i="10"/>
  <c r="D407" i="10"/>
  <c r="E406" i="10"/>
  <c r="D406" i="10"/>
  <c r="E405" i="10"/>
  <c r="D405" i="10"/>
  <c r="E404" i="10"/>
  <c r="D404" i="10"/>
  <c r="E403" i="10"/>
  <c r="D403" i="10"/>
  <c r="E402" i="10"/>
  <c r="D402" i="10"/>
  <c r="E401" i="10"/>
  <c r="D401" i="10"/>
  <c r="E400" i="10"/>
  <c r="D400" i="10"/>
  <c r="E399" i="10"/>
  <c r="D399" i="10"/>
  <c r="E398" i="10"/>
  <c r="D398" i="10"/>
  <c r="E397" i="10"/>
  <c r="D397" i="10"/>
  <c r="E396" i="10"/>
  <c r="D396" i="10"/>
  <c r="E395" i="10"/>
  <c r="D395" i="10"/>
  <c r="E394" i="10"/>
  <c r="D394" i="10"/>
  <c r="E393" i="10"/>
  <c r="D393" i="10"/>
  <c r="E392" i="10"/>
  <c r="D392" i="10"/>
  <c r="E391" i="10"/>
  <c r="D391" i="10"/>
  <c r="E390" i="10"/>
  <c r="D390" i="10"/>
  <c r="E389" i="10"/>
  <c r="D389" i="10"/>
  <c r="E388" i="10"/>
  <c r="D388" i="10"/>
  <c r="E387" i="10"/>
  <c r="D387" i="10"/>
  <c r="E386" i="10"/>
  <c r="D386" i="10"/>
  <c r="E385" i="10"/>
  <c r="D385" i="10"/>
  <c r="E384" i="10"/>
  <c r="D384" i="10"/>
  <c r="E383" i="10"/>
  <c r="D383" i="10"/>
  <c r="E382" i="10"/>
  <c r="D382" i="10"/>
  <c r="E381" i="10"/>
  <c r="D381" i="10"/>
  <c r="E380" i="10"/>
  <c r="D380" i="10"/>
  <c r="E379" i="10"/>
  <c r="D379" i="10"/>
  <c r="E378" i="10"/>
  <c r="D378" i="10"/>
  <c r="E377" i="10"/>
  <c r="D377" i="10"/>
  <c r="E376" i="10"/>
  <c r="D376" i="10"/>
  <c r="E375" i="10"/>
  <c r="D375" i="10"/>
  <c r="E374" i="10"/>
  <c r="D374" i="10"/>
  <c r="E373" i="10"/>
  <c r="D373" i="10"/>
  <c r="E372" i="10"/>
  <c r="D372" i="10"/>
  <c r="E371" i="10"/>
  <c r="D371" i="10"/>
  <c r="E370" i="10"/>
  <c r="D370" i="10"/>
  <c r="E369" i="10"/>
  <c r="D369" i="10"/>
  <c r="E368" i="10"/>
  <c r="D368" i="10"/>
  <c r="E367" i="10"/>
  <c r="D367" i="10"/>
  <c r="E366" i="10"/>
  <c r="D366" i="10"/>
  <c r="E365" i="10"/>
  <c r="D365" i="10"/>
  <c r="E364" i="10"/>
  <c r="D364" i="10"/>
  <c r="E363" i="10"/>
  <c r="D363" i="10"/>
  <c r="E362" i="10"/>
  <c r="D362" i="10"/>
  <c r="E361" i="10"/>
  <c r="D361" i="10"/>
  <c r="E360" i="10"/>
  <c r="D360" i="10"/>
  <c r="E359" i="10"/>
  <c r="D359" i="10"/>
  <c r="E358" i="10"/>
  <c r="D358" i="10"/>
  <c r="E357" i="10"/>
  <c r="D357" i="10"/>
  <c r="E356" i="10"/>
  <c r="D356" i="10"/>
  <c r="E355" i="10"/>
  <c r="D355" i="10"/>
  <c r="E354" i="10"/>
  <c r="D354" i="10"/>
  <c r="E353" i="10"/>
  <c r="D353" i="10"/>
  <c r="E352" i="10"/>
  <c r="D352" i="10"/>
  <c r="E351" i="10"/>
  <c r="D351" i="10"/>
  <c r="E350" i="10"/>
  <c r="D350" i="10"/>
  <c r="E349" i="10"/>
  <c r="D349" i="10"/>
  <c r="E348" i="10"/>
  <c r="D348" i="10"/>
  <c r="E347" i="10"/>
  <c r="D347" i="10"/>
  <c r="E346" i="10"/>
  <c r="D346" i="10"/>
  <c r="E345" i="10"/>
  <c r="D345" i="10"/>
  <c r="E344" i="10"/>
  <c r="D344" i="10"/>
  <c r="E343" i="10"/>
  <c r="D343" i="10"/>
  <c r="E342" i="10"/>
  <c r="D342" i="10"/>
  <c r="E341" i="10"/>
  <c r="D341" i="10"/>
  <c r="E340" i="10"/>
  <c r="D340" i="10"/>
  <c r="E339" i="10"/>
  <c r="D339" i="10"/>
  <c r="E338" i="10"/>
  <c r="D338" i="10"/>
  <c r="E337" i="10"/>
  <c r="D337" i="10"/>
  <c r="E336" i="10"/>
  <c r="D336" i="10"/>
  <c r="E335" i="10"/>
  <c r="D335" i="10"/>
  <c r="E334" i="10"/>
  <c r="D334" i="10"/>
  <c r="E333" i="10"/>
  <c r="D333" i="10"/>
  <c r="E332" i="10"/>
  <c r="D332" i="10"/>
  <c r="E331" i="10"/>
  <c r="D331" i="10"/>
  <c r="E330" i="10"/>
  <c r="D330" i="10"/>
  <c r="E329" i="10"/>
  <c r="D329" i="10"/>
  <c r="E328" i="10"/>
  <c r="D328" i="10"/>
  <c r="E327" i="10"/>
  <c r="D327" i="10"/>
  <c r="E326" i="10"/>
  <c r="D326" i="10"/>
  <c r="E325" i="10"/>
  <c r="D325" i="10"/>
  <c r="E324" i="10"/>
  <c r="D324" i="10"/>
  <c r="E323" i="10"/>
  <c r="D323" i="10"/>
  <c r="E322" i="10"/>
  <c r="D322" i="10"/>
  <c r="E321" i="10"/>
  <c r="D321" i="10"/>
  <c r="E320" i="10"/>
  <c r="D320" i="10"/>
  <c r="E319" i="10"/>
  <c r="D319" i="10"/>
  <c r="E318" i="10"/>
  <c r="D318" i="10"/>
  <c r="E317" i="10"/>
  <c r="D317" i="10"/>
  <c r="E316" i="10"/>
  <c r="D316" i="10"/>
  <c r="E315" i="10"/>
  <c r="D315" i="10"/>
  <c r="E314" i="10"/>
  <c r="D314" i="10"/>
  <c r="E313" i="10"/>
  <c r="D313" i="10"/>
  <c r="E312" i="10"/>
  <c r="D312" i="10"/>
  <c r="E311" i="10"/>
  <c r="D311" i="10"/>
  <c r="E310" i="10"/>
  <c r="D310" i="10"/>
  <c r="E309" i="10"/>
  <c r="D309" i="10"/>
  <c r="E308" i="10"/>
  <c r="D308" i="10"/>
  <c r="E307" i="10"/>
  <c r="D307" i="10"/>
  <c r="E306" i="10"/>
  <c r="D306" i="10"/>
  <c r="E305" i="10"/>
  <c r="D305" i="10"/>
  <c r="E304" i="10"/>
  <c r="D304" i="10"/>
  <c r="E303" i="10"/>
  <c r="D303" i="10"/>
  <c r="E302" i="10"/>
  <c r="D302" i="10"/>
  <c r="E301" i="10"/>
  <c r="D301" i="10"/>
  <c r="E300" i="10"/>
  <c r="D300" i="10"/>
  <c r="E299" i="10"/>
  <c r="D299" i="10"/>
  <c r="E298" i="10"/>
  <c r="D298" i="10"/>
  <c r="E297" i="10"/>
  <c r="D297" i="10"/>
  <c r="E296" i="10"/>
  <c r="D296" i="10"/>
  <c r="E295" i="10"/>
  <c r="D295" i="10"/>
  <c r="E294" i="10"/>
  <c r="D294" i="10"/>
  <c r="E293" i="10"/>
  <c r="D293" i="10"/>
  <c r="E292" i="10"/>
  <c r="D292" i="10"/>
  <c r="E291" i="10"/>
  <c r="D291" i="10"/>
  <c r="E290" i="10"/>
  <c r="D290" i="10"/>
  <c r="E289" i="10"/>
  <c r="D289" i="10"/>
  <c r="E288" i="10"/>
  <c r="D288" i="10"/>
  <c r="E287" i="10"/>
  <c r="D287" i="10"/>
  <c r="E286" i="10"/>
  <c r="D286" i="10"/>
  <c r="E285" i="10"/>
  <c r="D285" i="10"/>
  <c r="E284" i="10"/>
  <c r="D284" i="10"/>
  <c r="E283" i="10"/>
  <c r="D283" i="10"/>
  <c r="E282" i="10"/>
  <c r="D282" i="10"/>
  <c r="E281" i="10"/>
  <c r="D281" i="10"/>
  <c r="E280" i="10"/>
  <c r="D280" i="10"/>
  <c r="E279" i="10"/>
  <c r="D279" i="10"/>
  <c r="E278" i="10"/>
  <c r="D278" i="10"/>
  <c r="E277" i="10"/>
  <c r="D277" i="10"/>
  <c r="E276" i="10"/>
  <c r="D276" i="10"/>
  <c r="E275" i="10"/>
  <c r="D275" i="10"/>
  <c r="E274" i="10"/>
  <c r="D274" i="10"/>
  <c r="E273" i="10"/>
  <c r="D273" i="10"/>
  <c r="E272" i="10"/>
  <c r="D272" i="10"/>
  <c r="E271" i="10"/>
  <c r="D271" i="10"/>
  <c r="E270" i="10"/>
  <c r="D270" i="10"/>
  <c r="E269" i="10"/>
  <c r="D269" i="10"/>
  <c r="E268" i="10"/>
  <c r="D268" i="10"/>
  <c r="E267" i="10"/>
  <c r="D267" i="10"/>
  <c r="E266" i="10"/>
  <c r="D266" i="10"/>
  <c r="E265" i="10"/>
  <c r="D265" i="10"/>
  <c r="E264" i="10"/>
  <c r="D264" i="10"/>
  <c r="E263" i="10"/>
  <c r="D263" i="10"/>
  <c r="E262" i="10"/>
  <c r="D262" i="10"/>
  <c r="E261" i="10"/>
  <c r="D261" i="10"/>
  <c r="E260" i="10"/>
  <c r="D260" i="10"/>
  <c r="E259" i="10"/>
  <c r="D259" i="10"/>
  <c r="E258" i="10"/>
  <c r="D258" i="10"/>
  <c r="E257" i="10"/>
  <c r="D257" i="10"/>
  <c r="E256" i="10"/>
  <c r="D256" i="10"/>
  <c r="E255" i="10"/>
  <c r="D255" i="10"/>
  <c r="E254" i="10"/>
  <c r="D254" i="10"/>
  <c r="E253" i="10"/>
  <c r="D253" i="10"/>
  <c r="E252" i="10"/>
  <c r="D252" i="10"/>
  <c r="E251" i="10"/>
  <c r="D251" i="10"/>
  <c r="E250" i="10"/>
  <c r="D250" i="10"/>
  <c r="E249" i="10"/>
  <c r="D249" i="10"/>
  <c r="E248" i="10"/>
  <c r="D248" i="10"/>
  <c r="E247" i="10"/>
  <c r="D247" i="10"/>
  <c r="E246" i="10"/>
  <c r="D246" i="10"/>
  <c r="E245" i="10"/>
  <c r="D245" i="10"/>
  <c r="E244" i="10"/>
  <c r="D244" i="10"/>
  <c r="E243" i="10"/>
  <c r="D243" i="10"/>
  <c r="E242" i="10"/>
  <c r="D242" i="10"/>
  <c r="E241" i="10"/>
  <c r="D241" i="10"/>
  <c r="E240" i="10"/>
  <c r="D240" i="10"/>
  <c r="E239" i="10"/>
  <c r="D239" i="10"/>
  <c r="E238" i="10"/>
  <c r="D238" i="10"/>
  <c r="E237" i="10"/>
  <c r="D237" i="10"/>
  <c r="E236" i="10"/>
  <c r="D236" i="10"/>
  <c r="E235" i="10"/>
  <c r="D235" i="10"/>
  <c r="E234" i="10"/>
  <c r="D234" i="10"/>
  <c r="E233" i="10"/>
  <c r="D233" i="10"/>
  <c r="E232" i="10"/>
  <c r="D232" i="10"/>
  <c r="E231" i="10"/>
  <c r="D231" i="10"/>
  <c r="E230" i="10"/>
  <c r="D230" i="10"/>
  <c r="E229" i="10"/>
  <c r="D229" i="10"/>
  <c r="E228" i="10"/>
  <c r="D228" i="10"/>
  <c r="E227" i="10"/>
  <c r="D227" i="10"/>
  <c r="E226" i="10"/>
  <c r="D226" i="10"/>
  <c r="E225" i="10"/>
  <c r="D225" i="10"/>
  <c r="E224" i="10"/>
  <c r="D224" i="10"/>
  <c r="E223" i="10"/>
  <c r="D223" i="10"/>
  <c r="E222" i="10"/>
  <c r="D222" i="10"/>
  <c r="E221" i="10"/>
  <c r="D221" i="10"/>
  <c r="E220" i="10"/>
  <c r="D220" i="10"/>
  <c r="E219" i="10"/>
  <c r="D219" i="10"/>
  <c r="E218" i="10"/>
  <c r="D218" i="10"/>
  <c r="E217" i="10"/>
  <c r="D217" i="10"/>
  <c r="E216" i="10"/>
  <c r="D216" i="10"/>
  <c r="E215" i="10"/>
  <c r="D215" i="10"/>
  <c r="E214" i="10"/>
  <c r="D214" i="10"/>
  <c r="E213" i="10"/>
  <c r="D213" i="10"/>
  <c r="E212" i="10"/>
  <c r="D212" i="10"/>
  <c r="E211" i="10"/>
  <c r="D211" i="10"/>
  <c r="E210" i="10"/>
  <c r="D210" i="10"/>
  <c r="E209" i="10"/>
  <c r="D209" i="10"/>
  <c r="E208" i="10"/>
  <c r="D208" i="10"/>
  <c r="E207" i="10"/>
  <c r="D207" i="10"/>
  <c r="E206" i="10"/>
  <c r="D206" i="10"/>
  <c r="E205" i="10"/>
  <c r="D205" i="10"/>
  <c r="E204" i="10"/>
  <c r="D204" i="10"/>
  <c r="E203" i="10"/>
  <c r="D203" i="10"/>
  <c r="E202" i="10"/>
  <c r="D202" i="10"/>
  <c r="E201" i="10"/>
  <c r="D201" i="10"/>
  <c r="E200" i="10"/>
  <c r="D200" i="10"/>
  <c r="E199" i="10"/>
  <c r="D199" i="10"/>
  <c r="E198" i="10"/>
  <c r="D198" i="10"/>
  <c r="E197" i="10"/>
  <c r="D197" i="10"/>
  <c r="E196" i="10"/>
  <c r="D196" i="10"/>
  <c r="E195" i="10"/>
  <c r="D195" i="10"/>
  <c r="E194" i="10"/>
  <c r="D194" i="10"/>
  <c r="E193" i="10"/>
  <c r="D193" i="10"/>
  <c r="E192" i="10"/>
  <c r="D192" i="10"/>
  <c r="E191" i="10"/>
  <c r="D191" i="10"/>
  <c r="E190" i="10"/>
  <c r="D190" i="10"/>
  <c r="E189" i="10"/>
  <c r="D189" i="10"/>
  <c r="E188" i="10"/>
  <c r="D188" i="10"/>
  <c r="E187" i="10"/>
  <c r="D187" i="10"/>
  <c r="E186" i="10"/>
  <c r="D186" i="10"/>
  <c r="E185" i="10"/>
  <c r="D185" i="10"/>
  <c r="E184" i="10"/>
  <c r="D184" i="10"/>
  <c r="E183" i="10"/>
  <c r="D183" i="10"/>
  <c r="E182" i="10"/>
  <c r="D182" i="10"/>
  <c r="E181" i="10"/>
  <c r="D181" i="10"/>
  <c r="E180" i="10"/>
  <c r="D180" i="10"/>
  <c r="E179" i="10"/>
  <c r="D179" i="10"/>
  <c r="E178" i="10"/>
  <c r="D178" i="10"/>
  <c r="E177" i="10"/>
  <c r="D177" i="10"/>
  <c r="E176" i="10"/>
  <c r="D176" i="10"/>
  <c r="E175" i="10"/>
  <c r="D175" i="10"/>
  <c r="E174" i="10"/>
  <c r="D174" i="10"/>
  <c r="E173" i="10"/>
  <c r="D173" i="10"/>
  <c r="E172" i="10"/>
  <c r="D172" i="10"/>
  <c r="E171" i="10"/>
  <c r="D171" i="10"/>
  <c r="E170" i="10"/>
  <c r="D170" i="10"/>
  <c r="E169" i="10"/>
  <c r="D169" i="10"/>
  <c r="E168" i="10"/>
  <c r="D168" i="10"/>
  <c r="E167" i="10"/>
  <c r="D167" i="10"/>
  <c r="E166" i="10"/>
  <c r="D166" i="10"/>
  <c r="E165" i="10"/>
  <c r="D165" i="10"/>
  <c r="E164" i="10"/>
  <c r="D164" i="10"/>
  <c r="E163" i="10"/>
  <c r="D163" i="10"/>
  <c r="E162" i="10"/>
  <c r="D162" i="10"/>
  <c r="E161" i="10"/>
  <c r="D161" i="10"/>
  <c r="E160" i="10"/>
  <c r="D160" i="10"/>
  <c r="E159" i="10"/>
  <c r="D159" i="10"/>
  <c r="E158" i="10"/>
  <c r="D158" i="10"/>
  <c r="E157" i="10"/>
  <c r="D157" i="10"/>
  <c r="E156" i="10"/>
  <c r="D156" i="10"/>
  <c r="E155" i="10"/>
  <c r="D155" i="10"/>
  <c r="E154" i="10"/>
  <c r="D154" i="10"/>
  <c r="E153" i="10"/>
  <c r="D153" i="10"/>
  <c r="E152" i="10"/>
  <c r="D152" i="10"/>
  <c r="E151" i="10"/>
  <c r="D151" i="10"/>
  <c r="E150" i="10"/>
  <c r="D150" i="10"/>
  <c r="E149" i="10"/>
  <c r="D149" i="10"/>
  <c r="E148" i="10"/>
  <c r="D148" i="10"/>
  <c r="E147" i="10"/>
  <c r="D147" i="10"/>
  <c r="E146" i="10"/>
  <c r="D146" i="10"/>
  <c r="E145" i="10"/>
  <c r="D145" i="10"/>
  <c r="E144" i="10"/>
  <c r="D144" i="10"/>
  <c r="E143" i="10"/>
  <c r="D143" i="10"/>
  <c r="E142" i="10"/>
  <c r="D142" i="10"/>
  <c r="E141" i="10"/>
  <c r="D141" i="10"/>
  <c r="E140" i="10"/>
  <c r="D140" i="10"/>
  <c r="E139" i="10"/>
  <c r="D139" i="10"/>
  <c r="E138" i="10"/>
  <c r="D138" i="10"/>
  <c r="E137" i="10"/>
  <c r="D137" i="10"/>
  <c r="E136" i="10"/>
  <c r="D136" i="10"/>
  <c r="E135" i="10"/>
  <c r="D135" i="10"/>
  <c r="E134" i="10"/>
  <c r="D134" i="10"/>
  <c r="E133" i="10"/>
  <c r="D133" i="10"/>
  <c r="E132" i="10"/>
  <c r="D132" i="10"/>
  <c r="E131" i="10"/>
  <c r="D131" i="10"/>
  <c r="E130" i="10"/>
  <c r="D130" i="10"/>
  <c r="E129" i="10"/>
  <c r="D129" i="10"/>
  <c r="E128" i="10"/>
  <c r="D128" i="10"/>
  <c r="E127" i="10"/>
  <c r="D127" i="10"/>
  <c r="E126" i="10"/>
  <c r="D126" i="10"/>
  <c r="E125" i="10"/>
  <c r="D125" i="10"/>
  <c r="E124" i="10"/>
  <c r="D124" i="10"/>
  <c r="E123" i="10"/>
  <c r="D123" i="10"/>
  <c r="E122" i="10"/>
  <c r="D122" i="10"/>
  <c r="E121" i="10"/>
  <c r="D121" i="10"/>
  <c r="E120" i="10"/>
  <c r="D120" i="10"/>
  <c r="E119" i="10"/>
  <c r="D119" i="10"/>
  <c r="E118" i="10"/>
  <c r="D118" i="10"/>
  <c r="E117" i="10"/>
  <c r="D117" i="10"/>
  <c r="E116" i="10"/>
  <c r="D116" i="10"/>
  <c r="E115" i="10"/>
  <c r="D115" i="10"/>
  <c r="E114" i="10"/>
  <c r="D114" i="10"/>
  <c r="E113" i="10"/>
  <c r="D113" i="10"/>
  <c r="E112" i="10"/>
  <c r="D112" i="10"/>
  <c r="E111" i="10"/>
  <c r="D111" i="10"/>
  <c r="E110" i="10"/>
  <c r="D110" i="10"/>
  <c r="E109" i="10"/>
  <c r="D109" i="10"/>
  <c r="E108" i="10"/>
  <c r="D108" i="10"/>
  <c r="E107" i="10"/>
  <c r="D107" i="10"/>
  <c r="E106" i="10"/>
  <c r="D106" i="10"/>
  <c r="E105" i="10"/>
  <c r="D105" i="10"/>
  <c r="E104" i="10"/>
  <c r="D104" i="10"/>
  <c r="E103" i="10"/>
  <c r="D103" i="10"/>
  <c r="E102" i="10"/>
  <c r="D102" i="10"/>
  <c r="E101" i="10"/>
  <c r="D101" i="10"/>
  <c r="E100" i="10"/>
  <c r="D100" i="10"/>
  <c r="E99" i="10"/>
  <c r="D99" i="10"/>
  <c r="E98" i="10"/>
  <c r="D98" i="10"/>
  <c r="E97" i="10"/>
  <c r="D97" i="10"/>
  <c r="E96" i="10"/>
  <c r="D96" i="10"/>
  <c r="E95" i="10"/>
  <c r="D95" i="10"/>
  <c r="E94" i="10"/>
  <c r="D94" i="10"/>
  <c r="E93" i="10"/>
  <c r="D93" i="10"/>
  <c r="E92" i="10"/>
  <c r="D92" i="10"/>
  <c r="E91" i="10"/>
  <c r="D91" i="10"/>
  <c r="E90" i="10"/>
  <c r="D90" i="10"/>
  <c r="E89" i="10"/>
  <c r="D89" i="10"/>
  <c r="E88" i="10"/>
  <c r="D88" i="10"/>
  <c r="E87" i="10"/>
  <c r="D87" i="10"/>
  <c r="E86" i="10"/>
  <c r="D86" i="10"/>
  <c r="E85" i="10"/>
  <c r="D85" i="10"/>
  <c r="E84" i="10"/>
  <c r="D84" i="10"/>
  <c r="E83" i="10"/>
  <c r="D83" i="10"/>
  <c r="E82" i="10"/>
  <c r="D82" i="10"/>
  <c r="E81" i="10"/>
  <c r="D81" i="10"/>
  <c r="E80" i="10"/>
  <c r="D80" i="10"/>
  <c r="E79" i="10"/>
  <c r="D79" i="10"/>
  <c r="E78" i="10"/>
  <c r="D78" i="10"/>
  <c r="E77" i="10"/>
  <c r="D77" i="10"/>
  <c r="E76" i="10"/>
  <c r="D76" i="10"/>
  <c r="E75" i="10"/>
  <c r="D75" i="10"/>
  <c r="E74" i="10"/>
  <c r="D74" i="10"/>
  <c r="E73" i="10"/>
  <c r="D73" i="10"/>
  <c r="E72" i="10"/>
  <c r="D72" i="10"/>
  <c r="E71" i="10"/>
  <c r="D71" i="10"/>
  <c r="E70" i="10"/>
  <c r="D70" i="10"/>
  <c r="E69" i="10"/>
  <c r="D69" i="10"/>
  <c r="E68" i="10"/>
  <c r="D68" i="10"/>
  <c r="E67" i="10"/>
  <c r="D67" i="10"/>
  <c r="E66" i="10"/>
  <c r="D66" i="10"/>
  <c r="E65" i="10"/>
  <c r="D65" i="10"/>
  <c r="E64" i="10"/>
  <c r="D64" i="10"/>
  <c r="E63" i="10"/>
  <c r="D63" i="10"/>
  <c r="E62" i="10"/>
  <c r="D62" i="10"/>
  <c r="E61" i="10"/>
  <c r="D61" i="10"/>
  <c r="E60" i="10"/>
  <c r="D60" i="10"/>
  <c r="E59" i="10"/>
  <c r="D59" i="10"/>
  <c r="E58" i="10"/>
  <c r="D58" i="10"/>
  <c r="E57" i="10"/>
  <c r="D57" i="10"/>
  <c r="E56" i="10"/>
  <c r="D56" i="10"/>
  <c r="E55" i="10"/>
  <c r="D55" i="10"/>
  <c r="E54" i="10"/>
  <c r="D54" i="10"/>
  <c r="E53" i="10"/>
  <c r="D53" i="10"/>
  <c r="E52" i="10"/>
  <c r="D52" i="10"/>
  <c r="E51" i="10"/>
  <c r="D51" i="10"/>
  <c r="E50" i="10"/>
  <c r="D50" i="10"/>
  <c r="E49" i="10"/>
  <c r="D49" i="10"/>
  <c r="E48" i="10"/>
  <c r="D48" i="10"/>
  <c r="E47" i="10"/>
  <c r="D47" i="10"/>
  <c r="E46" i="10"/>
  <c r="D46" i="10"/>
  <c r="E45" i="10"/>
  <c r="D45" i="10"/>
  <c r="E44" i="10"/>
  <c r="D44" i="10"/>
  <c r="E43" i="10"/>
  <c r="D43" i="10"/>
  <c r="E42" i="10"/>
  <c r="D42" i="10"/>
  <c r="E41" i="10"/>
  <c r="D41" i="10"/>
  <c r="E40" i="10"/>
  <c r="D40" i="10"/>
  <c r="E39" i="10"/>
  <c r="D39" i="10"/>
  <c r="E38" i="10"/>
  <c r="D38" i="10"/>
  <c r="E37" i="10"/>
  <c r="D37" i="10"/>
  <c r="E36" i="10"/>
  <c r="D36" i="10"/>
  <c r="E35" i="10"/>
  <c r="D35" i="10"/>
  <c r="E34" i="10"/>
  <c r="D34" i="10"/>
  <c r="E33" i="10"/>
  <c r="D33" i="10"/>
  <c r="E32" i="10"/>
  <c r="D32" i="10"/>
  <c r="E31" i="10"/>
  <c r="D31" i="10"/>
  <c r="E30" i="10"/>
  <c r="D30" i="10"/>
  <c r="E29" i="10"/>
  <c r="D29" i="10"/>
  <c r="E28" i="10"/>
  <c r="D28" i="10"/>
  <c r="E27" i="10"/>
  <c r="D27" i="10"/>
  <c r="E26" i="10"/>
  <c r="D26" i="10"/>
  <c r="E25" i="10"/>
  <c r="D25" i="10"/>
  <c r="E24" i="10"/>
  <c r="D24" i="10"/>
  <c r="E23" i="10"/>
  <c r="D23" i="10"/>
  <c r="E22" i="10"/>
  <c r="D22" i="10"/>
  <c r="E21" i="10"/>
  <c r="D21" i="10"/>
  <c r="E20" i="10"/>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E6" i="10"/>
  <c r="D6" i="10"/>
  <c r="E5" i="10"/>
  <c r="D5" i="10"/>
  <c r="E4" i="10"/>
  <c r="D4" i="10"/>
  <c r="F31" i="19"/>
  <c r="E31" i="19"/>
  <c r="D31" i="19"/>
  <c r="C31" i="19"/>
  <c r="B31" i="19"/>
  <c r="F4" i="8"/>
  <c r="F35" i="8" s="1"/>
  <c r="E4" i="8"/>
  <c r="E35" i="8" s="1"/>
  <c r="D4" i="8"/>
  <c r="D35" i="8" s="1"/>
  <c r="C4" i="8"/>
  <c r="J72" i="21" s="1"/>
  <c r="B4" i="8"/>
  <c r="F26" i="7"/>
  <c r="E26" i="7"/>
  <c r="D26" i="7"/>
  <c r="C26" i="7"/>
  <c r="B26" i="7"/>
  <c r="F25" i="7"/>
  <c r="E25" i="7"/>
  <c r="D25" i="7"/>
  <c r="C25" i="7"/>
  <c r="B25" i="7"/>
  <c r="F23" i="7"/>
  <c r="E23" i="7"/>
  <c r="D23" i="7"/>
  <c r="C23" i="7"/>
  <c r="B23" i="7"/>
  <c r="F22" i="7"/>
  <c r="E22" i="7"/>
  <c r="L51" i="21" s="1"/>
  <c r="D22" i="7"/>
  <c r="D24" i="7" s="1"/>
  <c r="C22" i="7"/>
  <c r="B22" i="7"/>
  <c r="B95" i="6"/>
  <c r="B94" i="6"/>
  <c r="B93" i="6"/>
  <c r="H36" i="12" s="1"/>
  <c r="B92" i="6"/>
  <c r="F86" i="6"/>
  <c r="E86" i="6"/>
  <c r="D86" i="6"/>
  <c r="C86" i="6"/>
  <c r="B86" i="6"/>
  <c r="F78" i="6"/>
  <c r="E78" i="6"/>
  <c r="D78" i="6"/>
  <c r="C78" i="6"/>
  <c r="B78" i="6"/>
  <c r="F77" i="6"/>
  <c r="E77" i="6"/>
  <c r="D77" i="6"/>
  <c r="C77" i="6"/>
  <c r="B77" i="6"/>
  <c r="F75" i="6"/>
  <c r="E75" i="6"/>
  <c r="D75" i="6"/>
  <c r="C75" i="6"/>
  <c r="B75" i="6"/>
  <c r="F74" i="6"/>
  <c r="B70" i="6"/>
  <c r="B68" i="6"/>
  <c r="B66" i="6"/>
  <c r="K55" i="6"/>
  <c r="J55" i="6"/>
  <c r="I55" i="6"/>
  <c r="H55" i="6"/>
  <c r="G55" i="6"/>
  <c r="F55" i="6"/>
  <c r="E55" i="6"/>
  <c r="D55" i="6"/>
  <c r="C55" i="6"/>
  <c r="B55" i="6"/>
  <c r="F54" i="6"/>
  <c r="E54" i="6"/>
  <c r="D54" i="6"/>
  <c r="C54" i="6"/>
  <c r="B54" i="6"/>
  <c r="F51" i="6"/>
  <c r="E51" i="6"/>
  <c r="D51" i="6"/>
  <c r="C51" i="6"/>
  <c r="B51" i="6"/>
  <c r="F49" i="6"/>
  <c r="E49" i="6"/>
  <c r="D49" i="6"/>
  <c r="C49" i="6"/>
  <c r="B49" i="6"/>
  <c r="F44" i="6"/>
  <c r="E44" i="6"/>
  <c r="E45" i="6" s="1"/>
  <c r="D44" i="6"/>
  <c r="C44" i="6"/>
  <c r="C50" i="6" s="1"/>
  <c r="B44" i="6"/>
  <c r="D34" i="6"/>
  <c r="D30" i="6"/>
  <c r="C22" i="6"/>
  <c r="K21" i="6"/>
  <c r="J21" i="6"/>
  <c r="I21" i="6"/>
  <c r="H21" i="6"/>
  <c r="G21" i="6"/>
  <c r="F16" i="6"/>
  <c r="E16" i="6"/>
  <c r="D16" i="6"/>
  <c r="C16" i="6"/>
  <c r="B16" i="6"/>
  <c r="F15" i="6"/>
  <c r="E15" i="6"/>
  <c r="D15" i="6"/>
  <c r="C15" i="6"/>
  <c r="B15" i="6"/>
  <c r="F14" i="6"/>
  <c r="E14" i="6"/>
  <c r="D14" i="6"/>
  <c r="C14" i="6"/>
  <c r="B14" i="6"/>
  <c r="F13" i="6"/>
  <c r="E13" i="6"/>
  <c r="D13" i="6"/>
  <c r="C13" i="6"/>
  <c r="B13" i="6"/>
  <c r="F12" i="6"/>
  <c r="F16" i="15" s="1"/>
  <c r="E12" i="6"/>
  <c r="D12" i="6"/>
  <c r="C12" i="6"/>
  <c r="B12" i="6"/>
  <c r="F11" i="6"/>
  <c r="E11" i="6"/>
  <c r="D11" i="6"/>
  <c r="C11" i="6"/>
  <c r="B11" i="6"/>
  <c r="F10" i="6"/>
  <c r="F14" i="15" s="1"/>
  <c r="E10" i="6"/>
  <c r="E14" i="15" s="1"/>
  <c r="D10" i="6"/>
  <c r="D14" i="15" s="1"/>
  <c r="C10" i="6"/>
  <c r="C14" i="15" s="1"/>
  <c r="B10" i="6"/>
  <c r="B14" i="15" s="1"/>
  <c r="F9" i="6"/>
  <c r="E9" i="6"/>
  <c r="D9" i="6"/>
  <c r="C9" i="6"/>
  <c r="B9" i="6"/>
  <c r="F8" i="6"/>
  <c r="E8" i="6"/>
  <c r="D8" i="6"/>
  <c r="C8" i="6"/>
  <c r="B8" i="6"/>
  <c r="F7" i="6"/>
  <c r="E7" i="6"/>
  <c r="D7" i="6"/>
  <c r="C7" i="6"/>
  <c r="B7" i="6"/>
  <c r="K6" i="6"/>
  <c r="J6" i="6"/>
  <c r="I6" i="6"/>
  <c r="H6" i="6"/>
  <c r="G6" i="6"/>
  <c r="F6" i="6"/>
  <c r="E6" i="6"/>
  <c r="D6" i="6"/>
  <c r="C6" i="6"/>
  <c r="B6" i="6"/>
  <c r="B5" i="6"/>
  <c r="C5" i="6" s="1"/>
  <c r="D5" i="6" s="1"/>
  <c r="E5" i="6" s="1"/>
  <c r="F5" i="6" s="1"/>
  <c r="F4" i="6"/>
  <c r="E4" i="6"/>
  <c r="D4" i="6"/>
  <c r="C4" i="6"/>
  <c r="B4" i="6"/>
  <c r="B67" i="3"/>
  <c r="F61" i="3"/>
  <c r="B5" i="41" s="1"/>
  <c r="E61" i="3"/>
  <c r="E21" i="43" s="1"/>
  <c r="D61" i="3"/>
  <c r="D60" i="3" s="1"/>
  <c r="C61" i="3"/>
  <c r="C21" i="43" s="1"/>
  <c r="G58" i="3"/>
  <c r="G53" i="3"/>
  <c r="H53" i="3" s="1"/>
  <c r="I53" i="3" s="1"/>
  <c r="J53" i="3" s="1"/>
  <c r="K53" i="3" s="1"/>
  <c r="G52" i="3"/>
  <c r="H52" i="3" s="1"/>
  <c r="I52" i="3" s="1"/>
  <c r="J52" i="3" s="1"/>
  <c r="K52" i="3" s="1"/>
  <c r="F45" i="3"/>
  <c r="E45" i="3"/>
  <c r="D45" i="3"/>
  <c r="C45" i="3"/>
  <c r="B45" i="3"/>
  <c r="F44" i="3"/>
  <c r="E44" i="3"/>
  <c r="D44" i="3"/>
  <c r="C44" i="3"/>
  <c r="B44" i="3"/>
  <c r="G35" i="3"/>
  <c r="H35" i="3" s="1"/>
  <c r="I35" i="3" s="1"/>
  <c r="J35" i="3" s="1"/>
  <c r="K35" i="3" s="1"/>
  <c r="G34" i="3"/>
  <c r="H34" i="3" s="1"/>
  <c r="I34" i="3" s="1"/>
  <c r="J34" i="3" s="1"/>
  <c r="K34" i="3" s="1"/>
  <c r="G33" i="3"/>
  <c r="H33" i="3" s="1"/>
  <c r="I33" i="3" s="1"/>
  <c r="J33" i="3" s="1"/>
  <c r="K33" i="3" s="1"/>
  <c r="G32" i="3"/>
  <c r="H32" i="3" s="1"/>
  <c r="I32" i="3" s="1"/>
  <c r="G31" i="3"/>
  <c r="H31" i="3" s="1"/>
  <c r="I31" i="3" s="1"/>
  <c r="J31" i="3" s="1"/>
  <c r="K31" i="3" s="1"/>
  <c r="G30" i="3"/>
  <c r="H30" i="3" s="1"/>
  <c r="I30" i="3" s="1"/>
  <c r="J30" i="3" s="1"/>
  <c r="K30" i="3" s="1"/>
  <c r="G29" i="3"/>
  <c r="H29" i="3" s="1"/>
  <c r="I29" i="3" s="1"/>
  <c r="J29" i="3" s="1"/>
  <c r="K29" i="3" s="1"/>
  <c r="G28" i="3"/>
  <c r="H28" i="3" s="1"/>
  <c r="I28" i="3" s="1"/>
  <c r="J28" i="3" s="1"/>
  <c r="K28" i="3" s="1"/>
  <c r="G27" i="3"/>
  <c r="F23" i="3"/>
  <c r="E23" i="3"/>
  <c r="D23" i="3"/>
  <c r="C23" i="3"/>
  <c r="B23" i="3"/>
  <c r="G11" i="3"/>
  <c r="H11" i="3" s="1"/>
  <c r="I11" i="3" s="1"/>
  <c r="J11" i="3" s="1"/>
  <c r="K11" i="3" s="1"/>
  <c r="G10" i="3"/>
  <c r="H10" i="3" s="1"/>
  <c r="I10" i="3" s="1"/>
  <c r="J10" i="3" s="1"/>
  <c r="K10" i="3" s="1"/>
  <c r="G9" i="3"/>
  <c r="H9" i="3" s="1"/>
  <c r="I9" i="3" s="1"/>
  <c r="J9" i="3" s="1"/>
  <c r="K9" i="3" s="1"/>
  <c r="G6" i="3"/>
  <c r="H6" i="3" s="1"/>
  <c r="I6" i="3" s="1"/>
  <c r="J6" i="3" s="1"/>
  <c r="K6" i="3" s="1"/>
  <c r="F40" i="2"/>
  <c r="B8" i="41" s="1"/>
  <c r="E40" i="2"/>
  <c r="E53" i="2" s="1"/>
  <c r="D40" i="2"/>
  <c r="D38" i="6" s="1"/>
  <c r="C40" i="2"/>
  <c r="C13" i="43" s="1"/>
  <c r="B40" i="2"/>
  <c r="B13" i="43" s="1"/>
  <c r="F33" i="6"/>
  <c r="E36" i="21"/>
  <c r="C26" i="6"/>
  <c r="B25" i="6"/>
  <c r="G15" i="2"/>
  <c r="H15" i="2" s="1"/>
  <c r="I15" i="2" s="1"/>
  <c r="J15" i="2" s="1"/>
  <c r="K15" i="2" s="1"/>
  <c r="G12" i="2"/>
  <c r="H12" i="2" s="1"/>
  <c r="I12" i="2" s="1"/>
  <c r="J12" i="2" s="1"/>
  <c r="K12" i="2" s="1"/>
  <c r="F11" i="2"/>
  <c r="G70" i="21" s="1"/>
  <c r="E11" i="2"/>
  <c r="D11" i="2"/>
  <c r="C11" i="2"/>
  <c r="C50" i="2" s="1"/>
  <c r="C48" i="2" s="1"/>
  <c r="B11" i="2"/>
  <c r="C70" i="21" s="1"/>
  <c r="K36" i="1"/>
  <c r="J36" i="1"/>
  <c r="I36" i="1"/>
  <c r="H36" i="1"/>
  <c r="G36" i="1"/>
  <c r="F36" i="1"/>
  <c r="E36" i="1"/>
  <c r="D36" i="1"/>
  <c r="C36" i="1"/>
  <c r="B36" i="1"/>
  <c r="A36" i="1"/>
  <c r="F35" i="1"/>
  <c r="E35" i="1"/>
  <c r="D35" i="1"/>
  <c r="C35" i="1"/>
  <c r="B35" i="1"/>
  <c r="A35" i="1"/>
  <c r="F27" i="1"/>
  <c r="E27" i="1"/>
  <c r="D27" i="1"/>
  <c r="C27" i="1"/>
  <c r="B27" i="1"/>
  <c r="F26" i="1"/>
  <c r="E26" i="1"/>
  <c r="D26" i="1"/>
  <c r="C26" i="1"/>
  <c r="B26" i="1"/>
  <c r="F25" i="1"/>
  <c r="H39" i="12" s="1"/>
  <c r="D35" i="12" s="1"/>
  <c r="E35" i="12" s="1"/>
  <c r="E25" i="1"/>
  <c r="F25" i="5" s="1"/>
  <c r="D25" i="1"/>
  <c r="D17" i="6" s="1"/>
  <c r="C25" i="1"/>
  <c r="C74" i="6" s="1"/>
  <c r="B25" i="1"/>
  <c r="F22" i="5" s="1"/>
  <c r="G24" i="1"/>
  <c r="H24" i="1" s="1"/>
  <c r="I24" i="1" s="1"/>
  <c r="J24" i="1" s="1"/>
  <c r="K24" i="1" s="1"/>
  <c r="G22" i="1"/>
  <c r="H22" i="1" s="1"/>
  <c r="I22" i="1" s="1"/>
  <c r="J22" i="1" s="1"/>
  <c r="K22" i="1" s="1"/>
  <c r="G13" i="1"/>
  <c r="C15" i="44"/>
  <c r="C14" i="44"/>
  <c r="C13" i="44"/>
  <c r="C12" i="44"/>
  <c r="B1" i="44"/>
  <c r="B6" i="41"/>
  <c r="J5" i="41"/>
  <c r="B4" i="41"/>
  <c r="D19" i="41" s="1"/>
  <c r="J3" i="41"/>
  <c r="F20" i="43"/>
  <c r="E20" i="43"/>
  <c r="D20" i="43"/>
  <c r="C20" i="43"/>
  <c r="B20" i="43"/>
  <c r="F19" i="43"/>
  <c r="E19" i="43"/>
  <c r="D19" i="43"/>
  <c r="C19" i="43"/>
  <c r="B19" i="43"/>
  <c r="F18" i="43"/>
  <c r="E18" i="43"/>
  <c r="D18" i="43"/>
  <c r="C18" i="43"/>
  <c r="B18" i="43"/>
  <c r="F14" i="43"/>
  <c r="E14" i="43"/>
  <c r="D14" i="43"/>
  <c r="C14" i="43"/>
  <c r="B14" i="43"/>
  <c r="F12" i="43"/>
  <c r="E12" i="43"/>
  <c r="D12" i="43"/>
  <c r="C12" i="43"/>
  <c r="B12" i="43"/>
  <c r="F11" i="43"/>
  <c r="E11" i="43"/>
  <c r="D11" i="43"/>
  <c r="C11" i="43"/>
  <c r="B11" i="43"/>
  <c r="F7" i="43"/>
  <c r="E7" i="43"/>
  <c r="D7" i="43"/>
  <c r="C7" i="43"/>
  <c r="B7" i="43"/>
  <c r="F6" i="43"/>
  <c r="E6" i="43"/>
  <c r="D6" i="43"/>
  <c r="C6" i="43"/>
  <c r="B6" i="43"/>
  <c r="F5" i="43"/>
  <c r="E5" i="43"/>
  <c r="D5" i="43"/>
  <c r="C5" i="43"/>
  <c r="B5" i="43"/>
  <c r="F4" i="43"/>
  <c r="E4" i="43"/>
  <c r="D4" i="43"/>
  <c r="C4" i="43"/>
  <c r="B4" i="43"/>
  <c r="B27" i="42"/>
  <c r="B13" i="42"/>
  <c r="B5" i="42"/>
  <c r="B4" i="42"/>
  <c r="B4" i="26" s="1"/>
  <c r="B9" i="17"/>
  <c r="L5" i="17"/>
  <c r="B8" i="17" s="1"/>
  <c r="K5" i="17"/>
  <c r="P4" i="6" s="1"/>
  <c r="J5" i="17"/>
  <c r="O4" i="6" s="1"/>
  <c r="I5" i="17"/>
  <c r="B5" i="17" s="1"/>
  <c r="H5" i="17"/>
  <c r="B4" i="17" s="1"/>
  <c r="C35" i="33"/>
  <c r="D67" i="5"/>
  <c r="D59" i="5"/>
  <c r="G56" i="5"/>
  <c r="E55" i="5"/>
  <c r="E54" i="5"/>
  <c r="E53" i="5"/>
  <c r="E52" i="5"/>
  <c r="B36" i="5"/>
  <c r="D4" i="5" s="1"/>
  <c r="E32" i="5"/>
  <c r="E14" i="5"/>
  <c r="D14" i="5"/>
  <c r="E13" i="5"/>
  <c r="D13" i="5"/>
  <c r="E12" i="5"/>
  <c r="D12" i="5"/>
  <c r="E11" i="5"/>
  <c r="D11" i="5"/>
  <c r="E10" i="5"/>
  <c r="D10" i="5"/>
  <c r="E6" i="5"/>
  <c r="G29" i="2" l="1"/>
  <c r="H29" i="2" s="1"/>
  <c r="B17" i="26"/>
  <c r="B24" i="27" s="1"/>
  <c r="B6" i="17"/>
  <c r="B7" i="17"/>
  <c r="F26" i="5"/>
  <c r="B21" i="43"/>
  <c r="C76" i="6"/>
  <c r="C87" i="6" s="1"/>
  <c r="C17" i="15" s="1"/>
  <c r="E4" i="5"/>
  <c r="E5" i="5"/>
  <c r="C49" i="2"/>
  <c r="G4" i="43"/>
  <c r="H4" i="43" s="1"/>
  <c r="I4" i="43" s="1"/>
  <c r="J4" i="43" s="1"/>
  <c r="K4" i="43" s="1"/>
  <c r="L4" i="43" s="1"/>
  <c r="F68" i="3"/>
  <c r="F70" i="3" s="1"/>
  <c r="G67" i="3" s="1"/>
  <c r="G9" i="13"/>
  <c r="R10" i="13" s="1"/>
  <c r="D21" i="43"/>
  <c r="H9" i="13"/>
  <c r="B23" i="5"/>
  <c r="C42" i="33" s="1"/>
  <c r="J4" i="41"/>
  <c r="B10" i="41"/>
  <c r="B19" i="41" s="1"/>
  <c r="E60" i="21"/>
  <c r="E62" i="21" s="1"/>
  <c r="B37" i="1"/>
  <c r="B38" i="1" s="1"/>
  <c r="E16" i="15"/>
  <c r="D36" i="12"/>
  <c r="E36" i="12" s="1"/>
  <c r="L9" i="13"/>
  <c r="M8" i="13"/>
  <c r="C60" i="3"/>
  <c r="F37" i="1"/>
  <c r="F38" i="1" s="1"/>
  <c r="E24" i="7"/>
  <c r="E60" i="3"/>
  <c r="J38" i="21"/>
  <c r="F60" i="3"/>
  <c r="G20" i="43"/>
  <c r="C37" i="1"/>
  <c r="C38" i="1" s="1"/>
  <c r="D13" i="43"/>
  <c r="G4" i="12"/>
  <c r="H4" i="12" s="1"/>
  <c r="I4" i="12" s="1"/>
  <c r="J4" i="12" s="1"/>
  <c r="K4" i="12" s="1"/>
  <c r="C128" i="12"/>
  <c r="I8" i="13"/>
  <c r="G19" i="43"/>
  <c r="B28" i="1"/>
  <c r="B4" i="12"/>
  <c r="C129" i="12"/>
  <c r="G18" i="43"/>
  <c r="H18" i="43" s="1"/>
  <c r="I18" i="43" s="1"/>
  <c r="J18" i="43" s="1"/>
  <c r="K18" i="43" s="1"/>
  <c r="L18" i="43" s="1"/>
  <c r="I20" i="43"/>
  <c r="D68" i="3"/>
  <c r="J19" i="43"/>
  <c r="F60" i="21"/>
  <c r="F61" i="21" s="1"/>
  <c r="H8" i="13"/>
  <c r="E68" i="3"/>
  <c r="C17" i="6"/>
  <c r="M9" i="13"/>
  <c r="L38" i="21"/>
  <c r="F28" i="1"/>
  <c r="D16" i="15"/>
  <c r="C88" i="6"/>
  <c r="G8" i="13"/>
  <c r="R9" i="13" s="1"/>
  <c r="E54" i="21"/>
  <c r="I19" i="43"/>
  <c r="F23" i="5"/>
  <c r="G12" i="43"/>
  <c r="H12" i="43" s="1"/>
  <c r="I12" i="43" s="1"/>
  <c r="J12" i="43" s="1"/>
  <c r="K12" i="43" s="1"/>
  <c r="L12" i="43" s="1"/>
  <c r="E57" i="21"/>
  <c r="G14" i="15"/>
  <c r="K9" i="13"/>
  <c r="L8" i="13"/>
  <c r="L43" i="21"/>
  <c r="K19" i="43"/>
  <c r="G5" i="43"/>
  <c r="H5" i="43" s="1"/>
  <c r="I5" i="43" s="1"/>
  <c r="J5" i="43" s="1"/>
  <c r="K5" i="43" s="1"/>
  <c r="L5" i="43" s="1"/>
  <c r="E13" i="43"/>
  <c r="I9" i="13"/>
  <c r="J8" i="13"/>
  <c r="S9" i="13" s="1"/>
  <c r="J6" i="41"/>
  <c r="J9" i="13"/>
  <c r="S10" i="13" s="1"/>
  <c r="K8" i="13"/>
  <c r="F24" i="5"/>
  <c r="L20" i="43"/>
  <c r="C18" i="12"/>
  <c r="G18" i="12" s="1"/>
  <c r="H18" i="12" s="1"/>
  <c r="I18" i="12" s="1"/>
  <c r="J18" i="12" s="1"/>
  <c r="K18" i="12" s="1"/>
  <c r="G11" i="43"/>
  <c r="H11" i="43" s="1"/>
  <c r="I11" i="43" s="1"/>
  <c r="J11" i="43" s="1"/>
  <c r="K11" i="43" s="1"/>
  <c r="L11" i="43" s="1"/>
  <c r="F21" i="43"/>
  <c r="C28" i="1"/>
  <c r="B16" i="15"/>
  <c r="D56" i="6"/>
  <c r="D57" i="6" s="1"/>
  <c r="F76" i="6"/>
  <c r="F87" i="6" s="1"/>
  <c r="F17" i="15" s="1"/>
  <c r="J31" i="21"/>
  <c r="K38" i="21"/>
  <c r="C71" i="21"/>
  <c r="B28" i="41"/>
  <c r="C89" i="6"/>
  <c r="C38" i="33"/>
  <c r="F13" i="43"/>
  <c r="G13" i="43" s="1"/>
  <c r="H13" i="43" s="1"/>
  <c r="I13" i="43" s="1"/>
  <c r="J13" i="43" s="1"/>
  <c r="K13" i="43" s="1"/>
  <c r="L13" i="43" s="1"/>
  <c r="B3" i="41"/>
  <c r="C19" i="41" s="1"/>
  <c r="E37" i="1"/>
  <c r="E38" i="1" s="1"/>
  <c r="F88" i="6"/>
  <c r="F89" i="6" s="1"/>
  <c r="B39" i="5"/>
  <c r="C53" i="2"/>
  <c r="F23" i="6"/>
  <c r="E31" i="6"/>
  <c r="B35" i="6"/>
  <c r="F45" i="6"/>
  <c r="F46" i="6" s="1"/>
  <c r="B50" i="6"/>
  <c r="C56" i="6"/>
  <c r="C57" i="6" s="1"/>
  <c r="B50" i="2"/>
  <c r="D53" i="2"/>
  <c r="D46" i="3"/>
  <c r="D47" i="3" s="1"/>
  <c r="B21" i="6"/>
  <c r="C32" i="6"/>
  <c r="C36" i="6"/>
  <c r="C125" i="12"/>
  <c r="E41" i="6"/>
  <c r="B45" i="6"/>
  <c r="B46" i="6" s="1"/>
  <c r="C127" i="12"/>
  <c r="B8" i="29"/>
  <c r="B61" i="29" s="1"/>
  <c r="M4" i="6"/>
  <c r="G4" i="1"/>
  <c r="Q4" i="6"/>
  <c r="B10" i="26"/>
  <c r="B115" i="12" s="1"/>
  <c r="B69" i="6"/>
  <c r="G7" i="43"/>
  <c r="B21" i="5" s="1"/>
  <c r="B25" i="12"/>
  <c r="B50" i="12" s="1"/>
  <c r="B17" i="42"/>
  <c r="B18" i="42" s="1"/>
  <c r="H19" i="43"/>
  <c r="G14" i="43"/>
  <c r="H14" i="43" s="1"/>
  <c r="I14" i="43" s="1"/>
  <c r="J14" i="43" s="1"/>
  <c r="K14" i="43" s="1"/>
  <c r="L14" i="43" s="1"/>
  <c r="L19" i="43"/>
  <c r="H13" i="1"/>
  <c r="C73" i="12"/>
  <c r="B111" i="12"/>
  <c r="B15" i="26"/>
  <c r="D85" i="12"/>
  <c r="F127" i="12" s="1"/>
  <c r="D21" i="26"/>
  <c r="I78" i="6"/>
  <c r="E46" i="3"/>
  <c r="E47" i="3" s="1"/>
  <c r="C103" i="6"/>
  <c r="C99" i="6"/>
  <c r="C100" i="6"/>
  <c r="B96" i="6"/>
  <c r="G71" i="21"/>
  <c r="G6" i="43"/>
  <c r="H6" i="43" s="1"/>
  <c r="I6" i="43" s="1"/>
  <c r="J6" i="43" s="1"/>
  <c r="K6" i="43" s="1"/>
  <c r="L6" i="43" s="1"/>
  <c r="K20" i="43"/>
  <c r="F46" i="21"/>
  <c r="L46" i="21" s="1"/>
  <c r="F43" i="21"/>
  <c r="F35" i="21"/>
  <c r="E12" i="15"/>
  <c r="F14" i="21"/>
  <c r="E17" i="6"/>
  <c r="E74" i="6"/>
  <c r="E76" i="6" s="1"/>
  <c r="E87" i="6" s="1"/>
  <c r="E17" i="15" s="1"/>
  <c r="E28" i="1"/>
  <c r="D37" i="1"/>
  <c r="D38" i="1" s="1"/>
  <c r="D70" i="21"/>
  <c r="D71" i="21"/>
  <c r="F37" i="21"/>
  <c r="F30" i="21"/>
  <c r="F17" i="21"/>
  <c r="F36" i="21"/>
  <c r="F29" i="21"/>
  <c r="E36" i="6"/>
  <c r="E34" i="6"/>
  <c r="E32" i="6"/>
  <c r="E30" i="6"/>
  <c r="E26" i="6"/>
  <c r="E22" i="6"/>
  <c r="E37" i="6"/>
  <c r="E33" i="6"/>
  <c r="E27" i="6"/>
  <c r="E23" i="6"/>
  <c r="E21" i="6"/>
  <c r="F13" i="21"/>
  <c r="E25" i="5" s="1"/>
  <c r="F7" i="21"/>
  <c r="F66" i="21"/>
  <c r="F64" i="21"/>
  <c r="F42" i="21"/>
  <c r="F26" i="21"/>
  <c r="F24" i="21"/>
  <c r="E38" i="6"/>
  <c r="F50" i="2"/>
  <c r="F48" i="2" s="1"/>
  <c r="F49" i="2" s="1"/>
  <c r="J32" i="3"/>
  <c r="N4" i="6"/>
  <c r="E25" i="6"/>
  <c r="E35" i="6"/>
  <c r="B56" i="6"/>
  <c r="B57" i="6" s="1"/>
  <c r="F56" i="6"/>
  <c r="F57" i="6" s="1"/>
  <c r="I51" i="21"/>
  <c r="I43" i="21"/>
  <c r="B24" i="7"/>
  <c r="M51" i="21"/>
  <c r="M43" i="21"/>
  <c r="F24" i="7"/>
  <c r="G10" i="10"/>
  <c r="G5" i="10"/>
  <c r="G8" i="10"/>
  <c r="J20" i="43"/>
  <c r="E28" i="41"/>
  <c r="B37" i="41" s="1"/>
  <c r="E46" i="21"/>
  <c r="K46" i="21" s="1"/>
  <c r="E43" i="21"/>
  <c r="E35" i="21"/>
  <c r="D12" i="15"/>
  <c r="E14" i="21"/>
  <c r="D74" i="6"/>
  <c r="D76" i="6" s="1"/>
  <c r="D87" i="6" s="1"/>
  <c r="D17" i="15" s="1"/>
  <c r="D28" i="1"/>
  <c r="H20" i="43"/>
  <c r="C36" i="21"/>
  <c r="C29" i="21"/>
  <c r="C37" i="21"/>
  <c r="C17" i="21"/>
  <c r="C30" i="21"/>
  <c r="B36" i="6"/>
  <c r="B34" i="6"/>
  <c r="B32" i="6"/>
  <c r="B30" i="6"/>
  <c r="B26" i="6"/>
  <c r="B22" i="6"/>
  <c r="B37" i="6"/>
  <c r="B33" i="6"/>
  <c r="B27" i="6"/>
  <c r="B23" i="6"/>
  <c r="B53" i="2"/>
  <c r="G36" i="21"/>
  <c r="G29" i="21"/>
  <c r="G37" i="21"/>
  <c r="G17" i="21"/>
  <c r="G30" i="21"/>
  <c r="F36" i="6"/>
  <c r="F34" i="6"/>
  <c r="F32" i="6"/>
  <c r="F30" i="6"/>
  <c r="F26" i="6"/>
  <c r="F22" i="6"/>
  <c r="F21" i="6"/>
  <c r="F41" i="6"/>
  <c r="F35" i="6"/>
  <c r="F31" i="6"/>
  <c r="F25" i="6"/>
  <c r="F53" i="2"/>
  <c r="C7" i="21"/>
  <c r="C66" i="21"/>
  <c r="C64" i="21"/>
  <c r="C42" i="21"/>
  <c r="C26" i="21"/>
  <c r="C24" i="21"/>
  <c r="B38" i="6"/>
  <c r="C13" i="21"/>
  <c r="G7" i="21"/>
  <c r="G66" i="21"/>
  <c r="G64" i="21"/>
  <c r="G42" i="21"/>
  <c r="G26" i="21"/>
  <c r="G24" i="21"/>
  <c r="G13" i="21"/>
  <c r="E26" i="5" s="1"/>
  <c r="B40" i="12"/>
  <c r="B43" i="12" s="1"/>
  <c r="B52" i="12"/>
  <c r="H34" i="12"/>
  <c r="F38" i="6"/>
  <c r="F27" i="6"/>
  <c r="B31" i="6"/>
  <c r="F37" i="6"/>
  <c r="B41" i="6"/>
  <c r="L72" i="21"/>
  <c r="L58" i="21"/>
  <c r="L60" i="21" s="1"/>
  <c r="C80" i="21"/>
  <c r="I31" i="21"/>
  <c r="G80" i="21"/>
  <c r="M31" i="21"/>
  <c r="F80" i="21"/>
  <c r="L31" i="21"/>
  <c r="C14" i="21"/>
  <c r="C43" i="21"/>
  <c r="C35" i="21"/>
  <c r="C46" i="21"/>
  <c r="I46" i="21" s="1"/>
  <c r="B12" i="15"/>
  <c r="B74" i="6"/>
  <c r="B76" i="6" s="1"/>
  <c r="B87" i="6" s="1"/>
  <c r="B17" i="15" s="1"/>
  <c r="G14" i="21"/>
  <c r="G35" i="21"/>
  <c r="F12" i="15"/>
  <c r="G43" i="21"/>
  <c r="F17" i="6"/>
  <c r="E71" i="21"/>
  <c r="E70" i="21"/>
  <c r="D36" i="21"/>
  <c r="D29" i="21"/>
  <c r="D37" i="21"/>
  <c r="D30" i="21"/>
  <c r="D17" i="21"/>
  <c r="C41" i="6"/>
  <c r="C37" i="6"/>
  <c r="C35" i="6"/>
  <c r="C33" i="6"/>
  <c r="C31" i="6"/>
  <c r="C27" i="6"/>
  <c r="C25" i="6"/>
  <c r="C23" i="6"/>
  <c r="C21" i="6"/>
  <c r="D66" i="21"/>
  <c r="D64" i="21"/>
  <c r="D42" i="21"/>
  <c r="D26" i="21"/>
  <c r="D24" i="21"/>
  <c r="D13" i="21"/>
  <c r="E23" i="5" s="1"/>
  <c r="D7" i="21"/>
  <c r="D50" i="2"/>
  <c r="D48" i="2" s="1"/>
  <c r="D49" i="2" s="1"/>
  <c r="G39" i="3"/>
  <c r="H27" i="3"/>
  <c r="B68" i="3"/>
  <c r="B70" i="3" s="1"/>
  <c r="B46" i="3"/>
  <c r="B47" i="3" s="1"/>
  <c r="F46" i="3"/>
  <c r="F47" i="3" s="1"/>
  <c r="C68" i="3"/>
  <c r="D22" i="6"/>
  <c r="D26" i="6"/>
  <c r="D32" i="6"/>
  <c r="D36" i="6"/>
  <c r="C15" i="15"/>
  <c r="D88" i="6"/>
  <c r="D89" i="6" s="1"/>
  <c r="C45" i="6"/>
  <c r="C46" i="6" s="1"/>
  <c r="B88" i="6"/>
  <c r="B89" i="6" s="1"/>
  <c r="H37" i="12"/>
  <c r="B36" i="12" s="1"/>
  <c r="H38" i="12"/>
  <c r="B35" i="12" s="1"/>
  <c r="I72" i="21"/>
  <c r="I58" i="21"/>
  <c r="B35" i="8"/>
  <c r="M72" i="21"/>
  <c r="M58" i="21"/>
  <c r="D34" i="12"/>
  <c r="E34" i="12" s="1"/>
  <c r="B34" i="12"/>
  <c r="D14" i="21"/>
  <c r="D46" i="21"/>
  <c r="J46" i="21" s="1"/>
  <c r="D43" i="21"/>
  <c r="D35" i="21"/>
  <c r="C12" i="15"/>
  <c r="F71" i="21"/>
  <c r="F70" i="21"/>
  <c r="E37" i="21"/>
  <c r="E30" i="21"/>
  <c r="E17" i="21"/>
  <c r="E29" i="21"/>
  <c r="D41" i="6"/>
  <c r="D37" i="6"/>
  <c r="D35" i="6"/>
  <c r="D33" i="6"/>
  <c r="D31" i="6"/>
  <c r="D27" i="6"/>
  <c r="D25" i="6"/>
  <c r="D23" i="6"/>
  <c r="D21" i="6"/>
  <c r="E13" i="21"/>
  <c r="E24" i="5" s="1"/>
  <c r="E7" i="21"/>
  <c r="E66" i="21"/>
  <c r="E64" i="21"/>
  <c r="E26" i="21"/>
  <c r="E24" i="21"/>
  <c r="E42" i="21"/>
  <c r="E50" i="2"/>
  <c r="E48" i="2" s="1"/>
  <c r="E49" i="2" s="1"/>
  <c r="H78" i="6"/>
  <c r="D84" i="12"/>
  <c r="F126" i="12" s="1"/>
  <c r="C21" i="26"/>
  <c r="C46" i="3"/>
  <c r="C47" i="3" s="1"/>
  <c r="B17" i="6"/>
  <c r="C30" i="6"/>
  <c r="C34" i="6"/>
  <c r="C38" i="6"/>
  <c r="E88" i="6"/>
  <c r="E89" i="6" s="1"/>
  <c r="D45" i="6"/>
  <c r="D46" i="6" s="1"/>
  <c r="D50" i="6"/>
  <c r="G11" i="10"/>
  <c r="G46" i="21"/>
  <c r="M46" i="21" s="1"/>
  <c r="B21" i="26"/>
  <c r="D83" i="12"/>
  <c r="F125" i="12" s="1"/>
  <c r="C16" i="15"/>
  <c r="E50" i="6"/>
  <c r="E46" i="6"/>
  <c r="G78" i="6"/>
  <c r="J51" i="21"/>
  <c r="J43" i="21"/>
  <c r="C24" i="7"/>
  <c r="J58" i="21"/>
  <c r="C35" i="8"/>
  <c r="D33" i="12"/>
  <c r="E33" i="12" s="1"/>
  <c r="B33" i="12"/>
  <c r="B19" i="15"/>
  <c r="B18" i="15"/>
  <c r="F15" i="15"/>
  <c r="F50" i="6"/>
  <c r="E56" i="6"/>
  <c r="E57" i="6" s="1"/>
  <c r="K51" i="21"/>
  <c r="K43" i="21"/>
  <c r="C57" i="21"/>
  <c r="C54" i="21"/>
  <c r="C60" i="21"/>
  <c r="C53" i="21"/>
  <c r="G57" i="21"/>
  <c r="G54" i="21"/>
  <c r="G60" i="21"/>
  <c r="G53" i="21"/>
  <c r="D9" i="21"/>
  <c r="D10" i="21" s="1"/>
  <c r="B9" i="12"/>
  <c r="L57" i="21"/>
  <c r="L54" i="21"/>
  <c r="L53" i="21"/>
  <c r="K58" i="21"/>
  <c r="K72" i="21"/>
  <c r="C79" i="21"/>
  <c r="G79" i="21"/>
  <c r="I38" i="21"/>
  <c r="M38" i="21"/>
  <c r="E80" i="21"/>
  <c r="K31" i="21"/>
  <c r="D53" i="21"/>
  <c r="F54" i="21"/>
  <c r="F57" i="21"/>
  <c r="D60" i="21"/>
  <c r="E53" i="21"/>
  <c r="F53" i="21"/>
  <c r="D54" i="21"/>
  <c r="G16" i="2" l="1"/>
  <c r="D80" i="17"/>
  <c r="B22" i="26"/>
  <c r="G21" i="43"/>
  <c r="H21" i="43" s="1"/>
  <c r="I21" i="43" s="1"/>
  <c r="J21" i="43" s="1"/>
  <c r="K21" i="43" s="1"/>
  <c r="L21" i="43" s="1"/>
  <c r="E38" i="21"/>
  <c r="I29" i="2"/>
  <c r="J29" i="2" s="1"/>
  <c r="K29" i="2" s="1"/>
  <c r="F62" i="21"/>
  <c r="D13" i="15"/>
  <c r="F13" i="15"/>
  <c r="B20" i="5"/>
  <c r="G16" i="15"/>
  <c r="D31" i="21"/>
  <c r="B51" i="2"/>
  <c r="B48" i="2"/>
  <c r="B49" i="2" s="1"/>
  <c r="E61" i="21"/>
  <c r="G31" i="21"/>
  <c r="C31" i="21"/>
  <c r="E37" i="41"/>
  <c r="H4" i="1"/>
  <c r="B15" i="15"/>
  <c r="B13" i="15"/>
  <c r="C13" i="15"/>
  <c r="B62" i="3"/>
  <c r="C67" i="3"/>
  <c r="C70" i="3" s="1"/>
  <c r="E13" i="15"/>
  <c r="D62" i="3"/>
  <c r="C51" i="2"/>
  <c r="G38" i="21"/>
  <c r="C38" i="21"/>
  <c r="F24" i="6"/>
  <c r="F38" i="21"/>
  <c r="F31" i="21"/>
  <c r="E31" i="21"/>
  <c r="D38" i="21"/>
  <c r="B24" i="6"/>
  <c r="C62" i="3"/>
  <c r="E51" i="2"/>
  <c r="C24" i="6"/>
  <c r="G61" i="21"/>
  <c r="G62" i="21"/>
  <c r="C61" i="21"/>
  <c r="C62" i="21"/>
  <c r="I27" i="3"/>
  <c r="H39" i="3"/>
  <c r="M57" i="21"/>
  <c r="M54" i="21"/>
  <c r="M60" i="21"/>
  <c r="M53" i="21"/>
  <c r="D86" i="12"/>
  <c r="F128" i="12" s="1"/>
  <c r="K32" i="3"/>
  <c r="J78" i="6"/>
  <c r="E21" i="26"/>
  <c r="H7" i="43"/>
  <c r="I7" i="43" s="1"/>
  <c r="J7" i="43" s="1"/>
  <c r="K7" i="43" s="1"/>
  <c r="L7" i="43" s="1"/>
  <c r="B113" i="12"/>
  <c r="C76" i="12"/>
  <c r="E112" i="12"/>
  <c r="G112" i="12" s="1"/>
  <c r="H112" i="12" s="1"/>
  <c r="G125" i="12" s="1"/>
  <c r="C17" i="26"/>
  <c r="G19" i="2"/>
  <c r="G10" i="2"/>
  <c r="E49" i="26"/>
  <c r="G44" i="3"/>
  <c r="G25" i="2"/>
  <c r="G8" i="2"/>
  <c r="G10" i="1"/>
  <c r="G9" i="6" s="1"/>
  <c r="G6" i="1"/>
  <c r="G23" i="2"/>
  <c r="G4" i="6"/>
  <c r="G7" i="2"/>
  <c r="G9" i="1"/>
  <c r="G8" i="6" s="1"/>
  <c r="G8" i="1"/>
  <c r="G7" i="1"/>
  <c r="D15" i="5"/>
  <c r="G20" i="2"/>
  <c r="H44" i="12" a="1"/>
  <c r="H44" i="12" s="1"/>
  <c r="H47" i="12" s="1"/>
  <c r="B6" i="26" a="1"/>
  <c r="B6" i="26" s="1"/>
  <c r="C75" i="12" a="1"/>
  <c r="C75" i="12" s="1"/>
  <c r="B61" i="6" a="1"/>
  <c r="B61" i="6" s="1"/>
  <c r="B63" i="6" s="1"/>
  <c r="B67" i="6" s="1"/>
  <c r="B71" i="6" s="1"/>
  <c r="G97" i="6" s="1"/>
  <c r="B6" i="42" a="1"/>
  <c r="B6" i="42" s="1"/>
  <c r="B7" i="42" s="1"/>
  <c r="B28" i="42" s="1"/>
  <c r="F8" i="5" s="1"/>
  <c r="B44" i="17" a="1"/>
  <c r="B44" i="17" s="1"/>
  <c r="I57" i="21"/>
  <c r="I54" i="21"/>
  <c r="I60" i="21"/>
  <c r="I53" i="21"/>
  <c r="I13" i="1"/>
  <c r="J60" i="21"/>
  <c r="J53" i="21"/>
  <c r="J57" i="21"/>
  <c r="J54" i="21"/>
  <c r="D61" i="21"/>
  <c r="D62" i="21"/>
  <c r="K60" i="21"/>
  <c r="K53" i="21"/>
  <c r="K57" i="21"/>
  <c r="K54" i="21"/>
  <c r="D15" i="15"/>
  <c r="F62" i="3"/>
  <c r="G17" i="15"/>
  <c r="E37" i="12"/>
  <c r="E15" i="15"/>
  <c r="F51" i="2"/>
  <c r="D24" i="6"/>
  <c r="G12" i="15"/>
  <c r="L61" i="21"/>
  <c r="L62" i="21"/>
  <c r="B22" i="5"/>
  <c r="E22" i="5"/>
  <c r="E24" i="6"/>
  <c r="C101" i="6"/>
  <c r="C102" i="6"/>
  <c r="D51" i="2"/>
  <c r="G11" i="6"/>
  <c r="B45" i="12"/>
  <c r="B47" i="12" s="1"/>
  <c r="B48" i="12" s="1"/>
  <c r="B49" i="12" s="1"/>
  <c r="C79" i="12"/>
  <c r="C41" i="33" l="1"/>
  <c r="F4" i="5"/>
  <c r="E50" i="26"/>
  <c r="D81" i="17"/>
  <c r="H10" i="1"/>
  <c r="H9" i="6" s="1"/>
  <c r="H19" i="2"/>
  <c r="H19" i="3" s="1"/>
  <c r="H8" i="2"/>
  <c r="H15" i="3" s="1"/>
  <c r="H23" i="2"/>
  <c r="H21" i="3" s="1"/>
  <c r="H44" i="3"/>
  <c r="I4" i="1"/>
  <c r="I19" i="2" s="1"/>
  <c r="H10" i="2"/>
  <c r="H16" i="3" s="1"/>
  <c r="D17" i="26"/>
  <c r="D24" i="27" s="1"/>
  <c r="H25" i="2"/>
  <c r="H16" i="2"/>
  <c r="H9" i="1"/>
  <c r="H8" i="6" s="1"/>
  <c r="E113" i="12"/>
  <c r="G113" i="12" s="1"/>
  <c r="H113" i="12" s="1"/>
  <c r="G126" i="12" s="1"/>
  <c r="H6" i="1"/>
  <c r="H7" i="1"/>
  <c r="H11" i="6"/>
  <c r="D16" i="5"/>
  <c r="H8" i="1"/>
  <c r="C20" i="26" s="1"/>
  <c r="H4" i="6"/>
  <c r="H7" i="6" s="1"/>
  <c r="H20" i="2"/>
  <c r="H20" i="3" s="1"/>
  <c r="H7" i="2"/>
  <c r="G13" i="15"/>
  <c r="D67" i="3"/>
  <c r="G11" i="1"/>
  <c r="G25" i="1" s="1"/>
  <c r="G15" i="15"/>
  <c r="B21" i="32"/>
  <c r="D21" i="32" s="1"/>
  <c r="B100" i="32"/>
  <c r="B59" i="12"/>
  <c r="G86" i="6"/>
  <c r="G13" i="3"/>
  <c r="G7" i="6"/>
  <c r="G5" i="6"/>
  <c r="G15" i="3"/>
  <c r="G16" i="3"/>
  <c r="C22" i="26"/>
  <c r="C24" i="27"/>
  <c r="M61" i="21"/>
  <c r="M62" i="21"/>
  <c r="I39" i="3"/>
  <c r="J27" i="3"/>
  <c r="B112" i="12"/>
  <c r="B9" i="26"/>
  <c r="G20" i="3"/>
  <c r="E125" i="12"/>
  <c r="G49" i="6"/>
  <c r="B20" i="26"/>
  <c r="G7" i="3"/>
  <c r="C83" i="12" s="1"/>
  <c r="G77" i="6"/>
  <c r="G21" i="3"/>
  <c r="G26" i="2"/>
  <c r="G19" i="3"/>
  <c r="F21" i="26"/>
  <c r="D68" i="5" s="1"/>
  <c r="D87" i="12"/>
  <c r="F129" i="12" s="1"/>
  <c r="K78" i="6"/>
  <c r="J62" i="21"/>
  <c r="J61" i="21"/>
  <c r="K62" i="21"/>
  <c r="K61" i="21"/>
  <c r="B83" i="17"/>
  <c r="B46" i="17"/>
  <c r="B51" i="12"/>
  <c r="B53" i="12" s="1"/>
  <c r="J13" i="1"/>
  <c r="I61" i="21"/>
  <c r="I62" i="21"/>
  <c r="B6" i="12"/>
  <c r="B7" i="12" s="1"/>
  <c r="B8" i="12" s="1"/>
  <c r="B10" i="12" s="1"/>
  <c r="B11" i="12" s="1"/>
  <c r="B20" i="12"/>
  <c r="H11" i="1"/>
  <c r="H47" i="2" s="1"/>
  <c r="D17" i="5" l="1"/>
  <c r="E17" i="26"/>
  <c r="I7" i="2"/>
  <c r="D82" i="17"/>
  <c r="I11" i="6"/>
  <c r="I16" i="2"/>
  <c r="I10" i="2"/>
  <c r="I16" i="3" s="1"/>
  <c r="I8" i="2"/>
  <c r="I15" i="3" s="1"/>
  <c r="I20" i="2"/>
  <c r="I20" i="3" s="1"/>
  <c r="D22" i="26"/>
  <c r="I7" i="1"/>
  <c r="I10" i="1"/>
  <c r="I9" i="6" s="1"/>
  <c r="I23" i="2"/>
  <c r="I21" i="3" s="1"/>
  <c r="H49" i="6"/>
  <c r="I44" i="3"/>
  <c r="E114" i="12"/>
  <c r="G114" i="12" s="1"/>
  <c r="H114" i="12" s="1"/>
  <c r="G127" i="12" s="1"/>
  <c r="I25" i="2"/>
  <c r="I4" i="6"/>
  <c r="I5" i="6" s="1"/>
  <c r="E51" i="26"/>
  <c r="I6" i="1"/>
  <c r="J4" i="1"/>
  <c r="I9" i="1"/>
  <c r="I8" i="6" s="1"/>
  <c r="I8" i="1"/>
  <c r="D20" i="26" s="1"/>
  <c r="H26" i="2"/>
  <c r="H86" i="6"/>
  <c r="H5" i="6"/>
  <c r="H13" i="3"/>
  <c r="H23" i="3" s="1"/>
  <c r="H7" i="3"/>
  <c r="C84" i="12" s="1"/>
  <c r="B18" i="26"/>
  <c r="B19" i="26" s="1"/>
  <c r="G47" i="2"/>
  <c r="E126" i="12"/>
  <c r="H77" i="6"/>
  <c r="G74" i="6"/>
  <c r="G10" i="6"/>
  <c r="D70" i="3"/>
  <c r="E67" i="3" s="1"/>
  <c r="E70" i="3" s="1"/>
  <c r="E62" i="3"/>
  <c r="C7" i="41"/>
  <c r="C10" i="41" s="1"/>
  <c r="C6" i="41"/>
  <c r="G26" i="1"/>
  <c r="G21" i="26"/>
  <c r="I19" i="3"/>
  <c r="B49" i="17"/>
  <c r="B53" i="17" s="1"/>
  <c r="B85" i="17"/>
  <c r="B114" i="12"/>
  <c r="B13" i="26"/>
  <c r="C77" i="12"/>
  <c r="B125" i="12"/>
  <c r="D125" i="12" s="1"/>
  <c r="H125" i="12" s="1"/>
  <c r="B133" i="12" s="1"/>
  <c r="G17" i="6"/>
  <c r="F27" i="5"/>
  <c r="C19" i="15"/>
  <c r="H74" i="6"/>
  <c r="H26" i="1"/>
  <c r="H10" i="6"/>
  <c r="D7" i="41"/>
  <c r="C18" i="26"/>
  <c r="C19" i="26" s="1"/>
  <c r="H25" i="1"/>
  <c r="D6" i="41"/>
  <c r="E24" i="27"/>
  <c r="E22" i="26"/>
  <c r="J39" i="3"/>
  <c r="K27" i="3"/>
  <c r="K39" i="3" s="1"/>
  <c r="I11" i="1"/>
  <c r="I47" i="2" s="1"/>
  <c r="I13" i="3"/>
  <c r="G23" i="3"/>
  <c r="B14" i="12"/>
  <c r="B57" i="12" s="1"/>
  <c r="B13" i="12"/>
  <c r="K13" i="1"/>
  <c r="B32" i="5"/>
  <c r="E33" i="5" s="1"/>
  <c r="I7" i="6" l="1"/>
  <c r="J16" i="2"/>
  <c r="D83" i="17"/>
  <c r="E127" i="12"/>
  <c r="I77" i="6"/>
  <c r="I49" i="6"/>
  <c r="I26" i="2"/>
  <c r="I7" i="3"/>
  <c r="C85" i="12" s="1"/>
  <c r="J9" i="1"/>
  <c r="J8" i="6" s="1"/>
  <c r="J8" i="2"/>
  <c r="J15" i="3" s="1"/>
  <c r="J10" i="2"/>
  <c r="J16" i="3" s="1"/>
  <c r="J10" i="1"/>
  <c r="J9" i="6" s="1"/>
  <c r="J4" i="6"/>
  <c r="J7" i="6" s="1"/>
  <c r="J44" i="3"/>
  <c r="J11" i="6"/>
  <c r="K4" i="1"/>
  <c r="K19" i="2" s="1"/>
  <c r="J7" i="2"/>
  <c r="J13" i="3" s="1"/>
  <c r="J8" i="1"/>
  <c r="J77" i="6" s="1"/>
  <c r="J23" i="2"/>
  <c r="J21" i="3" s="1"/>
  <c r="J25" i="2"/>
  <c r="J19" i="2"/>
  <c r="E115" i="12"/>
  <c r="G115" i="12" s="1"/>
  <c r="H115" i="12" s="1"/>
  <c r="G128" i="12" s="1"/>
  <c r="D18" i="5"/>
  <c r="J6" i="1"/>
  <c r="J7" i="1"/>
  <c r="J20" i="2"/>
  <c r="J20" i="3" s="1"/>
  <c r="F17" i="26"/>
  <c r="B12" i="27" s="1"/>
  <c r="B13" i="5" s="1"/>
  <c r="I86" i="6"/>
  <c r="D18" i="26"/>
  <c r="I26" i="1"/>
  <c r="I10" i="6"/>
  <c r="E6" i="41"/>
  <c r="E7" i="41"/>
  <c r="I74" i="6"/>
  <c r="I25" i="1"/>
  <c r="E38" i="41"/>
  <c r="B20" i="41"/>
  <c r="I23" i="3"/>
  <c r="B126" i="12"/>
  <c r="D126" i="12" s="1"/>
  <c r="H126" i="12" s="1"/>
  <c r="B134" i="12" s="1"/>
  <c r="H17" i="6"/>
  <c r="F28" i="5"/>
  <c r="D19" i="15"/>
  <c r="B4" i="38"/>
  <c r="D24" i="26"/>
  <c r="B24" i="26"/>
  <c r="F24" i="26"/>
  <c r="B15" i="27"/>
  <c r="C24" i="26"/>
  <c r="B10" i="44"/>
  <c r="C10" i="44" s="1"/>
  <c r="E24" i="26"/>
  <c r="B119" i="12"/>
  <c r="C93" i="12"/>
  <c r="C94" i="12"/>
  <c r="C92" i="12"/>
  <c r="C91" i="12"/>
  <c r="C95" i="12"/>
  <c r="K16" i="2" l="1"/>
  <c r="D84" i="17"/>
  <c r="E20" i="26"/>
  <c r="J5" i="6"/>
  <c r="K7" i="2"/>
  <c r="K13" i="3" s="1"/>
  <c r="D65" i="5"/>
  <c r="K8" i="1"/>
  <c r="F20" i="26" s="1"/>
  <c r="G20" i="26" s="1"/>
  <c r="K6" i="1"/>
  <c r="K10" i="1"/>
  <c r="K9" i="6" s="1"/>
  <c r="K9" i="1"/>
  <c r="K8" i="6" s="1"/>
  <c r="D19" i="5"/>
  <c r="K10" i="2"/>
  <c r="K16" i="3" s="1"/>
  <c r="K3" i="41"/>
  <c r="L3" i="41" s="1"/>
  <c r="E116" i="12"/>
  <c r="G116" i="12" s="1"/>
  <c r="H116" i="12" s="1"/>
  <c r="G129" i="12" s="1"/>
  <c r="K44" i="3"/>
  <c r="K23" i="2"/>
  <c r="K21" i="3" s="1"/>
  <c r="K8" i="2"/>
  <c r="K15" i="3" s="1"/>
  <c r="K7" i="1"/>
  <c r="K4" i="6"/>
  <c r="K5" i="6" s="1"/>
  <c r="K20" i="2"/>
  <c r="K20" i="3" s="1"/>
  <c r="K25" i="2"/>
  <c r="K11" i="6"/>
  <c r="J11" i="1"/>
  <c r="J25" i="1" s="1"/>
  <c r="E128" i="12"/>
  <c r="J49" i="6"/>
  <c r="J7" i="3"/>
  <c r="C86" i="12" s="1"/>
  <c r="J26" i="2"/>
  <c r="G17" i="26"/>
  <c r="F24" i="27"/>
  <c r="F22" i="26"/>
  <c r="G22" i="26" s="1"/>
  <c r="J19" i="3"/>
  <c r="J23" i="3" s="1"/>
  <c r="J86" i="6"/>
  <c r="K19" i="3"/>
  <c r="C134" i="12"/>
  <c r="D134" i="12" s="1"/>
  <c r="C133" i="12"/>
  <c r="D133" i="12" s="1"/>
  <c r="C135" i="12"/>
  <c r="C136" i="12"/>
  <c r="C137" i="12"/>
  <c r="E129" i="12"/>
  <c r="D19" i="26"/>
  <c r="G24" i="26"/>
  <c r="B127" i="12"/>
  <c r="D127" i="12" s="1"/>
  <c r="H127" i="12" s="1"/>
  <c r="B135" i="12" s="1"/>
  <c r="I17" i="6"/>
  <c r="F29" i="5"/>
  <c r="E19" i="15"/>
  <c r="K49" i="6" l="1"/>
  <c r="K77" i="6"/>
  <c r="B128" i="12"/>
  <c r="D128" i="12" s="1"/>
  <c r="H128" i="12" s="1"/>
  <c r="B136" i="12" s="1"/>
  <c r="D136" i="12" s="1"/>
  <c r="F19" i="15"/>
  <c r="G19" i="15" s="1"/>
  <c r="K26" i="2"/>
  <c r="K7" i="6"/>
  <c r="K7" i="3"/>
  <c r="C87" i="12" s="1"/>
  <c r="K86" i="6"/>
  <c r="K11" i="1"/>
  <c r="F18" i="26" s="1"/>
  <c r="F19" i="26" s="1"/>
  <c r="J47" i="2"/>
  <c r="E18" i="26"/>
  <c r="E19" i="26" s="1"/>
  <c r="J10" i="6"/>
  <c r="F7" i="41"/>
  <c r="F6" i="41"/>
  <c r="J74" i="6"/>
  <c r="J26" i="1"/>
  <c r="F30" i="5"/>
  <c r="J17" i="6"/>
  <c r="D135" i="12"/>
  <c r="K23" i="3"/>
  <c r="B4" i="44" l="1"/>
  <c r="C4" i="44" s="1"/>
  <c r="G7" i="41"/>
  <c r="G6" i="41"/>
  <c r="K47" i="2"/>
  <c r="K10" i="6"/>
  <c r="K74" i="6"/>
  <c r="K25" i="1"/>
  <c r="F31" i="5" s="1"/>
  <c r="K26" i="1"/>
  <c r="G18" i="26"/>
  <c r="G19" i="26" s="1"/>
  <c r="B8" i="44"/>
  <c r="C8" i="44" s="1"/>
  <c r="B6" i="44"/>
  <c r="C6" i="44" s="1"/>
  <c r="D66" i="5" l="1"/>
  <c r="K4" i="41"/>
  <c r="L4" i="41" s="1"/>
  <c r="B129" i="12"/>
  <c r="D129" i="12" s="1"/>
  <c r="H129" i="12" s="1"/>
  <c r="K17" i="6"/>
  <c r="B137" i="12" l="1"/>
  <c r="D137" i="12" s="1"/>
  <c r="E133" i="12" s="1"/>
  <c r="B138" i="12"/>
  <c r="B139" i="12" s="1"/>
  <c r="B9" i="44"/>
  <c r="C9" i="44" s="1"/>
  <c r="B140" i="12" l="1"/>
  <c r="B141" i="12" s="1"/>
  <c r="B142" i="12" s="1"/>
  <c r="B146" i="12" l="1"/>
  <c r="B145" i="12"/>
  <c r="B176" i="12" s="1"/>
  <c r="B144" i="12"/>
  <c r="B23" i="32" s="1"/>
  <c r="D23" i="32" s="1"/>
  <c r="B29" i="5" s="1"/>
  <c r="J24" i="3"/>
  <c r="E86" i="12" s="1"/>
  <c r="I24" i="3"/>
  <c r="E85" i="12" s="1"/>
  <c r="H24" i="3"/>
  <c r="K24" i="3"/>
  <c r="E87" i="12" s="1"/>
  <c r="G24" i="3"/>
  <c r="B102" i="32" l="1"/>
  <c r="B58" i="12"/>
  <c r="E31" i="5"/>
  <c r="B168" i="12"/>
  <c r="B175" i="12"/>
  <c r="E83" i="12"/>
  <c r="E84" i="12"/>
  <c r="H44" i="6" l="1"/>
  <c r="H45" i="6" s="1"/>
  <c r="H30" i="2"/>
  <c r="H35" i="1"/>
  <c r="H37" i="1" s="1"/>
  <c r="H38" i="1" s="1"/>
  <c r="H15" i="1" s="1"/>
  <c r="H46" i="6" l="1"/>
  <c r="H50" i="6"/>
  <c r="H12" i="6"/>
  <c r="H17" i="1"/>
  <c r="H18" i="1" l="1"/>
  <c r="H13" i="6"/>
  <c r="H19" i="1" l="1"/>
  <c r="H20" i="1" s="1"/>
  <c r="H14" i="6"/>
  <c r="H42" i="3" l="1"/>
  <c r="H41" i="3" s="1"/>
  <c r="H27" i="1"/>
  <c r="H4" i="3"/>
  <c r="H23" i="1"/>
  <c r="H21" i="1"/>
  <c r="E16" i="5" s="1"/>
  <c r="H54" i="6"/>
  <c r="H16" i="6"/>
  <c r="B84" i="12"/>
  <c r="G84" i="12" s="1"/>
  <c r="B92" i="12" s="1"/>
  <c r="D92" i="12" s="1"/>
  <c r="H15" i="6"/>
  <c r="H51" i="6"/>
  <c r="H75" i="6"/>
  <c r="H76" i="6" s="1"/>
  <c r="H87" i="6" s="1"/>
  <c r="H80" i="6" s="1"/>
  <c r="H36" i="2" l="1"/>
  <c r="H28" i="1"/>
  <c r="H35" i="2"/>
  <c r="H56" i="6"/>
  <c r="H57" i="6" s="1"/>
  <c r="H25" i="3"/>
  <c r="H38" i="2" l="1"/>
  <c r="H40" i="2" s="1"/>
  <c r="D18" i="15" s="1"/>
  <c r="H61" i="3"/>
  <c r="H60" i="3" s="1"/>
  <c r="D3" i="41" l="1"/>
  <c r="C21" i="41" s="1"/>
  <c r="H17" i="2"/>
  <c r="H38" i="6" s="1"/>
  <c r="H41" i="2"/>
  <c r="C23" i="26"/>
  <c r="D5" i="41"/>
  <c r="H26" i="6" l="1"/>
  <c r="H35" i="6"/>
  <c r="H36" i="6"/>
  <c r="H23" i="6"/>
  <c r="H22" i="6"/>
  <c r="H37" i="6"/>
  <c r="H53" i="2"/>
  <c r="H41" i="6"/>
  <c r="H34" i="6"/>
  <c r="H31" i="6"/>
  <c r="D4" i="41"/>
  <c r="D21" i="41" s="1"/>
  <c r="H30" i="6"/>
  <c r="H27" i="6"/>
  <c r="H25" i="6"/>
  <c r="H33" i="6"/>
  <c r="H32" i="6"/>
  <c r="D38" i="5"/>
  <c r="C25" i="26"/>
  <c r="C41" i="27"/>
  <c r="H24" i="6" l="1"/>
  <c r="I44" i="6"/>
  <c r="I88" i="6" s="1"/>
  <c r="I30" i="2"/>
  <c r="I35" i="1"/>
  <c r="I37" i="1" s="1"/>
  <c r="I38" i="1" s="1"/>
  <c r="I15" i="1" s="1"/>
  <c r="I45" i="6" l="1"/>
  <c r="I46" i="6" s="1"/>
  <c r="I50" i="6"/>
  <c r="I12" i="6"/>
  <c r="I17" i="1"/>
  <c r="I13" i="6" l="1"/>
  <c r="I18" i="1"/>
  <c r="I14" i="6" l="1"/>
  <c r="I19" i="1"/>
  <c r="I20" i="1" s="1"/>
  <c r="I42" i="3" l="1"/>
  <c r="I41" i="3" s="1"/>
  <c r="I23" i="1"/>
  <c r="I4" i="3"/>
  <c r="I21" i="1"/>
  <c r="I27" i="1"/>
  <c r="I16" i="6"/>
  <c r="I89" i="6" s="1"/>
  <c r="B85" i="12"/>
  <c r="G85" i="12" s="1"/>
  <c r="B93" i="12" s="1"/>
  <c r="D93" i="12" s="1"/>
  <c r="I54" i="6"/>
  <c r="I51" i="6"/>
  <c r="I15" i="6"/>
  <c r="I75" i="6"/>
  <c r="I76" i="6" s="1"/>
  <c r="I87" i="6" s="1"/>
  <c r="I80" i="6" s="1"/>
  <c r="I36" i="2" l="1"/>
  <c r="E17" i="5"/>
  <c r="I28" i="1"/>
  <c r="I25" i="3"/>
  <c r="I56" i="6"/>
  <c r="I57" i="6" s="1"/>
  <c r="I35" i="2"/>
  <c r="I38" i="2" l="1"/>
  <c r="I40" i="2" s="1"/>
  <c r="I17" i="2" s="1"/>
  <c r="I61" i="3"/>
  <c r="I60" i="3" s="1"/>
  <c r="I41" i="2" l="1"/>
  <c r="E18" i="15"/>
  <c r="E3" i="41"/>
  <c r="C22" i="41" s="1"/>
  <c r="I26" i="6"/>
  <c r="I30" i="6"/>
  <c r="I31" i="6"/>
  <c r="I34" i="6"/>
  <c r="I36" i="6"/>
  <c r="I32" i="6"/>
  <c r="I35" i="6"/>
  <c r="I53" i="2"/>
  <c r="I23" i="6"/>
  <c r="I22" i="6"/>
  <c r="I41" i="6"/>
  <c r="I25" i="6"/>
  <c r="I33" i="6"/>
  <c r="I27" i="6"/>
  <c r="I37" i="6"/>
  <c r="E4" i="41"/>
  <c r="D22" i="41" s="1"/>
  <c r="D23" i="26"/>
  <c r="E5" i="41"/>
  <c r="I38" i="6"/>
  <c r="I24" i="6" l="1"/>
  <c r="D39" i="5"/>
  <c r="D25" i="26"/>
  <c r="D41" i="27"/>
  <c r="J44" i="6" l="1"/>
  <c r="J30" i="2"/>
  <c r="J35" i="1"/>
  <c r="J37" i="1" s="1"/>
  <c r="J38" i="1" s="1"/>
  <c r="J15" i="1" s="1"/>
  <c r="J12" i="6" l="1"/>
  <c r="J50" i="6"/>
  <c r="J17" i="1"/>
  <c r="J45" i="6"/>
  <c r="J46" i="6" s="1"/>
  <c r="J88" i="6"/>
  <c r="J13" i="6" l="1"/>
  <c r="J18" i="1"/>
  <c r="J14" i="6" l="1"/>
  <c r="J19" i="1"/>
  <c r="J20" i="1" s="1"/>
  <c r="B86" i="12" l="1"/>
  <c r="G86" i="12" s="1"/>
  <c r="B94" i="12" s="1"/>
  <c r="D94" i="12" s="1"/>
  <c r="J16" i="6"/>
  <c r="J89" i="6" s="1"/>
  <c r="J42" i="3"/>
  <c r="J41" i="3" s="1"/>
  <c r="J23" i="1"/>
  <c r="J27" i="1"/>
  <c r="J4" i="3"/>
  <c r="J54" i="6"/>
  <c r="J21" i="1"/>
  <c r="E18" i="5" s="1"/>
  <c r="J51" i="6"/>
  <c r="J75" i="6"/>
  <c r="J76" i="6" s="1"/>
  <c r="J87" i="6" s="1"/>
  <c r="J80" i="6" s="1"/>
  <c r="J15" i="6"/>
  <c r="J28" i="1" l="1"/>
  <c r="J25" i="3"/>
  <c r="J35" i="2"/>
  <c r="J36" i="2"/>
  <c r="J56" i="6"/>
  <c r="J57" i="6" s="1"/>
  <c r="J38" i="2" l="1"/>
  <c r="J40" i="2" s="1"/>
  <c r="J17" i="2" s="1"/>
  <c r="J61" i="3"/>
  <c r="J60" i="3" s="1"/>
  <c r="J41" i="2" l="1"/>
  <c r="F18" i="15"/>
  <c r="F3" i="41"/>
  <c r="C23" i="41" s="1"/>
  <c r="E23" i="26"/>
  <c r="F5" i="41"/>
  <c r="J32" i="6"/>
  <c r="J31" i="6"/>
  <c r="J35" i="6"/>
  <c r="J33" i="6"/>
  <c r="J26" i="6"/>
  <c r="J41" i="6"/>
  <c r="J34" i="6"/>
  <c r="J22" i="6"/>
  <c r="J53" i="2"/>
  <c r="J36" i="6"/>
  <c r="J23" i="6"/>
  <c r="J25" i="6"/>
  <c r="J30" i="6"/>
  <c r="J27" i="6"/>
  <c r="J37" i="6"/>
  <c r="F4" i="41"/>
  <c r="D23" i="41" s="1"/>
  <c r="J38" i="6"/>
  <c r="J24" i="6" l="1"/>
  <c r="E25" i="26"/>
  <c r="D40" i="5"/>
  <c r="E41" i="27"/>
  <c r="K44" i="6" l="1"/>
  <c r="K45" i="6" s="1"/>
  <c r="K30" i="2"/>
  <c r="K35" i="1"/>
  <c r="K37" i="1" s="1"/>
  <c r="K38" i="1" s="1"/>
  <c r="K15" i="1" s="1"/>
  <c r="K17" i="1" l="1"/>
  <c r="K50" i="6"/>
  <c r="K12" i="6"/>
  <c r="K46" i="6"/>
  <c r="K88" i="6"/>
  <c r="K13" i="6" l="1"/>
  <c r="K18" i="1"/>
  <c r="K14" i="6" l="1"/>
  <c r="K19" i="1"/>
  <c r="K20" i="1" s="1"/>
  <c r="K21" i="1" l="1"/>
  <c r="K42" i="3"/>
  <c r="K41" i="3" s="1"/>
  <c r="K54" i="6"/>
  <c r="B14" i="5"/>
  <c r="K27" i="1"/>
  <c r="K23" i="1"/>
  <c r="K5" i="41" s="1"/>
  <c r="L5" i="41" s="1"/>
  <c r="B87" i="12"/>
  <c r="G87" i="12" s="1"/>
  <c r="K16" i="6"/>
  <c r="K89" i="6" s="1"/>
  <c r="K4" i="3"/>
  <c r="K51" i="6"/>
  <c r="K75" i="6"/>
  <c r="K76" i="6" s="1"/>
  <c r="K87" i="6" s="1"/>
  <c r="G81" i="6" s="1"/>
  <c r="G82" i="6" s="1"/>
  <c r="K15" i="6"/>
  <c r="K36" i="2" l="1"/>
  <c r="B3" i="44" s="1"/>
  <c r="C3" i="44" s="1"/>
  <c r="K80" i="6"/>
  <c r="K25" i="3"/>
  <c r="K56" i="6"/>
  <c r="K57" i="6" s="1"/>
  <c r="B96" i="12"/>
  <c r="B97" i="12" s="1"/>
  <c r="B95" i="12"/>
  <c r="D95" i="12" s="1"/>
  <c r="K35" i="2"/>
  <c r="E19" i="5"/>
  <c r="K28" i="1"/>
  <c r="K38" i="2" l="1"/>
  <c r="K40" i="2" s="1"/>
  <c r="B15" i="5" s="1"/>
  <c r="C43" i="33" s="1"/>
  <c r="K61" i="3"/>
  <c r="K60" i="3" s="1"/>
  <c r="K17" i="2" l="1"/>
  <c r="K41" i="6" s="1"/>
  <c r="K41" i="2"/>
  <c r="G3" i="41"/>
  <c r="C24" i="41" s="1"/>
  <c r="G5" i="41"/>
  <c r="D70" i="5"/>
  <c r="F23" i="26"/>
  <c r="K30" i="6" l="1"/>
  <c r="K23" i="6"/>
  <c r="K38" i="6"/>
  <c r="K25" i="6"/>
  <c r="K53" i="2"/>
  <c r="K34" i="6"/>
  <c r="K27" i="6"/>
  <c r="K32" i="6"/>
  <c r="K26" i="6"/>
  <c r="K36" i="6"/>
  <c r="K37" i="6"/>
  <c r="K35" i="6"/>
  <c r="K22" i="6"/>
  <c r="K33" i="6"/>
  <c r="K31" i="6"/>
  <c r="G4" i="41"/>
  <c r="D24" i="41" s="1"/>
  <c r="K6" i="41"/>
  <c r="L6" i="41" s="1"/>
  <c r="F41" i="27"/>
  <c r="D41" i="5"/>
  <c r="F25" i="26"/>
  <c r="B26" i="26"/>
  <c r="B27" i="26" s="1"/>
  <c r="G30" i="2"/>
  <c r="G44" i="6"/>
  <c r="H88" i="6" s="1"/>
  <c r="H89" i="6" s="1"/>
  <c r="G35" i="1"/>
  <c r="G37" i="1" s="1"/>
  <c r="G38" i="1" s="1"/>
  <c r="G15" i="1" s="1"/>
  <c r="B12" i="42"/>
  <c r="B19" i="42" s="1"/>
  <c r="B20" i="42" s="1"/>
  <c r="K24" i="6" l="1"/>
  <c r="G17" i="1"/>
  <c r="G12" i="6"/>
  <c r="G50" i="6"/>
  <c r="B11" i="42"/>
  <c r="G88" i="6"/>
  <c r="G45" i="6"/>
  <c r="G46" i="6" s="1"/>
  <c r="G13" i="6" l="1"/>
  <c r="G18" i="1"/>
  <c r="G19" i="1" l="1"/>
  <c r="G14" i="6"/>
  <c r="G20" i="1" l="1"/>
  <c r="G27" i="1" s="1"/>
  <c r="G75" i="6"/>
  <c r="G76" i="6" s="1"/>
  <c r="G87" i="6" s="1"/>
  <c r="G16" i="6"/>
  <c r="G89" i="6" s="1"/>
  <c r="G23" i="1"/>
  <c r="B83" i="12"/>
  <c r="G83" i="12" s="1"/>
  <c r="B91" i="12" s="1"/>
  <c r="D91" i="12" s="1"/>
  <c r="B98" i="12" s="1"/>
  <c r="B99" i="12" s="1"/>
  <c r="B22" i="32" s="1"/>
  <c r="G4" i="3"/>
  <c r="G21" i="1"/>
  <c r="E15" i="5" s="1"/>
  <c r="G54" i="6"/>
  <c r="G15" i="6"/>
  <c r="G51" i="6"/>
  <c r="G42" i="3" l="1"/>
  <c r="G41" i="3" s="1"/>
  <c r="G35" i="2" s="1"/>
  <c r="G80" i="6"/>
  <c r="G83" i="6" s="1"/>
  <c r="G84" i="6" s="1"/>
  <c r="G85" i="6" s="1"/>
  <c r="G28" i="1"/>
  <c r="G25" i="3"/>
  <c r="G56" i="6"/>
  <c r="G57" i="6" s="1"/>
  <c r="B60" i="12"/>
  <c r="B101" i="12"/>
  <c r="B104" i="12" s="1"/>
  <c r="B105" i="12"/>
  <c r="G36" i="2" l="1"/>
  <c r="G38" i="2"/>
  <c r="G40" i="2" s="1"/>
  <c r="C3" i="41" s="1"/>
  <c r="C20" i="41" s="1"/>
  <c r="G45" i="3"/>
  <c r="G68" i="3" s="1"/>
  <c r="G70" i="3" s="1"/>
  <c r="H67" i="3" s="1"/>
  <c r="G61" i="3"/>
  <c r="B101" i="32"/>
  <c r="B107" i="12"/>
  <c r="D22" i="32"/>
  <c r="B25" i="32" s="1"/>
  <c r="B30" i="5"/>
  <c r="B23" i="26" l="1"/>
  <c r="G60" i="3"/>
  <c r="G17" i="2"/>
  <c r="G41" i="6" s="1"/>
  <c r="G41" i="2"/>
  <c r="C18" i="15"/>
  <c r="G18" i="15" s="1"/>
  <c r="C5" i="41"/>
  <c r="G46" i="3"/>
  <c r="G47" i="3" s="1"/>
  <c r="G43" i="3"/>
  <c r="B43" i="32"/>
  <c r="B11" i="44"/>
  <c r="C11" i="44" s="1"/>
  <c r="B33" i="5"/>
  <c r="B9" i="29"/>
  <c r="B58" i="29" s="1"/>
  <c r="C4" i="41" l="1"/>
  <c r="D20" i="41" s="1"/>
  <c r="G25" i="6"/>
  <c r="G30" i="6"/>
  <c r="G26" i="6"/>
  <c r="G32" i="6"/>
  <c r="G31" i="6"/>
  <c r="G34" i="6"/>
  <c r="G23" i="6"/>
  <c r="G33" i="6"/>
  <c r="G53" i="2"/>
  <c r="G37" i="6"/>
  <c r="G36" i="6"/>
  <c r="G22" i="6"/>
  <c r="G27" i="6"/>
  <c r="G38" i="6"/>
  <c r="G35" i="6"/>
  <c r="B41" i="27"/>
  <c r="B25" i="26"/>
  <c r="G25" i="26" s="1"/>
  <c r="B28" i="26" s="1"/>
  <c r="D37" i="5"/>
  <c r="G23" i="26"/>
  <c r="B16" i="5" s="1"/>
  <c r="C44" i="33" s="1"/>
  <c r="B14" i="27"/>
  <c r="E34" i="5"/>
  <c r="D5" i="5"/>
  <c r="B37" i="5"/>
  <c r="B112" i="39"/>
  <c r="B44" i="32"/>
  <c r="C36" i="33"/>
  <c r="B81" i="32"/>
  <c r="H17" i="12"/>
  <c r="B38" i="5" l="1"/>
  <c r="F10" i="5"/>
  <c r="G55" i="3"/>
  <c r="G57" i="3" s="1"/>
  <c r="G59" i="3" s="1"/>
  <c r="H58" i="3" s="1"/>
  <c r="G24" i="6"/>
  <c r="D56" i="5"/>
  <c r="B82" i="32"/>
  <c r="B103" i="32"/>
  <c r="B11" i="29"/>
  <c r="B60" i="29" s="1"/>
  <c r="B114" i="39"/>
  <c r="C37" i="33"/>
  <c r="B33" i="26"/>
  <c r="E12" i="27"/>
  <c r="I25" i="27" s="1"/>
  <c r="D6" i="5" l="1"/>
  <c r="F12" i="5"/>
  <c r="G62" i="3"/>
  <c r="G4" i="2"/>
  <c r="G11" i="2" s="1"/>
  <c r="G50" i="2" s="1"/>
  <c r="G48" i="2" s="1"/>
  <c r="G49" i="2" s="1"/>
  <c r="H45" i="3"/>
  <c r="H68" i="3" s="1"/>
  <c r="H70" i="3" s="1"/>
  <c r="I67" i="3" s="1"/>
  <c r="E56" i="5"/>
  <c r="F52" i="5"/>
  <c r="F53" i="5" s="1"/>
  <c r="F54" i="5" s="1"/>
  <c r="F55" i="5" s="1"/>
  <c r="F56" i="5" s="1"/>
  <c r="C8" i="41" l="1"/>
  <c r="C9" i="41" s="1"/>
  <c r="G51" i="2"/>
  <c r="H43" i="3"/>
  <c r="H46" i="3"/>
  <c r="H47" i="3" s="1"/>
  <c r="B29" i="41" l="1"/>
  <c r="E29" i="41"/>
  <c r="B38" i="41" s="1"/>
  <c r="D10" i="41"/>
  <c r="E39" i="41" s="1"/>
  <c r="I17" i="12"/>
  <c r="B21" i="41" l="1"/>
  <c r="H55" i="3"/>
  <c r="H57" i="3" s="1"/>
  <c r="H59" i="3" s="1"/>
  <c r="I58" i="3" s="1"/>
  <c r="H62" i="3" l="1"/>
  <c r="H4" i="2"/>
  <c r="H11" i="2" s="1"/>
  <c r="H50" i="2" s="1"/>
  <c r="H48" i="2" s="1"/>
  <c r="H49" i="2" s="1"/>
  <c r="I45" i="3"/>
  <c r="I68" i="3" s="1"/>
  <c r="I70" i="3" s="1"/>
  <c r="J67" i="3" s="1"/>
  <c r="D8" i="41" l="1"/>
  <c r="E30" i="41" s="1"/>
  <c r="B39" i="41" s="1"/>
  <c r="I46" i="3"/>
  <c r="I47" i="3" s="1"/>
  <c r="I43" i="3"/>
  <c r="H51" i="2"/>
  <c r="D9" i="41" l="1"/>
  <c r="B30" i="41"/>
  <c r="E10" i="41"/>
  <c r="E40" i="41" s="1"/>
  <c r="J17" i="12"/>
  <c r="B22" i="41" l="1"/>
  <c r="I55" i="3"/>
  <c r="I57" i="3" s="1"/>
  <c r="I59" i="3" s="1"/>
  <c r="I4" i="2" s="1"/>
  <c r="J58" i="3" l="1"/>
  <c r="J45" i="3" s="1"/>
  <c r="J68" i="3" s="1"/>
  <c r="J70" i="3" s="1"/>
  <c r="K67" i="3" s="1"/>
  <c r="I62" i="3"/>
  <c r="E8" i="41"/>
  <c r="I11" i="2"/>
  <c r="I50" i="2" s="1"/>
  <c r="I48" i="2" s="1"/>
  <c r="I49" i="2" s="1"/>
  <c r="I51" i="2" l="1"/>
  <c r="J43" i="3"/>
  <c r="J46" i="3"/>
  <c r="J47" i="3" s="1"/>
  <c r="B31" i="41"/>
  <c r="E31" i="41"/>
  <c r="B40" i="41" s="1"/>
  <c r="F10" i="41"/>
  <c r="E9" i="41"/>
  <c r="B23" i="41" l="1"/>
  <c r="E41" i="41"/>
  <c r="K17" i="12"/>
  <c r="J55" i="3" l="1"/>
  <c r="J57" i="3" s="1"/>
  <c r="J59" i="3" s="1"/>
  <c r="J4" i="2" s="1"/>
  <c r="K58" i="3" l="1"/>
  <c r="K45" i="3" s="1"/>
  <c r="K68" i="3" s="1"/>
  <c r="K70" i="3" s="1"/>
  <c r="J62" i="3"/>
  <c r="F8" i="41"/>
  <c r="J11" i="2"/>
  <c r="J50" i="2" s="1"/>
  <c r="J48" i="2" s="1"/>
  <c r="J49" i="2" s="1"/>
  <c r="J51" i="2" l="1"/>
  <c r="K43" i="3"/>
  <c r="K46" i="3"/>
  <c r="K47" i="3" s="1"/>
  <c r="B32" i="41"/>
  <c r="E32" i="41"/>
  <c r="B41" i="41" s="1"/>
  <c r="G10" i="41"/>
  <c r="F9" i="41"/>
  <c r="E42" i="41" l="1"/>
  <c r="B24" i="41"/>
  <c r="B5" i="44"/>
  <c r="C5" i="44" s="1"/>
  <c r="B7" i="44"/>
  <c r="C7" i="44" s="1"/>
  <c r="L17" i="12"/>
  <c r="K55" i="3" l="1"/>
  <c r="K57" i="3" s="1"/>
  <c r="K59" i="3" s="1"/>
  <c r="K4" i="2" s="1"/>
  <c r="K11" i="2" s="1"/>
  <c r="K50" i="2" s="1"/>
  <c r="K48" i="2" s="1"/>
  <c r="K49" i="2" s="1"/>
  <c r="B21" i="12"/>
  <c r="B22" i="12" s="1"/>
  <c r="B23" i="12"/>
  <c r="B14" i="44"/>
  <c r="B15" i="44"/>
  <c r="B12" i="44"/>
  <c r="B13" i="44"/>
  <c r="G8" i="41" l="1"/>
  <c r="B33" i="41" s="1"/>
  <c r="K62" i="3"/>
  <c r="B31" i="26"/>
  <c r="E15" i="27" s="1"/>
  <c r="I26" i="27" s="1"/>
  <c r="B24" i="12"/>
  <c r="D69" i="5"/>
  <c r="K51" i="2"/>
  <c r="G9" i="41" l="1"/>
  <c r="E33" i="41"/>
  <c r="B42" i="41" s="1"/>
  <c r="B29" i="26"/>
  <c r="E13" i="27" s="1"/>
  <c r="I27" i="27" s="1"/>
  <c r="B29" i="12"/>
  <c r="B26" i="12"/>
  <c r="B30" i="26" l="1"/>
  <c r="B35" i="26" s="1"/>
  <c r="B38" i="26" s="1"/>
  <c r="E7" i="27" s="1"/>
  <c r="B19" i="27" s="1"/>
  <c r="B34" i="26"/>
  <c r="B28" i="12"/>
  <c r="O21" i="12"/>
  <c r="B5" i="38" l="1"/>
  <c r="D60" i="5"/>
  <c r="E4" i="27"/>
  <c r="B20" i="27" s="1"/>
  <c r="I5" i="27" s="1"/>
  <c r="B28" i="5"/>
  <c r="E30" i="5" s="1"/>
  <c r="B63" i="26"/>
  <c r="E14" i="27"/>
  <c r="B66" i="26"/>
  <c r="D57" i="26"/>
  <c r="D55" i="26"/>
  <c r="B37" i="26"/>
  <c r="E6" i="27" s="1"/>
  <c r="B21" i="27" s="1"/>
  <c r="D58" i="26"/>
  <c r="D56" i="26"/>
  <c r="B65" i="2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<sst xmlns="http://schemas.openxmlformats.org/spreadsheetml/2006/main" count="4828" uniqueCount="2701">
  <si>
    <t>Consolidated Statement of Operations - USD ($) shares in Millions, $ in Millions</t>
  </si>
  <si>
    <t>Dec. 31, 2020</t>
  </si>
  <si>
    <t>Income Statement [Abstract]</t>
  </si>
  <si>
    <t>Net revenue</t>
  </si>
  <si>
    <t>Operating Expenses</t>
  </si>
  <si>
    <t>General and administrative</t>
  </si>
  <si>
    <t>Advertising and marketing</t>
  </si>
  <si>
    <t>Depreciation and amortization</t>
  </si>
  <si>
    <t>Provision for litigation</t>
  </si>
  <si>
    <t>Total operating expenses</t>
  </si>
  <si>
    <t>Operating income</t>
  </si>
  <si>
    <t>Other Income (Expense)</t>
  </si>
  <si>
    <t>Investment income</t>
  </si>
  <si>
    <t>Gains (losses) on equity investments, net</t>
  </si>
  <si>
    <t>Interest expense</t>
  </si>
  <si>
    <t>Other income (expense), net</t>
  </si>
  <si>
    <t>Total other income (expense)</t>
  </si>
  <si>
    <t>Income before income taxes</t>
  </si>
  <si>
    <t>Income tax expense</t>
  </si>
  <si>
    <t>Net Income</t>
  </si>
  <si>
    <t>Basic Earnings per Share</t>
  </si>
  <si>
    <t>Basic weighted-average shares outstanding</t>
  </si>
  <si>
    <t>Diluted Earnings per Share</t>
  </si>
  <si>
    <t>Diluted weighted-average shares outstanding</t>
  </si>
  <si>
    <t>Dec. 31, 2021</t>
  </si>
  <si>
    <t>Dec. 31, 2022</t>
  </si>
  <si>
    <t> </t>
  </si>
  <si>
    <t>Dec. 31, 2023</t>
  </si>
  <si>
    <t>Dec. 31, 2024</t>
  </si>
  <si>
    <t>Consolidated Balance Sheet - USD ($) $ in Millions</t>
  </si>
  <si>
    <t>Assets</t>
  </si>
  <si>
    <t>Cash and cash equivalents</t>
  </si>
  <si>
    <t>Restricted cash for litigation settlement</t>
  </si>
  <si>
    <t>Investments</t>
  </si>
  <si>
    <t>Accounts receivable</t>
  </si>
  <si>
    <t>Settlement assets</t>
  </si>
  <si>
    <t>Restricted security deposits held for customers</t>
  </si>
  <si>
    <t>Prepaid expenses and other current assets</t>
  </si>
  <si>
    <t>Total current assets</t>
  </si>
  <si>
    <t>Property, equipment and right-of-use assets, net</t>
  </si>
  <si>
    <t>Deferred income taxes</t>
  </si>
  <si>
    <t>Goodwill</t>
  </si>
  <si>
    <t>Other intangible assets, net</t>
  </si>
  <si>
    <t>Other assets</t>
  </si>
  <si>
    <t>Total Assets</t>
  </si>
  <si>
    <t>Liabilities, Redeemable Non-controlling Interests and Equity</t>
  </si>
  <si>
    <t>Accounts payable</t>
  </si>
  <si>
    <t>Settlement obligations</t>
  </si>
  <si>
    <t>Accrued litigation</t>
  </si>
  <si>
    <t>Accrued expenses</t>
  </si>
  <si>
    <t>Current portion of long-term debt</t>
  </si>
  <si>
    <t>Other current liabilities</t>
  </si>
  <si>
    <t>Total current liabilities</t>
  </si>
  <si>
    <t>Long-term debt</t>
  </si>
  <si>
    <t>Other liabilities</t>
  </si>
  <si>
    <t>Total Liabilities</t>
  </si>
  <si>
    <t>Commitments and Contingencies</t>
  </si>
  <si>
    <t>Redeemable non-controlling interests</t>
  </si>
  <si>
    <t>Stockholders’ Equity</t>
  </si>
  <si>
    <t>Additional paid-in-capital</t>
  </si>
  <si>
    <t>Class A treasury stock, at cost, 425 and 409 shares, respectively</t>
  </si>
  <si>
    <t>Retained earnings</t>
  </si>
  <si>
    <t>Accumulated other comprehensive income (loss)</t>
  </si>
  <si>
    <t>Mastercard Incorporated Stockholders' Equity</t>
  </si>
  <si>
    <t>Non-controlling interests</t>
  </si>
  <si>
    <t>Total Equity</t>
  </si>
  <si>
    <t>Total Liabilities, Redeemable Non-controlling Interests and Equity</t>
  </si>
  <si>
    <t>Class A Common Stock</t>
  </si>
  <si>
    <t>Common stock value</t>
  </si>
  <si>
    <t>Class B Common Stock</t>
  </si>
  <si>
    <t xml:space="preserve"> </t>
  </si>
  <si>
    <t>Consolidated Statement of Cash Flows - USD ($) $ in Millions</t>
  </si>
  <si>
    <t>Operating Activities</t>
  </si>
  <si>
    <t>Net income</t>
  </si>
  <si>
    <t>Adjustments to reconcile net income to net cash provided by operating activities:</t>
  </si>
  <si>
    <t>Amortization of customer and merchant incentives</t>
  </si>
  <si>
    <t>(Gains) losses on equity investments, net</t>
  </si>
  <si>
    <t>Share-based compensation</t>
  </si>
  <si>
    <t>Other</t>
  </si>
  <si>
    <t>Changes in operating assets and liabilities:</t>
  </si>
  <si>
    <t>Income taxes receivable</t>
  </si>
  <si>
    <t>Prepaid expenses</t>
  </si>
  <si>
    <t>Accrued litigation and legal settlements</t>
  </si>
  <si>
    <t>Long-term taxes payable</t>
  </si>
  <si>
    <t>Net change in other assets and liabilities</t>
  </si>
  <si>
    <t>Net cash provided by operating activities</t>
  </si>
  <si>
    <t>Investing Activities</t>
  </si>
  <si>
    <t>Purchases of investment securities available-for-sale</t>
  </si>
  <si>
    <t>Purchases of investments held-to-maturity</t>
  </si>
  <si>
    <t>Proceeds from sales of investment securities available-for-sale</t>
  </si>
  <si>
    <t>Proceeds from maturities of investment securities available-for-sale</t>
  </si>
  <si>
    <t>Proceeds from maturities of investments held-to-maturity</t>
  </si>
  <si>
    <t>Purchases of property and equipment</t>
  </si>
  <si>
    <t>Capitalized software</t>
  </si>
  <si>
    <t>Purchases of equity investments</t>
  </si>
  <si>
    <t>Acquisition of businesses, net of cash acquired</t>
  </si>
  <si>
    <t>Settlement of interest rate derivative contracts</t>
  </si>
  <si>
    <t>Other investing activities</t>
  </si>
  <si>
    <t>Net cash used in investing activities</t>
  </si>
  <si>
    <t>Financing Activities</t>
  </si>
  <si>
    <t>Purchases of treasury stock</t>
  </si>
  <si>
    <t>Dividends paid</t>
  </si>
  <si>
    <t>Proceeds from debt, net</t>
  </si>
  <si>
    <t>Payment of debt</t>
  </si>
  <si>
    <t>Acquisition of redeemable non-controlling interests</t>
  </si>
  <si>
    <t>Contingent consideration paid</t>
  </si>
  <si>
    <t>Tax withholdings related to share-based payments</t>
  </si>
  <si>
    <t>Cash proceeds from exercise of stock options</t>
  </si>
  <si>
    <t>Other financing activities</t>
  </si>
  <si>
    <t>Net cash used in financing activities</t>
  </si>
  <si>
    <t>Effect of exchange rate changes on cash, cash equivalents, restricted cash and restricted cash equivalents</t>
  </si>
  <si>
    <t>Cash, cash equivalents, restricted cash and restricted cash equivalents - beginning of period</t>
  </si>
  <si>
    <t>Cash, cash equivalents, restricted cash and restricted cash equivalents - end of period</t>
  </si>
  <si>
    <t>Proceeds from sales of equity investments</t>
  </si>
  <si>
    <t>Acquisition of non-controlling interest</t>
  </si>
  <si>
    <t>Net increase (decrease) in cash, cash equivalents, restricted cash and restricted cash equivalents</t>
  </si>
  <si>
    <t>Mastercard Inc</t>
  </si>
  <si>
    <t>Value</t>
  </si>
  <si>
    <t>Tax Rate</t>
  </si>
  <si>
    <t>2020</t>
  </si>
  <si>
    <t>2021</t>
  </si>
  <si>
    <t>2022</t>
  </si>
  <si>
    <t>2023</t>
  </si>
  <si>
    <t>2024</t>
  </si>
  <si>
    <t>2025E</t>
  </si>
  <si>
    <t>2026E</t>
  </si>
  <si>
    <t>2027E</t>
  </si>
  <si>
    <t>2028E</t>
  </si>
  <si>
    <t>2029E</t>
  </si>
  <si>
    <t>Assumption</t>
  </si>
  <si>
    <t>Revenue Growth 2025E</t>
  </si>
  <si>
    <t>Revenue Growth 2026E</t>
  </si>
  <si>
    <t>Revenue Growth 2027E</t>
  </si>
  <si>
    <t>Revenue Growth 2028E</t>
  </si>
  <si>
    <t>Revenue Growth 2029E</t>
  </si>
  <si>
    <t>PPE Growth Rate</t>
  </si>
  <si>
    <t>Intangibles Growth Rate</t>
  </si>
  <si>
    <t>Dividend Payout Ratio</t>
  </si>
  <si>
    <t xml:space="preserve">Mastercard Inc </t>
  </si>
  <si>
    <t>EBITDA</t>
  </si>
  <si>
    <t>Operating  Margin</t>
  </si>
  <si>
    <t>Net Margin</t>
  </si>
  <si>
    <t>Basis</t>
  </si>
  <si>
    <t>Revenue Growth</t>
  </si>
  <si>
    <t>Operating Income</t>
  </si>
  <si>
    <t>2025</t>
  </si>
  <si>
    <t>2026</t>
  </si>
  <si>
    <t>2027</t>
  </si>
  <si>
    <t>2028</t>
  </si>
  <si>
    <t>2029</t>
  </si>
  <si>
    <t>Net Revenue</t>
  </si>
  <si>
    <t>General &amp; Administrative</t>
  </si>
  <si>
    <t>Advertising &amp; Marketing</t>
  </si>
  <si>
    <t>Depreciation &amp; Amortization</t>
  </si>
  <si>
    <t>Provision for Litigation</t>
  </si>
  <si>
    <t>Total Operating Expenses</t>
  </si>
  <si>
    <t>Investment Income</t>
  </si>
  <si>
    <t>Interest Expense</t>
  </si>
  <si>
    <t>Total Other Income</t>
  </si>
  <si>
    <t>Income Before Tax</t>
  </si>
  <si>
    <t>Income Tax Expense</t>
  </si>
  <si>
    <t>Common Size Income Statement – Mastercard</t>
  </si>
  <si>
    <t>Variables</t>
  </si>
  <si>
    <t>Cash &amp; Cash Equivalents</t>
  </si>
  <si>
    <t>Accounts Receivable</t>
  </si>
  <si>
    <t>Settlement Assets</t>
  </si>
  <si>
    <t>Total Current Assets</t>
  </si>
  <si>
    <t>PPE</t>
  </si>
  <si>
    <t>Intangible Assets</t>
  </si>
  <si>
    <t>Other Assets</t>
  </si>
  <si>
    <t>Accounts Payable</t>
  </si>
  <si>
    <t>Accrued Expenses</t>
  </si>
  <si>
    <t>Total Current Liabilities</t>
  </si>
  <si>
    <t>Long-Term Debt</t>
  </si>
  <si>
    <t>Common Size Balance Sheet – Mastercard</t>
  </si>
  <si>
    <t>Liabilities</t>
  </si>
  <si>
    <t>Settlement Obligations</t>
  </si>
  <si>
    <t>Other Current Liabilities</t>
  </si>
  <si>
    <t>Deferred Taxes</t>
  </si>
  <si>
    <t>Asset Turnover Ratio</t>
  </si>
  <si>
    <t>Sales / Total Assets</t>
  </si>
  <si>
    <t>Debt Scheduling</t>
  </si>
  <si>
    <t>Total Debt</t>
  </si>
  <si>
    <t>Depreciation % of Revenue</t>
  </si>
  <si>
    <t>Interest % of Debt</t>
  </si>
  <si>
    <t>Depreciation, Interest, and Tax Schedule</t>
  </si>
  <si>
    <t>Dividend Schedule</t>
  </si>
  <si>
    <t>Dividend Payout %</t>
  </si>
  <si>
    <t>Dividends Paid</t>
  </si>
  <si>
    <t>Retained Earnings Added</t>
  </si>
  <si>
    <t>Risk-free rate (Rf)</t>
  </si>
  <si>
    <t>Beta</t>
  </si>
  <si>
    <t>Market Risk Premium (Rm−Rf)</t>
  </si>
  <si>
    <t>Cost of Equity (Ke)</t>
  </si>
  <si>
    <t>WACC Calculation</t>
  </si>
  <si>
    <t>Weight of Equity (E/V)</t>
  </si>
  <si>
    <t>Weight of Debt (D/V)</t>
  </si>
  <si>
    <t>Cost of Debt (Kd)</t>
  </si>
  <si>
    <t>WACC</t>
  </si>
  <si>
    <t>FCFF / FCFE Calculation</t>
  </si>
  <si>
    <t>EBIT</t>
  </si>
  <si>
    <t>EBIT(1−Tax)</t>
  </si>
  <si>
    <t>Depreciation</t>
  </si>
  <si>
    <t>Capital Expenditure</t>
  </si>
  <si>
    <t>Change in Working Capital</t>
  </si>
  <si>
    <t>FCFF</t>
  </si>
  <si>
    <t>Net Borrowings</t>
  </si>
  <si>
    <t>FCFE</t>
  </si>
  <si>
    <t>Enterprise Value Calculation</t>
  </si>
  <si>
    <t>Market Capitalization</t>
  </si>
  <si>
    <t>Investments (if any)</t>
  </si>
  <si>
    <t>Enterprise Value</t>
  </si>
  <si>
    <t>Valuation Ratios</t>
  </si>
  <si>
    <t>Formula</t>
  </si>
  <si>
    <t>P/E</t>
  </si>
  <si>
    <t>Market Cap / Net Income</t>
  </si>
  <si>
    <t>P/B</t>
  </si>
  <si>
    <t>Market Cap / Equity</t>
  </si>
  <si>
    <t>EV/EBITDA</t>
  </si>
  <si>
    <t>EV / EBITDA</t>
  </si>
  <si>
    <t>EV/EBIT</t>
  </si>
  <si>
    <t>EV / EBIT</t>
  </si>
  <si>
    <t>P/S</t>
  </si>
  <si>
    <t>Market Cap / Revenue</t>
  </si>
  <si>
    <t>Date</t>
  </si>
  <si>
    <t>Index Close</t>
  </si>
  <si>
    <t>Stock Close</t>
  </si>
  <si>
    <t>Slope</t>
  </si>
  <si>
    <t>Units</t>
  </si>
  <si>
    <t>Scale</t>
  </si>
  <si>
    <t>Country/Series-specific Notes</t>
  </si>
  <si>
    <t>Gross domestic product, constant prices</t>
  </si>
  <si>
    <t>Billions</t>
  </si>
  <si>
    <t>Source: IMF / World Bank</t>
  </si>
  <si>
    <t>National currency</t>
  </si>
  <si>
    <t>Inflation, average consumer prices</t>
  </si>
  <si>
    <t>Percent change</t>
  </si>
  <si>
    <t>Index</t>
  </si>
  <si>
    <t>See notes for:  Gross domestic product, constant prices (National currency).</t>
  </si>
  <si>
    <t>See notes for:  Inflation, average consumer prices (Index).</t>
  </si>
  <si>
    <t>Source: CEIC</t>
  </si>
  <si>
    <t>Subject Descripton</t>
  </si>
  <si>
    <t>Years</t>
  </si>
  <si>
    <t>GDP</t>
  </si>
  <si>
    <t>Inflation</t>
  </si>
  <si>
    <t>% Change in Inflation</t>
  </si>
  <si>
    <t>Industry</t>
  </si>
  <si>
    <t>Company</t>
  </si>
  <si>
    <t>% Change in GDP</t>
  </si>
  <si>
    <t>Growth In Dividend</t>
  </si>
  <si>
    <t>Long Term Growth</t>
  </si>
  <si>
    <t>Long Term Ke</t>
  </si>
  <si>
    <t>Terminal value (Do*(1+g)/(Ke-g))</t>
  </si>
  <si>
    <t>PV Of Terminal Value</t>
  </si>
  <si>
    <t>PV Of Dividends</t>
  </si>
  <si>
    <t>No OF Outstanding shares</t>
  </si>
  <si>
    <t>Traded price as on 31st March</t>
  </si>
  <si>
    <t>Diff</t>
  </si>
  <si>
    <t>Value of security</t>
  </si>
  <si>
    <t>Long Term Growth Rate</t>
  </si>
  <si>
    <t xml:space="preserve">Value Of Security </t>
  </si>
  <si>
    <t>Relative Valuation</t>
  </si>
  <si>
    <t>EV/EBITA</t>
  </si>
  <si>
    <t>Networth</t>
  </si>
  <si>
    <t>Ke</t>
  </si>
  <si>
    <t>Investor Expectation</t>
  </si>
  <si>
    <t>PAT</t>
  </si>
  <si>
    <t>Terminal Value</t>
  </si>
  <si>
    <t>PV Of EVA</t>
  </si>
  <si>
    <t>No of Outstanding Shares</t>
  </si>
  <si>
    <t>Book Value</t>
  </si>
  <si>
    <t>Price</t>
  </si>
  <si>
    <t>Residual Valuation</t>
  </si>
  <si>
    <t>Total</t>
  </si>
  <si>
    <t>Amount</t>
  </si>
  <si>
    <t>Previous Close</t>
  </si>
  <si>
    <t>Total PV Of Firm</t>
  </si>
  <si>
    <t>-</t>
  </si>
  <si>
    <t>EPS</t>
  </si>
  <si>
    <t>BVPS</t>
  </si>
  <si>
    <t>Sales Per Share</t>
  </si>
  <si>
    <t>EBITDA Per Share</t>
  </si>
  <si>
    <t>EBIT Per Share</t>
  </si>
  <si>
    <t>Calculations</t>
  </si>
  <si>
    <t>Values</t>
  </si>
  <si>
    <t>g</t>
  </si>
  <si>
    <t>Value Of Firm (Per Share)</t>
  </si>
  <si>
    <t>Value OF Firm (EVA)</t>
  </si>
  <si>
    <t>2022-2024</t>
  </si>
  <si>
    <t>Period</t>
  </si>
  <si>
    <t>Last Price</t>
  </si>
  <si>
    <t>Market Cap ($ mn)</t>
  </si>
  <si>
    <t>Sales ($ mn)</t>
  </si>
  <si>
    <t>Net Profit ($ mn)</t>
  </si>
  <si>
    <t>Total Assets ($ mn)</t>
  </si>
  <si>
    <t>Mastercard</t>
  </si>
  <si>
    <t>Visa</t>
  </si>
  <si>
    <t>American Express</t>
  </si>
  <si>
    <t>PayPal</t>
  </si>
  <si>
    <t>Global Payments</t>
  </si>
  <si>
    <t>Rating Grid</t>
  </si>
  <si>
    <t>Take Average of Five Years for the GRID Rating</t>
  </si>
  <si>
    <t xml:space="preserve">Credit Rating </t>
  </si>
  <si>
    <t xml:space="preserve">AAA </t>
  </si>
  <si>
    <t xml:space="preserve">AA </t>
  </si>
  <si>
    <t xml:space="preserve">A </t>
  </si>
  <si>
    <t xml:space="preserve">BBB </t>
  </si>
  <si>
    <t xml:space="preserve">Operating Margin </t>
  </si>
  <si>
    <t xml:space="preserve">Debt / EBITDA </t>
  </si>
  <si>
    <t xml:space="preserve">1.3 X </t>
  </si>
  <si>
    <t xml:space="preserve">1.8 X </t>
  </si>
  <si>
    <t xml:space="preserve">2.2 X </t>
  </si>
  <si>
    <t xml:space="preserve">2.5 X </t>
  </si>
  <si>
    <t xml:space="preserve">EBITDA / Interest </t>
  </si>
  <si>
    <t xml:space="preserve">25.0x </t>
  </si>
  <si>
    <t xml:space="preserve">20.0 x </t>
  </si>
  <si>
    <t xml:space="preserve">17.5 x </t>
  </si>
  <si>
    <t xml:space="preserve">15.0 x </t>
  </si>
  <si>
    <t xml:space="preserve">FCF / Debt </t>
  </si>
  <si>
    <t xml:space="preserve">Debt / Capital </t>
  </si>
  <si>
    <t xml:space="preserve">Particulars </t>
  </si>
  <si>
    <t>AVERAGE</t>
  </si>
  <si>
    <t>RATING</t>
  </si>
  <si>
    <t xml:space="preserve">FCF after Dividends </t>
  </si>
  <si>
    <t xml:space="preserve">FCF / DEBT </t>
  </si>
  <si>
    <t xml:space="preserve">DEBT / Capital </t>
  </si>
  <si>
    <t>Year End</t>
  </si>
  <si>
    <t>Operational &amp; Financial Ratios</t>
  </si>
  <si>
    <t>Retention Ratio</t>
  </si>
  <si>
    <t>Gross Margin</t>
  </si>
  <si>
    <t>ROE</t>
  </si>
  <si>
    <t>PAT / Sales</t>
  </si>
  <si>
    <t>Equity Multiplier</t>
  </si>
  <si>
    <t>Computation Formula</t>
  </si>
  <si>
    <t>Earnings Per Share (Rs)</t>
  </si>
  <si>
    <t>ROE (%)</t>
  </si>
  <si>
    <t>ROA (%)</t>
  </si>
  <si>
    <t>Total Debt Ratio</t>
  </si>
  <si>
    <t>Tax Ratio</t>
  </si>
  <si>
    <t>PAT / PBT</t>
  </si>
  <si>
    <t>Financial Leverage</t>
  </si>
  <si>
    <t>PBT / EBIT</t>
  </si>
  <si>
    <t>OPM</t>
  </si>
  <si>
    <t>Total Asset Turnover</t>
  </si>
  <si>
    <t>Leverage</t>
  </si>
  <si>
    <t>Extended Dupont</t>
  </si>
  <si>
    <t>Operating Income / Sales</t>
  </si>
  <si>
    <t>Debt to Capital</t>
  </si>
  <si>
    <t>Debt to EBITDA</t>
  </si>
  <si>
    <t>Credit Ratios</t>
  </si>
  <si>
    <t>Coverage Ratios</t>
  </si>
  <si>
    <t>Market Price</t>
  </si>
  <si>
    <t>Price to Sales</t>
  </si>
  <si>
    <t>MV of Debt</t>
  </si>
  <si>
    <t>MV of Equity</t>
  </si>
  <si>
    <t>Cash</t>
  </si>
  <si>
    <t>Current Ratio</t>
  </si>
  <si>
    <t>Cash Ratio</t>
  </si>
  <si>
    <t>Liquidity Ratios</t>
  </si>
  <si>
    <t>PAT/Number of Shares</t>
  </si>
  <si>
    <t>DPS(Rs)</t>
  </si>
  <si>
    <t>Dividend/Number of Shares</t>
  </si>
  <si>
    <t>Book Value Per share</t>
  </si>
  <si>
    <t>Share holders Equity/Number of Shares</t>
  </si>
  <si>
    <t>Effective Tax Rate(%)</t>
  </si>
  <si>
    <t>Tax/PBT</t>
  </si>
  <si>
    <t>Dividend Pay Out Ratio(%)</t>
  </si>
  <si>
    <t>DPS/EPS</t>
  </si>
  <si>
    <t>Margin/Profitability Ratios</t>
  </si>
  <si>
    <t>Gross Profit/Net Sales</t>
  </si>
  <si>
    <t>PAT/Share Holders Equity</t>
  </si>
  <si>
    <t>EBIDTA Margin</t>
  </si>
  <si>
    <t>EBIDTA / Net Sales</t>
  </si>
  <si>
    <t>EBIT Margin(%)</t>
  </si>
  <si>
    <t>PBIT/Net Sales</t>
  </si>
  <si>
    <t>PAT Margin (%) (Net Profit Margin)</t>
  </si>
  <si>
    <t>PAT/Net Sales</t>
  </si>
  <si>
    <t>PAT/Total Assets</t>
  </si>
  <si>
    <t>Growth Ratio</t>
  </si>
  <si>
    <t>Net Sales Growth(%)</t>
  </si>
  <si>
    <t>(Sales of Current Year - Sales of Previous Year)/Sales of Previous Year</t>
  </si>
  <si>
    <t>Operating Profit Growth(%)</t>
  </si>
  <si>
    <t>(Current Op Profit - Previous Year Op Profit)/Previous Year Op Profit</t>
  </si>
  <si>
    <t>PAT Growth(%)</t>
  </si>
  <si>
    <t xml:space="preserve">Growth in PAT </t>
  </si>
  <si>
    <t>EPS Growth(%)</t>
  </si>
  <si>
    <t>Growth in EPS</t>
  </si>
  <si>
    <t>Solvency Ratios/Capital Structure</t>
  </si>
  <si>
    <t>Total Debt/Equity(x)</t>
  </si>
  <si>
    <t>Total Debt/Total Equity</t>
  </si>
  <si>
    <t>Interest Cover(x) (Times Interest Earned)</t>
  </si>
  <si>
    <t>EBIT/Interest</t>
  </si>
  <si>
    <t>Debt/(Debt+Equity)</t>
  </si>
  <si>
    <t>Du Pont Analysis</t>
  </si>
  <si>
    <t>Net Profit margin</t>
  </si>
  <si>
    <t>Assets/Equity</t>
  </si>
  <si>
    <t>EBIT / Net Sales</t>
  </si>
  <si>
    <t>Total Assets / Networth</t>
  </si>
  <si>
    <t>EBIDTA / Interest Expense</t>
  </si>
  <si>
    <t>EBIT / Interest Expense</t>
  </si>
  <si>
    <t xml:space="preserve">Valuation Ratios </t>
  </si>
  <si>
    <t>Price Per Share/EPS</t>
  </si>
  <si>
    <t>MVA or Enterprise Value</t>
  </si>
  <si>
    <t>EV/EBIDTA</t>
  </si>
  <si>
    <t>% Change in PAT/% Change in EBIT</t>
  </si>
  <si>
    <t>Current Assets/Current Liabilities</t>
  </si>
  <si>
    <t>Quick Ratio (Acid Test)</t>
  </si>
  <si>
    <t>(CA-Inventory-Prepaid)/Current Liabilities</t>
  </si>
  <si>
    <t>Cash Ratio/Current Liabilities</t>
  </si>
  <si>
    <t>Operating Cash Flow to Total Debt</t>
  </si>
  <si>
    <t>CFO/Total Debt</t>
  </si>
  <si>
    <t>Year</t>
  </si>
  <si>
    <t>Total Dividend</t>
  </si>
  <si>
    <t>Dividend Per Share (DPS)</t>
  </si>
  <si>
    <t>PV of DPS</t>
  </si>
  <si>
    <t>Required Return (Ke)</t>
  </si>
  <si>
    <t>Long Term Growth (g)</t>
  </si>
  <si>
    <t>PV of Terminal Value</t>
  </si>
  <si>
    <t>Dividend Per Share</t>
  </si>
  <si>
    <t>Outstanding Shares</t>
  </si>
  <si>
    <t>Column1</t>
  </si>
  <si>
    <t>Column2</t>
  </si>
  <si>
    <t xml:space="preserve">Implied </t>
  </si>
  <si>
    <t>Intrinsic Value (DDM)</t>
  </si>
  <si>
    <t>Secured Debt</t>
  </si>
  <si>
    <t xml:space="preserve">Unsecured Debt </t>
  </si>
  <si>
    <t>Discount Factor</t>
  </si>
  <si>
    <t>Present Value of FCFF</t>
  </si>
  <si>
    <t>Terminal Value (after 2029)</t>
  </si>
  <si>
    <t>Enterprise Value (DCF)</t>
  </si>
  <si>
    <t>Equity Value</t>
  </si>
  <si>
    <t>Intrinsic Share Price</t>
  </si>
  <si>
    <t>Input</t>
  </si>
  <si>
    <t>Risk Free Rate</t>
  </si>
  <si>
    <t>Market Return</t>
  </si>
  <si>
    <t>Market Premium</t>
  </si>
  <si>
    <t>g \ Ke</t>
  </si>
  <si>
    <t>9%</t>
  </si>
  <si>
    <t>10%</t>
  </si>
  <si>
    <t>11%</t>
  </si>
  <si>
    <t>Cost of Equity Table</t>
  </si>
  <si>
    <t>sensitivity Table</t>
  </si>
  <si>
    <t>Method</t>
  </si>
  <si>
    <t>DDM</t>
  </si>
  <si>
    <t>EVA</t>
  </si>
  <si>
    <t>Final Fair Value Range</t>
  </si>
  <si>
    <t>Final Valuation Summary</t>
  </si>
  <si>
    <t>Start Growth</t>
  </si>
  <si>
    <t>Terminal Growth</t>
  </si>
  <si>
    <t>Forecast Years</t>
  </si>
  <si>
    <t>Assumptions</t>
  </si>
  <si>
    <t>Item</t>
  </si>
  <si>
    <t>G&amp;A %</t>
  </si>
  <si>
    <t>Marketing %</t>
  </si>
  <si>
    <t>Depreciation %</t>
  </si>
  <si>
    <t>Capex %</t>
  </si>
  <si>
    <t>Working Capital %</t>
  </si>
  <si>
    <t>Cash % of Assets</t>
  </si>
  <si>
    <t>Interest Rate</t>
  </si>
  <si>
    <t>EBIT Margin</t>
  </si>
  <si>
    <t>Dep % of Revenue</t>
  </si>
  <si>
    <t>Capex % of Revenue</t>
  </si>
  <si>
    <t>Working Capital % of Revenue</t>
  </si>
  <si>
    <t>FCFE Growth (if used)</t>
  </si>
  <si>
    <t>Actual</t>
  </si>
  <si>
    <t>–</t>
  </si>
  <si>
    <t>Terminal</t>
  </si>
  <si>
    <t>Stable</t>
  </si>
  <si>
    <t>EBIT Growth</t>
  </si>
  <si>
    <t>Dep Growth</t>
  </si>
  <si>
    <t>Capex Growth</t>
  </si>
  <si>
    <t>WC Growth</t>
  </si>
  <si>
    <t>Cost of Equity (Ke) (CAPM)</t>
  </si>
  <si>
    <t>TV % of EV</t>
  </si>
  <si>
    <t>WACC Used</t>
  </si>
  <si>
    <t>Terminal Growth Rate Used</t>
  </si>
  <si>
    <t>3-4%</t>
  </si>
  <si>
    <t>Index Return</t>
  </si>
  <si>
    <t>Stock Return</t>
  </si>
  <si>
    <t>AAA</t>
  </si>
  <si>
    <t>AA</t>
  </si>
  <si>
    <t>2020-2024</t>
  </si>
  <si>
    <t>2025-2029</t>
  </si>
  <si>
    <t>Historicals</t>
  </si>
  <si>
    <t>Projections</t>
  </si>
  <si>
    <t>MASTERCARD FINANCIAL MODEL – EXECUTIVE SUMMARY</t>
  </si>
  <si>
    <t>Payment Technology</t>
  </si>
  <si>
    <t>Forecast Period</t>
  </si>
  <si>
    <t>Valuation Methods</t>
  </si>
  <si>
    <t>Financial Highlights</t>
  </si>
  <si>
    <t>Company Name</t>
  </si>
  <si>
    <t>Metric</t>
  </si>
  <si>
    <t>Revenue</t>
  </si>
  <si>
    <t>Operating Margin</t>
  </si>
  <si>
    <t>Growth &amp; Profitability</t>
  </si>
  <si>
    <t>Revenue CAGR</t>
  </si>
  <si>
    <t>EPS CAGR</t>
  </si>
  <si>
    <t>Valuation Summary</t>
  </si>
  <si>
    <t>Intrinsic Value</t>
  </si>
  <si>
    <t>Investment Decision</t>
  </si>
  <si>
    <t>Current Market Price</t>
  </si>
  <si>
    <t>Upside/Downside</t>
  </si>
  <si>
    <t>Recommendation</t>
  </si>
  <si>
    <t>Average ROE</t>
  </si>
  <si>
    <t>Average Operating Margin</t>
  </si>
  <si>
    <t>Total Debt / Total Equity</t>
  </si>
  <si>
    <t>Market Cap / Shareholders Equity</t>
  </si>
  <si>
    <t>Total Debt / (Total Debt + networth)</t>
  </si>
  <si>
    <t>EBITDA/ Debt</t>
  </si>
  <si>
    <t>EBITDA / Total Debt</t>
  </si>
  <si>
    <t>Debt / EBITDA</t>
  </si>
  <si>
    <t>Price to Book Value</t>
  </si>
  <si>
    <t>1-Dividend Payout Ratio</t>
  </si>
  <si>
    <t xml:space="preserve">12 Months Ended       </t>
  </si>
  <si>
    <t>12 Months Ended       2</t>
  </si>
  <si>
    <t>12 Months Ended       3</t>
  </si>
  <si>
    <t>12 Months Ended       4</t>
  </si>
  <si>
    <t>12 Months Ended       5</t>
  </si>
  <si>
    <t xml:space="preserve">12 Months Ended </t>
  </si>
  <si>
    <t>CONSOLIDATED STATEMENTS OF OPERATIONS - USD ($) shares in Millions, $ in Millions</t>
  </si>
  <si>
    <t>12 Months Ended</t>
  </si>
  <si>
    <t>Sep. 30, 2024</t>
  </si>
  <si>
    <t>Sep. 30, 2023</t>
  </si>
  <si>
    <t>Sep. 30, 2022</t>
  </si>
  <si>
    <t>Personnel</t>
  </si>
  <si>
    <t>Marketing</t>
  </si>
  <si>
    <t>Network and processing</t>
  </si>
  <si>
    <t>Professional fees</t>
  </si>
  <si>
    <t>Litigation provision</t>
  </si>
  <si>
    <t>Non-operating Income (Expense)</t>
  </si>
  <si>
    <t>Investment income (expense) and other</t>
  </si>
  <si>
    <t>Total non-operating income (expense)</t>
  </si>
  <si>
    <t>Income tax provision</t>
  </si>
  <si>
    <t>Class A common stock</t>
  </si>
  <si>
    <t>Earnings Per Share</t>
  </si>
  <si>
    <t>Basic earnings per share (in dollars per share)</t>
  </si>
  <si>
    <t>Basic weighted-average shares outstanding (in shares)</t>
  </si>
  <si>
    <t>Diluted earnings per share (in dollars per share)</t>
  </si>
  <si>
    <t>Diluted weighted-average shares outstanding (in shares)</t>
  </si>
  <si>
    <t>Class B-1 common stock</t>
  </si>
  <si>
    <t>Class B-2 common stock</t>
  </si>
  <si>
    <t>Class C common stock</t>
  </si>
  <si>
    <t>Visa inc</t>
  </si>
  <si>
    <t>Sep. 30, 2021</t>
  </si>
  <si>
    <t>Sep. 30, 2020</t>
  </si>
  <si>
    <t>Restricted cash equivalents—U.S. litigation escrow</t>
  </si>
  <si>
    <t>Investment securities</t>
  </si>
  <si>
    <t>Settlement receivable</t>
  </si>
  <si>
    <t>Customer collateral</t>
  </si>
  <si>
    <t>Current portion of client incentives</t>
  </si>
  <si>
    <t>Client incentives</t>
  </si>
  <si>
    <t>Property, equipment and technology, net</t>
  </si>
  <si>
    <t>Intangible assets, net</t>
  </si>
  <si>
    <t>Total assets</t>
  </si>
  <si>
    <t>Settlement payable</t>
  </si>
  <si>
    <t>Accrued compensation and benefits</t>
  </si>
  <si>
    <t>Accrued liabilities</t>
  </si>
  <si>
    <t>Deferred tax liabilities</t>
  </si>
  <si>
    <t>Total liabilities</t>
  </si>
  <si>
    <t>Equity</t>
  </si>
  <si>
    <t>Right to recover for covered losses</t>
  </si>
  <si>
    <t>Additional paid-in capital</t>
  </si>
  <si>
    <t>Accumulated income</t>
  </si>
  <si>
    <t>Defined benefit pension and other postretirement plans</t>
  </si>
  <si>
    <t>Derivative instruments</t>
  </si>
  <si>
    <t>Foreign currency translation adjustments</t>
  </si>
  <si>
    <t>Total equity</t>
  </si>
  <si>
    <t>Total liabilities and equity</t>
  </si>
  <si>
    <t>Series A convertible participating preferred stock</t>
  </si>
  <si>
    <t>Preferred stock</t>
  </si>
  <si>
    <t>Series B convertible participating preferred stock</t>
  </si>
  <si>
    <t>Series C convertible participating preferred stock</t>
  </si>
  <si>
    <t>Class A common stock</t>
  </si>
  <si>
    <t>Common stock</t>
  </si>
  <si>
    <t>Class B common stock</t>
  </si>
  <si>
    <t>Commitments and contingencies (Note 18 and Note 20)</t>
  </si>
  <si>
    <t>Accumulated other comprehensive income (loss):</t>
  </si>
  <si>
    <t>Total accumulated other comprehensive income (loss)</t>
  </si>
  <si>
    <t>Consolidated Statements of Income - USD ($) shares in Millions, $ in Millions</t>
  </si>
  <si>
    <t>Non-interest revenues</t>
  </si>
  <si>
    <t>Total non-interest revenues</t>
  </si>
  <si>
    <t>Interest income</t>
  </si>
  <si>
    <t>Interest on loans</t>
  </si>
  <si>
    <t>Interest and dividends on investment securities</t>
  </si>
  <si>
    <t>Deposits with banks and other</t>
  </si>
  <si>
    <t>Total interest income</t>
  </si>
  <si>
    <t>Deposits</t>
  </si>
  <si>
    <t>Long-term debt and other</t>
  </si>
  <si>
    <t>Total interest expense</t>
  </si>
  <si>
    <t>Net interest income</t>
  </si>
  <si>
    <t>Total revenues net of interest expense</t>
  </si>
  <si>
    <t>Provisions for credit losses</t>
  </si>
  <si>
    <t>Total revenues net of interest expense after provisions for credit losses</t>
  </si>
  <si>
    <t>Expenses</t>
  </si>
  <si>
    <t>Card Member rewards</t>
  </si>
  <si>
    <t>Business development</t>
  </si>
  <si>
    <t>Card Member services</t>
  </si>
  <si>
    <t>Salaries and employee benefits</t>
  </si>
  <si>
    <t>Other, net</t>
  </si>
  <si>
    <t>Total expenses</t>
  </si>
  <si>
    <t>Pretax income</t>
  </si>
  <si>
    <t>Earnings per Common Share</t>
  </si>
  <si>
    <t>Basic (in dollars per share)</t>
  </si>
  <si>
    <t>Diluted (in dollars per share)</t>
  </si>
  <si>
    <t>Average common shares outstanding for earnings per common share:</t>
  </si>
  <si>
    <t>Basic (in shares)</t>
  </si>
  <si>
    <t>Diluted (in shares)</t>
  </si>
  <si>
    <t>Card Member receivables</t>
  </si>
  <si>
    <t>Card Member loans</t>
  </si>
  <si>
    <t>Discount revenue</t>
  </si>
  <si>
    <t>Net card fees</t>
  </si>
  <si>
    <t>Service fees and other revenue</t>
  </si>
  <si>
    <t>Processed revenue</t>
  </si>
  <si>
    <t>Consolidated Balance Sheets - USD ($) $ in Millions</t>
  </si>
  <si>
    <t>Cash and due from banks (includes restricted cash of consolidated variable interest entities: 2024, $6; 2023, nil)</t>
  </si>
  <si>
    <t>Interest-bearing deposits in other banks</t>
  </si>
  <si>
    <t>Short-term investment securities (includes restricted investments of consolidated variable interest entities: 2024, $82; 2023, $66)</t>
  </si>
  <si>
    <t>Total cash and cash equivalents (includes restricted cash: 2024, $427; 2023, $514)</t>
  </si>
  <si>
    <t>Premises and equipment, less accumulated depreciation and amortization: 2024, $10,739; 2023, $9,911</t>
  </si>
  <si>
    <t>Other assets, less reserves for credit losses: 2024, $27; 2023, $27</t>
  </si>
  <si>
    <t>Customer deposits</t>
  </si>
  <si>
    <t>Short-term borrowings</t>
  </si>
  <si>
    <t>Long-term debt (includes debt issued by consolidated variable interest entities: 2024, $13,880; 2023, $13,426)</t>
  </si>
  <si>
    <t>Contingencies and Commitments (Note 12)</t>
  </si>
  <si>
    <t>Shareholders’ Equity</t>
  </si>
  <si>
    <t>Preferred shares, $1.662/3 par value, authorized 20 million shares; issued and outstanding 1,600 shares as of December 31, 2024 and 2023 (Note 16)</t>
  </si>
  <si>
    <t>Common shares, $0.20 par value, authorized 3.6 billion shares; issued and outstanding 702 million shares as of December 31, 2024 and 723 million shares as of December 31, 2023</t>
  </si>
  <si>
    <t>Total shareholders’ equity</t>
  </si>
  <si>
    <t>Total liabilities and shareholders’ equity</t>
  </si>
  <si>
    <t>Financing receivables, net</t>
  </si>
  <si>
    <t>Financing receivables held for sale</t>
  </si>
  <si>
    <t>Other Loans</t>
  </si>
  <si>
    <t>CONSOLIDATED STATEMENTS OF INCOME (LOSS) - USD ($) shares in Millions, $ in Millions</t>
  </si>
  <si>
    <t>Net revenues</t>
  </si>
  <si>
    <t>Operating expenses:</t>
  </si>
  <si>
    <t>Transaction expense</t>
  </si>
  <si>
    <t>Transaction and credit losses</t>
  </si>
  <si>
    <t>Customer support and operations</t>
  </si>
  <si>
    <t>Sales and marketing</t>
  </si>
  <si>
    <t>Technology and development</t>
  </si>
  <si>
    <t>Restructuring and other</t>
  </si>
  <si>
    <t>Net income (loss)</t>
  </si>
  <si>
    <t>Net income (loss) per share:</t>
  </si>
  <si>
    <t>Weighted average shares:</t>
  </si>
  <si>
    <t>Paypal Holdings Inc</t>
  </si>
  <si>
    <t>American Express Company</t>
  </si>
  <si>
    <t>Short-term investments</t>
  </si>
  <si>
    <t>Accounts receivable, net</t>
  </si>
  <si>
    <t>Loans and interest receivable, held for sale</t>
  </si>
  <si>
    <t>Loans and interest receivable, net of allowances of $461 and $540 as of December 31, 2024 and 2023, respectively</t>
  </si>
  <si>
    <t>Funds receivable and customer accounts</t>
  </si>
  <si>
    <t>Long-term investments</t>
  </si>
  <si>
    <t>Property and equipment, net</t>
  </si>
  <si>
    <t>Current liabilities:</t>
  </si>
  <si>
    <t>Funds payable and amounts due to customers</t>
  </si>
  <si>
    <t>Accrued expenses and other current liabilities</t>
  </si>
  <si>
    <t>Other long-term liabilities</t>
  </si>
  <si>
    <t>Equity:</t>
  </si>
  <si>
    <t>Common stock, $0.0001 par value; 4,000 shares authorized; 993 and 1,072 shares outstanding as of December 31, 2024 and 2023, respectively</t>
  </si>
  <si>
    <t>Preferred stock, $0.0001 par value; 100 shares authorized, unissued</t>
  </si>
  <si>
    <t>Treasury stock at cost, 337 and 245 shares as of December 31, 2024 and 2023, respectively</t>
  </si>
  <si>
    <t>CONSOLIDATED STATEMENTS OF OPERATIONS - USD ($) shares in Thousands, $ in Thousands</t>
  </si>
  <si>
    <t>Amortization of acquired technology assets</t>
  </si>
  <si>
    <t>Total cost of revenue</t>
  </si>
  <si>
    <t>Gross profit</t>
  </si>
  <si>
    <t>Product development</t>
  </si>
  <si>
    <t>Transaction, loan, and consumer receivable losses</t>
  </si>
  <si>
    <t>Bitcoin impairment losses</t>
  </si>
  <si>
    <t>Amortization of customer and other acquired intangible assets</t>
  </si>
  <si>
    <t>Operating income (loss)</t>
  </si>
  <si>
    <t>Interest expense (income), net</t>
  </si>
  <si>
    <t>Remeasurement gain on bitcoin investment</t>
  </si>
  <si>
    <t>Other expense (income), net</t>
  </si>
  <si>
    <t>Income (loss) before income tax</t>
  </si>
  <si>
    <t>Benefit for income taxes</t>
  </si>
  <si>
    <t>Transaction-based revenue</t>
  </si>
  <si>
    <t>Hardware revenue</t>
  </si>
  <si>
    <t>Bitcoin revenue</t>
  </si>
  <si>
    <t>Block inc</t>
  </si>
  <si>
    <t>Investments in short-term debt securities</t>
  </si>
  <si>
    <t>Settlements receivable</t>
  </si>
  <si>
    <t>Customer funds</t>
  </si>
  <si>
    <t>Loans held for sale</t>
  </si>
  <si>
    <t>Other current assets</t>
  </si>
  <si>
    <t>Acquired intangible assets, net</t>
  </si>
  <si>
    <t>Investments in long-term debt securities</t>
  </si>
  <si>
    <t>Operating lease right-of-use assets</t>
  </si>
  <si>
    <t>Other non-current assets</t>
  </si>
  <si>
    <t>Customers payable</t>
  </si>
  <si>
    <t>Operating lease liabilities, non-current</t>
  </si>
  <si>
    <t>Other non-current liabilities</t>
  </si>
  <si>
    <t>Accumulated other comprehensive loss</t>
  </si>
  <si>
    <t>Consumer receivables, net</t>
  </si>
  <si>
    <t>Operating lease liabilities, current</t>
  </si>
  <si>
    <t>Commitments and contingencies (Note 18)</t>
  </si>
  <si>
    <t>Accumulated other comprehensive income</t>
  </si>
  <si>
    <t>CONSOLIDATED STATEMENTS OF INCOME - USD ($) $ in Thousands</t>
  </si>
  <si>
    <t>Revenues</t>
  </si>
  <si>
    <t>Cost of service</t>
  </si>
  <si>
    <t>Selling, general and administrative</t>
  </si>
  <si>
    <t>Impairment of goodwill</t>
  </si>
  <si>
    <t>Net (gain) loss on business dispositions</t>
  </si>
  <si>
    <t>Total costs and expenses</t>
  </si>
  <si>
    <t>Interest and other income</t>
  </si>
  <si>
    <t>Interest and other expense</t>
  </si>
  <si>
    <t>Total nonoperating income (expense)</t>
  </si>
  <si>
    <t>Net income attributable to noncontrolling interests</t>
  </si>
  <si>
    <t>Net income attributable to Global Payments</t>
  </si>
  <si>
    <t>Global Payments Inc</t>
  </si>
  <si>
    <t>Settlement processing assets</t>
  </si>
  <si>
    <t>Notes receivable</t>
  </si>
  <si>
    <t>Other noncurrent assets</t>
  </si>
  <si>
    <t>Settlement lines of credit</t>
  </si>
  <si>
    <t>Accounts payable and accrued liabilities</t>
  </si>
  <si>
    <t>Settlement processing obligations</t>
  </si>
  <si>
    <t>Other noncurrent liabilities</t>
  </si>
  <si>
    <t>Redeemable noncontrolling interests</t>
  </si>
  <si>
    <t>Paid-in capital</t>
  </si>
  <si>
    <t>Total Global Payments shareholders’ equity</t>
  </si>
  <si>
    <t>Nonredeemable noncontrolling interests</t>
  </si>
  <si>
    <t>Total liabilities, redeemable noncontrolling interests and equity</t>
  </si>
  <si>
    <t>Particulars</t>
  </si>
  <si>
    <t>Current maturities of debt</t>
  </si>
  <si>
    <t>Common stock and additional paid-in capital</t>
  </si>
  <si>
    <t>Accumulated other comprehensive income (loss), net:</t>
  </si>
  <si>
    <t>Total accumulated other comprehensive income (loss), net</t>
  </si>
  <si>
    <t>Loans and interest receivable, net of allowances of $598 and $491 as of December 31, 2022 and 2021, respectively</t>
  </si>
  <si>
    <t>Income taxes payable</t>
  </si>
  <si>
    <t>Deferred tax liability and other long-term liabilities</t>
  </si>
  <si>
    <t>Common stock, $0.0001 par value; 4,000 shares authorized; 1,136 and 1,168 shares outstanding as of December 31, 2022 and 2021, respectively</t>
  </si>
  <si>
    <t>Treasury stock at cost, 173 and 132 shares as of December 31, 2022 and 2021, respectively</t>
  </si>
  <si>
    <t>Loans and interest receivable, net of allowances of $838 and $258 as of December 31, 2020 and 2019, respectively</t>
  </si>
  <si>
    <t>Common stock, $0.0001 par value; 4,000 shares authorized; 1,172 and 1,173 shares outstanding as of December 31, 2020 and 2019, respectively</t>
  </si>
  <si>
    <t>Treasury stock at cost, 117 and 105 shares as of December 31, 2020 and 2019, respectively</t>
  </si>
  <si>
    <t>Total PayPal Stockholders’ equity</t>
  </si>
  <si>
    <t>Noncontrolling interest</t>
  </si>
  <si>
    <t>Loans and interest receivable, net of allowances of $491 and $838 as of December 31, 2021 and 2020, respectively</t>
  </si>
  <si>
    <t>Common stock, $0.0001 par value; 4,000 shares authorized; 1,168 and 1,172 shares outstanding as of December 31, 2021 and 2020, respectively</t>
  </si>
  <si>
    <t>Treasury stock at cost, 132 and 117 shares as of December 31, 2021 and 2020, respectively</t>
  </si>
  <si>
    <t>Total PayPal stockholders’ equity</t>
  </si>
  <si>
    <t>Warehouse funding facilities, current</t>
  </si>
  <si>
    <t>Warehouse funding facilities, non-current</t>
  </si>
  <si>
    <t>Noncontrolling interests</t>
  </si>
  <si>
    <t>Retained earnings (accumulated deficit)</t>
  </si>
  <si>
    <t>Current assets held for sale</t>
  </si>
  <si>
    <t>Noncurrent assets held for sale</t>
  </si>
  <si>
    <t>Current liabilities held for sale</t>
  </si>
  <si>
    <t>Noncurrent liabilities held for sale</t>
  </si>
  <si>
    <t>Column3</t>
  </si>
  <si>
    <t>Column4</t>
  </si>
  <si>
    <t>Column5</t>
  </si>
  <si>
    <t>Column6</t>
  </si>
  <si>
    <t>Column7</t>
  </si>
  <si>
    <t>Column8</t>
  </si>
  <si>
    <t>Column9</t>
  </si>
  <si>
    <t>Column10</t>
  </si>
  <si>
    <t>Column11</t>
  </si>
  <si>
    <t>Column12</t>
  </si>
  <si>
    <t>Column13</t>
  </si>
  <si>
    <t>Column14</t>
  </si>
  <si>
    <t>Key Insights</t>
  </si>
  <si>
    <t>CAPM Calculation</t>
  </si>
  <si>
    <t>NOPAT</t>
  </si>
  <si>
    <t>Residual Income</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</si>
  <si>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</si>
  <si>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</si>
  <si>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</si>
  <si>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</si>
  <si>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</si>
  <si>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</si>
  <si>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</si>
  <si>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</si>
  <si>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</si>
  <si>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</si>
  <si>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</si>
  <si>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</si>
  <si>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</si>
  <si>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</si>
  <si>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</si>
  <si>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</si>
  <si>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</si>
  <si>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</si>
  <si>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</si>
  <si>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</si>
  <si>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</si>
  <si>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</si>
  <si>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</si>
  <si>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Terminal Growth (g)</t>
  </si>
  <si>
    <t>Operating Leverage</t>
  </si>
  <si>
    <t>Other Income</t>
  </si>
  <si>
    <t>EBIT Margin Trend</t>
  </si>
  <si>
    <t>Improving</t>
  </si>
  <si>
    <t>2. Income Statement Drivers</t>
  </si>
  <si>
    <t>Opex %</t>
  </si>
  <si>
    <t>Opex Expansion Model</t>
  </si>
  <si>
    <t>Cash % Revenue</t>
  </si>
  <si>
    <t>Accounts Receivable % Revenue</t>
  </si>
  <si>
    <t>Settlement Assets % Revenue</t>
  </si>
  <si>
    <t>Prepaid Assets % Revenue</t>
  </si>
  <si>
    <t>Accrued Expenses % Revenue</t>
  </si>
  <si>
    <t>3.Working Capital Assumptions</t>
  </si>
  <si>
    <t>Depreciation % Revenue</t>
  </si>
  <si>
    <t>Capex % Revenue</t>
  </si>
  <si>
    <t>4. Asset &amp; Investment Drivers</t>
  </si>
  <si>
    <t>5. Capital Allocation Assumptions</t>
  </si>
  <si>
    <t>Model Impact</t>
  </si>
  <si>
    <t>Share Buyback</t>
  </si>
  <si>
    <t>1. Revenue &amp; Macroeconomic Assumptions</t>
  </si>
  <si>
    <t>Model Control</t>
  </si>
  <si>
    <t>Base Year</t>
  </si>
  <si>
    <t>Forecast Start</t>
  </si>
  <si>
    <t>Forecast End</t>
  </si>
  <si>
    <t>Currency</t>
  </si>
  <si>
    <t>USD Millions</t>
  </si>
  <si>
    <t>Target Price (12M)</t>
  </si>
  <si>
    <t>HOLD</t>
  </si>
  <si>
    <t>Upside / Downside</t>
  </si>
  <si>
    <t>Valuation Weighting Table</t>
  </si>
  <si>
    <t>Price Recommendation</t>
  </si>
  <si>
    <t>Dividend Discount Model (Reference Only)</t>
  </si>
  <si>
    <t>Residual Income Valuation (Sensitivity Check)</t>
  </si>
  <si>
    <t>Role</t>
  </si>
  <si>
    <t>Weight</t>
  </si>
  <si>
    <t>FCFE (Primary DCF)</t>
  </si>
  <si>
    <t>Core valuation</t>
  </si>
  <si>
    <t>Market confirmation</t>
  </si>
  <si>
    <t>Reference only</t>
  </si>
  <si>
    <t>Method2</t>
  </si>
  <si>
    <t>Sensitivity Check</t>
  </si>
  <si>
    <t>Strong payment network moat</t>
  </si>
  <si>
    <t>High operating margins (~54%)</t>
  </si>
  <si>
    <t>Stable long-term cash generation</t>
  </si>
  <si>
    <t>Investment Thesis</t>
  </si>
  <si>
    <t>Added Investment Thesis Box</t>
  </si>
  <si>
    <t>Add Risk Factors</t>
  </si>
  <si>
    <t>Risk Factors</t>
  </si>
  <si>
    <t>Regulation on interchange fees</t>
  </si>
  <si>
    <t>Fintech competition</t>
  </si>
  <si>
    <t>Global transaction slowdown</t>
  </si>
  <si>
    <t>Intrinsic Value Per Share (DCF)</t>
  </si>
  <si>
    <t>DCF</t>
  </si>
  <si>
    <t>Cell</t>
  </si>
  <si>
    <t>B2</t>
  </si>
  <si>
    <t>B3</t>
  </si>
  <si>
    <t>B4</t>
  </si>
  <si>
    <t>B5</t>
  </si>
  <si>
    <t>Market Risk Premium</t>
  </si>
  <si>
    <t>B6</t>
  </si>
  <si>
    <t>Cost of Equity</t>
  </si>
  <si>
    <t>B7</t>
  </si>
  <si>
    <t>Terminal Growth Rate</t>
  </si>
  <si>
    <t>B8</t>
  </si>
  <si>
    <t>Shares Outstanding</t>
  </si>
  <si>
    <t>Capex</t>
  </si>
  <si>
    <t>WC Change</t>
  </si>
  <si>
    <t>Net Borrowing</t>
  </si>
  <si>
    <t>Discounted FCFE</t>
  </si>
  <si>
    <t>Present Value of FCFE</t>
  </si>
  <si>
    <t>Discount Terminal Value</t>
  </si>
  <si>
    <t>Total Equity Value</t>
  </si>
  <si>
    <t>Current Market Value</t>
  </si>
  <si>
    <t>Investment Recommendation</t>
  </si>
  <si>
    <t>All financial figures in USD Millions unless stated otherwise</t>
  </si>
  <si>
    <t>Recommendation Box</t>
  </si>
  <si>
    <t>Target Price</t>
  </si>
  <si>
    <t>Current Price</t>
  </si>
  <si>
    <t>Implied Downside</t>
  </si>
  <si>
    <t>Dec 31, 2024</t>
  </si>
  <si>
    <t>Dec 31, 2023</t>
  </si>
  <si>
    <t>Dec 31, 2022</t>
  </si>
  <si>
    <t>Dec 31, 2021</t>
  </si>
  <si>
    <t>Dec 31, 2020</t>
  </si>
  <si>
    <t>Income before income taxes and equity investments</t>
  </si>
  <si>
    <t>Income before equity investments</t>
  </si>
  <si>
    <t>Equity in income of equity method investments</t>
  </si>
  <si>
    <t>Basic EPS (USD)</t>
  </si>
  <si>
    <t>Diluted EPS (USD)</t>
  </si>
  <si>
    <t>Net Income Attributable to Noncontrolling Interest</t>
  </si>
  <si>
    <t>Net income attributable to common stockholders</t>
  </si>
  <si>
    <t>Basic shares (thousands)</t>
  </si>
  <si>
    <t>Diluted shares (thousands)</t>
  </si>
  <si>
    <t>Transaction-based cost of revenue</t>
  </si>
  <si>
    <t>Subscription &amp; services revenue</t>
  </si>
  <si>
    <t>Subscription &amp; services cost of revenue</t>
  </si>
  <si>
    <t>Hardware cost of revenue</t>
  </si>
  <si>
    <t>Bitcoin cost of revenue</t>
  </si>
  <si>
    <t>Total stockholders' equity attributable to common stockholders</t>
  </si>
  <si>
    <t>Total stockholders' equity</t>
  </si>
  <si>
    <t>Total liabilities and stockholders' equity</t>
  </si>
  <si>
    <t>Deferred tax assets</t>
  </si>
  <si>
    <t>Equity Investment Gains/Losses</t>
  </si>
  <si>
    <t>Total Other Income (Expense)</t>
  </si>
  <si>
    <t>Net Revenue / Total Revenue</t>
  </si>
  <si>
    <t>Income Before Taxes</t>
  </si>
  <si>
    <t>Basic EPS</t>
  </si>
  <si>
    <t>Diluted EPS</t>
  </si>
  <si>
    <t>Net Income (Industry Total)</t>
  </si>
  <si>
    <t>Restricted Cash</t>
  </si>
  <si>
    <t>Settlement / Customer Assets</t>
  </si>
  <si>
    <t>Other Current Assets</t>
  </si>
  <si>
    <t>Property &amp; Equipment</t>
  </si>
  <si>
    <t>Deferred Tax Assets</t>
  </si>
  <si>
    <t>Short-Term Debt</t>
  </si>
  <si>
    <t>Other Liabilities</t>
  </si>
  <si>
    <t>Paid-in Capital</t>
  </si>
  <si>
    <t>Treasury Stock</t>
  </si>
  <si>
    <t>Retained Earnings</t>
  </si>
  <si>
    <t>AOCI</t>
  </si>
  <si>
    <t>Non-controlling Interest</t>
  </si>
  <si>
    <t>Operating Cash Flow</t>
  </si>
  <si>
    <t>Share-based Compensation</t>
  </si>
  <si>
    <t>Deferred Income Taxes</t>
  </si>
  <si>
    <t>Other Non-cash Adjustments</t>
  </si>
  <si>
    <t>Working Capital Changes</t>
  </si>
  <si>
    <t>Net Cash from Operating Activities</t>
  </si>
  <si>
    <t>Investing Cash Flow</t>
  </si>
  <si>
    <t>Purchases of Investments</t>
  </si>
  <si>
    <t>Proceeds from Investments</t>
  </si>
  <si>
    <t>Capital Expenditures</t>
  </si>
  <si>
    <t>Acquisitions</t>
  </si>
  <si>
    <t>Equity Investments</t>
  </si>
  <si>
    <t>Other Investing Activities</t>
  </si>
  <si>
    <t>Net Cash From Investing Activities</t>
  </si>
  <si>
    <t>Financing Cash Flow</t>
  </si>
  <si>
    <t>Share Repurchases</t>
  </si>
  <si>
    <t>Net Debt Issued (Repaid)</t>
  </si>
  <si>
    <t>Stock Option Proceeds</t>
  </si>
  <si>
    <t>Other Financing Activities</t>
  </si>
  <si>
    <t>Net Cash from Financing Activities</t>
  </si>
  <si>
    <t>Cash Movement</t>
  </si>
  <si>
    <t>Net Change in Cash</t>
  </si>
  <si>
    <t>Beginning Cash Balance</t>
  </si>
  <si>
    <t>Ending Cash Balance</t>
  </si>
  <si>
    <t>FCFE DCF (Equity Value) Calculation</t>
  </si>
  <si>
    <t>Credit Ratios of Mastercard Inc</t>
  </si>
  <si>
    <t>FCFE DCF Assumptions</t>
  </si>
  <si>
    <t>FCFF DCF Assumptions</t>
  </si>
  <si>
    <t>Cost of Debt</t>
  </si>
  <si>
    <t>Debt Weight</t>
  </si>
  <si>
    <t>Equity Weight</t>
  </si>
  <si>
    <t>Δ Working Capital</t>
  </si>
  <si>
    <t>WC %</t>
  </si>
  <si>
    <t>Working Capital</t>
  </si>
  <si>
    <t>2024A</t>
  </si>
  <si>
    <t>WC Calculation</t>
  </si>
  <si>
    <t xml:space="preserve">FCFF (Enterprise Value) Calculation </t>
  </si>
  <si>
    <t>Discounted FCFF</t>
  </si>
  <si>
    <t>PV FCFF</t>
  </si>
  <si>
    <t>Total PV FCFF</t>
  </si>
  <si>
    <t>Case</t>
  </si>
  <si>
    <t>Bull</t>
  </si>
  <si>
    <t>$480</t>
  </si>
  <si>
    <t>Base</t>
  </si>
  <si>
    <t>$434</t>
  </si>
  <si>
    <t>Bear</t>
  </si>
  <si>
    <t>$350</t>
  </si>
  <si>
    <t>Bull / Base / Bear Scenario</t>
  </si>
  <si>
    <t>Net Profit Margin</t>
  </si>
  <si>
    <t>ROA</t>
  </si>
  <si>
    <t>Industry Averages</t>
  </si>
  <si>
    <t>Industry Median</t>
  </si>
  <si>
    <t>Mastercard trades at premium multiples due to:</t>
  </si>
  <si>
    <t>• Strong network effect</t>
  </si>
  <si>
    <t>• High margins</t>
  </si>
  <si>
    <t>• Asset-light model</t>
  </si>
  <si>
    <t>• Stable cash flows</t>
  </si>
  <si>
    <t>Valuation Conclusion</t>
  </si>
  <si>
    <t>BB</t>
  </si>
  <si>
    <t>Final Credit Rating</t>
  </si>
  <si>
    <t>Outlook</t>
  </si>
  <si>
    <t>N/A</t>
  </si>
  <si>
    <t xml:space="preserve">American Express Company </t>
  </si>
  <si>
    <t xml:space="preserve">Visa Inc </t>
  </si>
  <si>
    <t>DCF Valuation of Mastercard inc</t>
  </si>
  <si>
    <t>A</t>
  </si>
  <si>
    <t>B</t>
  </si>
  <si>
    <t>Timeline Headers</t>
  </si>
  <si>
    <t>Depreciation and Amortization</t>
  </si>
  <si>
    <t>Free Cash Flow to Firm</t>
  </si>
  <si>
    <t>Present Value FCFF</t>
  </si>
  <si>
    <t>DCF Fair Value</t>
  </si>
  <si>
    <t>Upside</t>
  </si>
  <si>
    <t>Company Overview</t>
  </si>
  <si>
    <t>Model Type</t>
  </si>
  <si>
    <t>DCF Valuation</t>
  </si>
  <si>
    <t>Analyst</t>
  </si>
  <si>
    <t>SELL Recommendation</t>
  </si>
  <si>
    <t>KPI Cards</t>
  </si>
  <si>
    <t>KPI</t>
  </si>
  <si>
    <t>Source</t>
  </si>
  <si>
    <t>FCFF Growth</t>
  </si>
  <si>
    <t>Link</t>
  </si>
  <si>
    <t>Net Debt</t>
  </si>
  <si>
    <t>INVESTMENT CALL</t>
  </si>
  <si>
    <t>Valuation Comparison Bar Chart</t>
  </si>
  <si>
    <t>Revenue Forecast Line Chart</t>
  </si>
  <si>
    <t>Free Cash Flow Clustered Column Chart</t>
  </si>
  <si>
    <t>Step</t>
  </si>
  <si>
    <t>Enterprise Water Fall Chart</t>
  </si>
  <si>
    <t>Low</t>
  </si>
  <si>
    <t>High</t>
  </si>
  <si>
    <t>P/E Multiple</t>
  </si>
  <si>
    <t>Analyst Consensus</t>
  </si>
  <si>
    <t>Food Ball Field Valuation Method</t>
  </si>
  <si>
    <t>Range</t>
  </si>
  <si>
    <t>Intrinsic Price</t>
  </si>
  <si>
    <t>Key Risks</t>
  </si>
  <si>
    <t>Faster digital payments adoption</t>
  </si>
  <si>
    <t>Cross-border transaction recovery</t>
  </si>
  <si>
    <t>Margin expansion potential</t>
  </si>
  <si>
    <t>Interest rate sensitivity</t>
  </si>
  <si>
    <t>Prepared by:</t>
  </si>
  <si>
    <t>Talla Varun Goud</t>
  </si>
  <si>
    <t>PGDM – Finance &amp; Business Analytics</t>
  </si>
  <si>
    <t>Equity Research Project | 2026</t>
  </si>
  <si>
    <t>Current Market Price ($450)</t>
  </si>
  <si>
    <t>🧾 Beta Calculation Explanation</t>
  </si>
  <si>
    <t>📌 Data Source</t>
  </si>
  <si>
    <t>Stock price data obtained for Mastercard Inc</t>
  </si>
  <si>
    <t>Market benchmark index used: S&amp;P 500 Index</t>
  </si>
  <si>
    <t>Historical adjusted closing prices collected from reliable financial databases (Yahoo Finance / Investing.com / Bloomberg equivalent).</t>
  </si>
  <si>
    <t>📅 Time Period</t>
  </si>
  <si>
    <t>👉 You can modify based on your dataset.</t>
  </si>
  <si>
    <t>📈 Methodology Used</t>
  </si>
  <si>
    <t>1. Calculated periodic returns for stock and market index.</t>
  </si>
  <si>
    <t>2. Performed Linear Regression Analysis:</t>
  </si>
  <si>
    <t>X-axis → Market Returns</t>
  </si>
  <si>
    <t>Y-axis → Mastercard Returns</t>
  </si>
  <si>
    <t>3. Beta derived as slope coefficient of regression line.</t>
  </si>
  <si>
    <t>🧠 Interpretation of Beta</t>
  </si>
  <si>
    <t>Beta Value</t>
  </si>
  <si>
    <t>Meaning</t>
  </si>
  <si>
    <t>Risk Interpretation</t>
  </si>
  <si>
    <t>β = 1</t>
  </si>
  <si>
    <t>Moves with market</t>
  </si>
  <si>
    <t>Average market risk</t>
  </si>
  <si>
    <t>β &gt; 1</t>
  </si>
  <si>
    <t>More volatile than market</t>
  </si>
  <si>
    <t>Higher systematic risk</t>
  </si>
  <si>
    <t>β &lt; 1</t>
  </si>
  <si>
    <t>Less volatile</t>
  </si>
  <si>
    <t>Defensive stock</t>
  </si>
  <si>
    <t>β &lt; 0</t>
  </si>
  <si>
    <t>Moves opposite market</t>
  </si>
  <si>
    <t>Hedge asset</t>
  </si>
  <si>
    <t>📊 Analyst Interpretation</t>
  </si>
  <si>
    <t>Analyst Interpretation</t>
  </si>
  <si>
    <t>Consistent EPS growth indicates strong earnings expansion and shareholder value creation.</t>
  </si>
  <si>
    <t>Rising dividends reflect stable cash flows and shareholder-friendly capital allocation.</t>
  </si>
  <si>
    <t>Stable equity base supports long-term financial strength despite growth investments.</t>
  </si>
  <si>
    <t>Tax rate remains stable and aligned with industry averages.</t>
  </si>
  <si>
    <t>Moderate payout indicates balanced strategy between dividends and reinvestment.</t>
  </si>
  <si>
    <t>High retention supports future growth and expansion initiatives</t>
  </si>
  <si>
    <t>Strong operating cash flow comfortably supports debt obligations.</t>
  </si>
  <si>
    <t>Declining cash reserves reflect capital deployment and investments.</t>
  </si>
  <si>
    <t>Adequate short-term liquidity maintained</t>
  </si>
  <si>
    <t>Gradual decline indicates efficient working capital usage rather than liquidity stress.</t>
  </si>
  <si>
    <t>Valuation multiples compressing toward sustainable levels</t>
  </si>
  <si>
    <t>Market expectations moderating over time.</t>
  </si>
  <si>
    <t>Declining multiple suggests valuation normalization from premium levels</t>
  </si>
  <si>
    <t>High P/B consistent with asset-light fintech business</t>
  </si>
  <si>
    <t>Premium valuation supported by high margins but signals limited upside</t>
  </si>
  <si>
    <t>Extremely strong coverage reflects low financial risk.</t>
  </si>
  <si>
    <t>Comfortable debt servicing capability</t>
  </si>
  <si>
    <t>Strong operating income generation strengthens credit profile.</t>
  </si>
  <si>
    <t>Capital structure moderately leveraged but sustainable</t>
  </si>
  <si>
    <t>Declining ratio indicates improving debt servicing ability</t>
  </si>
  <si>
    <t>Strong repayment capacity supported by cash flows</t>
  </si>
  <si>
    <t>Stable tax efficiency supports earnings consistency</t>
  </si>
  <si>
    <t>Controlled leverage enhances shareholder returns.</t>
  </si>
  <si>
    <t>Operational efficiency remains superior to industry.</t>
  </si>
  <si>
    <t>Indicates scalable business model requiring limited assets.</t>
  </si>
  <si>
    <t>Higher leverage amplifies profitability impact.</t>
  </si>
  <si>
    <t>Profitability is primary driver of ROE expansion</t>
  </si>
  <si>
    <t>Efficiency improving gradually through higher transaction volumes.</t>
  </si>
  <si>
    <t>Rising leverage contributes positively to ROE growth</t>
  </si>
  <si>
    <t>ROE growth driven by profitability + leverage combination.</t>
  </si>
  <si>
    <t>Higher leverage than industry but supported by stable cash flows.</t>
  </si>
  <si>
    <t>Very strong coverage indicates minimal default risk.</t>
  </si>
  <si>
    <t>Increasing leverage should be monitored but remains manageable.</t>
  </si>
  <si>
    <t>Strong upward ROE trend significantly above industry reflects superior capital efficiency.</t>
  </si>
  <si>
    <t>Stable high margins confirm scalable asset-light payment network model.</t>
  </si>
  <si>
    <t>Operational profitability remains strong and consistent over time.</t>
  </si>
  <si>
    <t>High net margin demonstrates strong pricing power and cost discipline.</t>
  </si>
  <si>
    <t>Improving ROA shows increasing efficiency in asset utilization</t>
  </si>
  <si>
    <t>Growth remains positive though moderating as business matures.</t>
  </si>
  <si>
    <t>Profit growth driven by operating leverage and transaction expansion.</t>
  </si>
  <si>
    <t>Earnings growth remains strong despite normalization phase.</t>
  </si>
  <si>
    <t>Sustained EPS expansion supports long-term shareholder returns.</t>
  </si>
  <si>
    <t>✅ 1. Strong Global Payment Network</t>
  </si>
  <si>
    <t>Mastercard Inc operates one of the world’s largest electronic payment networks, benefiting from increasing global adoption of cashless transactions and digital payments.</t>
  </si>
  <si>
    <t>✅ 2. High-Margin Asset-Light Business Model</t>
  </si>
  <si>
    <t>The company does not issue credit or take lending risk, allowing it to maintain exceptionally high operating margins and strong free cash flow generation.</t>
  </si>
  <si>
    <t>✅ 3. Cross-Border Payments Drive Growth</t>
  </si>
  <si>
    <t>International travel recovery and rising cross-border transactions remain key revenue drivers, supporting long-term earnings expansion.</t>
  </si>
  <si>
    <t>✅ 4. Competitive Positioning vs Peers</t>
  </si>
  <si>
    <t>Compared with Visa Inc. and American Express, Mastercard demonstrates strong innovation capability through fintech partnerships, cybersecurity services, and digital payment solutions.</t>
  </si>
  <si>
    <t>⚠️ 5. Valuation Concern (Reason for SELL Recommendation)</t>
  </si>
  <si>
    <t>Despite strong fundamentals, current market price trades significantly above intrinsic value estimated through DCF analysis, implying limited upside and potential valuation correction risk.</t>
  </si>
  <si>
    <t>Mastercard remains a fundamentally strong business with durable competitive advantages; however, current valuation levels appear stretched relative to intrinsic value, supporting a SELL recommendation.</t>
  </si>
  <si>
    <t xml:space="preserve">🧠 Investment Thesis </t>
  </si>
  <si>
    <t>⭐ One-Line Analyst Conclusion</t>
  </si>
  <si>
    <t>Main global competitors:</t>
  </si>
  <si>
    <t>Visa Inc.</t>
  </si>
  <si>
    <t>PayPal Holdings</t>
  </si>
  <si>
    <t>These companies dominate global digital payment infrastructure.</t>
  </si>
  <si>
    <t>Market Position</t>
  </si>
  <si>
    <t>Business Model</t>
  </si>
  <si>
    <t>Competitive Advantage</t>
  </si>
  <si>
    <t>🥇 Market Leader</t>
  </si>
  <si>
    <t>Open payment network</t>
  </si>
  <si>
    <t>Largest transaction volume worldwide</t>
  </si>
  <si>
    <t>🥈 Strong Challenger</t>
  </si>
  <si>
    <t>Open network</t>
  </si>
  <si>
    <t>Faster innovation &amp; partnerships</t>
  </si>
  <si>
    <t>🏆 Premium Niche</t>
  </si>
  <si>
    <t>Closed-loop system</t>
  </si>
  <si>
    <t>High-income customer base</t>
  </si>
  <si>
    <t>🚀 Digital Growth Player</t>
  </si>
  <si>
    <t>Wallet ecosystem</t>
  </si>
  <si>
    <t>Strong online payments</t>
  </si>
  <si>
    <t>👉 Visa leads by scale,</t>
  </si>
  <si>
    <t>👉 Mastercard competes through technology &amp; global expansion,</t>
  </si>
  <si>
    <t>👉 AmEx focuses on premium profitability,</t>
  </si>
  <si>
    <t>👉 PayPal dominates digital wallet ecosystem.</t>
  </si>
  <si>
    <t>Growth Profile</t>
  </si>
  <si>
    <t>Reason</t>
  </si>
  <si>
    <t>⭐ High Growth</t>
  </si>
  <si>
    <t>Cross-border payments recovery + fintech partnerships</t>
  </si>
  <si>
    <t>Stable Growth</t>
  </si>
  <si>
    <t>Mature market dominance</t>
  </si>
  <si>
    <t>Volatile Growth</t>
  </si>
  <si>
    <t>E-commerce dependence</t>
  </si>
  <si>
    <t>Moderate Growth</t>
  </si>
  <si>
    <t>Premium customer concentration</t>
  </si>
  <si>
    <t>Analyst Insight</t>
  </si>
  <si>
    <t>✅ Mastercard shows stronger international growth momentum compared to Visa.</t>
  </si>
  <si>
    <t>Margin Strength</t>
  </si>
  <si>
    <t>Explanation</t>
  </si>
  <si>
    <t>🔥 Very High</t>
  </si>
  <si>
    <t>Asset-light network model</t>
  </si>
  <si>
    <t>🔥 Extremely High</t>
  </si>
  <si>
    <t>Scale advantage</t>
  </si>
  <si>
    <t>Medium-High</t>
  </si>
  <si>
    <t>Credit risk exposure</t>
  </si>
  <si>
    <t>Lower</t>
  </si>
  <si>
    <t>Heavy operating expenses</t>
  </si>
  <si>
    <t>Key Insight</t>
  </si>
  <si>
    <t>👉 Mastercard &amp; Visa operate near-monopoly network economics</t>
  </si>
  <si>
    <t>👉 High operating leverage → Exceptional margins.</t>
  </si>
  <si>
    <t>Market Leader:</t>
  </si>
  <si>
    <t>Visa → Scale Dominance</t>
  </si>
  <si>
    <t>Innovation Challenger:</t>
  </si>
  <si>
    <t>Mastercard → Partnerships + Technology</t>
  </si>
  <si>
    <t>Premium Specialist:</t>
  </si>
  <si>
    <t>American Express → High-value customers</t>
  </si>
  <si>
    <t>Digital Disruptor:</t>
  </si>
  <si>
    <t>PayPal → Online wallet ecosystem</t>
  </si>
  <si>
    <t>Mastercard holds a strong competitive position as the primary challenger to Visa in the global payment network industry. While Visa maintains leadership through transaction scale, Mastercard demonstrates superior growth optionality driven by cross-border payments, fintech collaborations, and digital infrastructure expansion. High operating margins comparable to Visa confirm the strength of its asset-light business model.</t>
  </si>
  <si>
    <t>Mastercard Inc — DDM,FCFF,FCFE,Relative Valuation Model (2026)</t>
  </si>
  <si>
    <t>Free Cash Flow</t>
  </si>
  <si>
    <t>Varun</t>
  </si>
  <si>
    <t>5.Income Statement Projections</t>
  </si>
  <si>
    <t>6.Balance Sheet Projections</t>
  </si>
  <si>
    <t>7.Cash Flow Projections</t>
  </si>
  <si>
    <t>8.Common Size</t>
  </si>
  <si>
    <t>9.Data Industry</t>
  </si>
  <si>
    <t>10.Industry Income Statement</t>
  </si>
  <si>
    <t>11.Industry Balance Sheet</t>
  </si>
  <si>
    <t>12.Industry Cash Flow</t>
  </si>
  <si>
    <t>13.Beta Calculation</t>
  </si>
  <si>
    <t>14.Regression</t>
  </si>
  <si>
    <t>15.DCF Valuation</t>
  </si>
  <si>
    <t>16.Valuation Dashboard</t>
  </si>
  <si>
    <t xml:space="preserve">17.DDM,FCFF,FCFE,Relative Valuation </t>
  </si>
  <si>
    <t>DCF,FCFE,FCFF,DDM,Relative Valuation</t>
  </si>
  <si>
    <t>Market price</t>
  </si>
  <si>
    <t>Revenue &amp; EPS Growth Trend</t>
  </si>
  <si>
    <t>Revenue (2020-2029</t>
  </si>
  <si>
    <t>EPS (2020-2029)</t>
  </si>
  <si>
    <t>Profitability Dashboard</t>
  </si>
  <si>
    <t>Net Profit Margin (2020-2024)</t>
  </si>
  <si>
    <t>ROE (2020-2024)</t>
  </si>
  <si>
    <t>Operating Margin (2020-2024)</t>
  </si>
  <si>
    <t>Free Cash Flow Trend</t>
  </si>
  <si>
    <t>FCF</t>
  </si>
  <si>
    <t>SELL</t>
  </si>
  <si>
    <t>Digital payment expansion</t>
  </si>
  <si>
    <t>Cross-border growth</t>
  </si>
  <si>
    <t>High margins</t>
  </si>
  <si>
    <t>Network effects</t>
  </si>
  <si>
    <t>Key Investment Drivers</t>
  </si>
  <si>
    <t>Insight</t>
  </si>
  <si>
    <t>Note: Mastercard distributes capital primarily through share buybacks rather than dividends; therefore DDM significantly understates intrinsic value and is excluded from target price calculation.</t>
  </si>
  <si>
    <t>Risk Analysis of Mastercard Inc</t>
  </si>
  <si>
    <t>⚠ Major Risk Categories</t>
  </si>
  <si>
    <t>1. Competitive Risk</t>
  </si>
  <si>
    <t>Fintech disruption</t>
  </si>
  <si>
    <t>Digital wallets</t>
  </si>
  <si>
    <t>2. Regulatory Risk</t>
  </si>
  <si>
    <t>Government payment regulations</t>
  </si>
  <si>
    <t>Interchange fee restrictions</t>
  </si>
  <si>
    <t>Data privacy laws</t>
  </si>
  <si>
    <t>3. Economic Risk</t>
  </si>
  <si>
    <t>Global recession impact</t>
  </si>
  <si>
    <t>Reduced consumer spending</t>
  </si>
  <si>
    <t>Cross-border transaction slowdown</t>
  </si>
  <si>
    <t>4. Technology Risk</t>
  </si>
  <si>
    <t>Cybersecurity threats</t>
  </si>
  <si>
    <t>Payment system failures</t>
  </si>
  <si>
    <t>5. Valuation Risk</t>
  </si>
  <si>
    <t>High P/E multiple</t>
  </si>
  <si>
    <t>Risk</t>
  </si>
  <si>
    <t>Probability</t>
  </si>
  <si>
    <t>Impact</t>
  </si>
  <si>
    <t>Overall</t>
  </si>
  <si>
    <t>Regulation</t>
  </si>
  <si>
    <t>Medium</t>
  </si>
  <si>
    <t>Competition</t>
  </si>
  <si>
    <t>Company: Mastercard Incorporated</t>
  </si>
  <si>
    <t>Investment Highlights</t>
  </si>
  <si>
    <t>Upside Calculation</t>
  </si>
  <si>
    <t>Weighted Value</t>
  </si>
  <si>
    <t>Final Target Price</t>
  </si>
  <si>
    <t>Regulatory pressure on interchange fees</t>
  </si>
  <si>
    <t>Financial Modelling &amp; Valuation – Mastercard Inc.
Executive Summary</t>
  </si>
  <si>
    <t>Business Overview</t>
  </si>
  <si>
    <t>Key Findings</t>
  </si>
  <si>
    <t>Fair Value Estimation</t>
  </si>
  <si>
    <t>3.Assumptions</t>
  </si>
  <si>
    <t>4.Investment Thesis</t>
  </si>
  <si>
    <t>Risk Level: Moderate</t>
  </si>
  <si>
    <t>Investment Horizon: Long Term</t>
  </si>
  <si>
    <t>Investment Call Header</t>
  </si>
  <si>
    <t>Component</t>
  </si>
  <si>
    <t>CAPM</t>
  </si>
  <si>
    <t>Ke = Rf + Beta × (Rm − Rf)</t>
  </si>
  <si>
    <t>WACC = E/V × Ke + D/V × Kd × (1 − Tax)</t>
  </si>
  <si>
    <t>Model Type: Integrated 3-Statement Financial Model</t>
  </si>
  <si>
    <t>Valuation Approach: DCF + Relative Valuation</t>
  </si>
  <si>
    <t>Forecast Horizon: 5 Years</t>
  </si>
  <si>
    <t>Purpose: Investment Decision Analysis</t>
  </si>
  <si>
    <t>6.Cost of Capital Assumptions (CAPM)</t>
  </si>
  <si>
    <t>Risk Free Rate (CAPM)</t>
  </si>
  <si>
    <t>Sensitivity Table</t>
  </si>
  <si>
    <t>3.0% g</t>
  </si>
  <si>
    <t>3.5% g</t>
  </si>
  <si>
    <t>4.0% g</t>
  </si>
  <si>
    <t>Ratio</t>
  </si>
  <si>
    <t>Debt/EBITDA</t>
  </si>
  <si>
    <t>Interest Coverage</t>
  </si>
  <si>
    <t>FCF/Debt</t>
  </si>
  <si>
    <t>Margin</t>
  </si>
  <si>
    <t>Debt/Capital</t>
  </si>
  <si>
    <t>“Five-Year Fundamental Trend Analysis”</t>
  </si>
  <si>
    <t>Key Fundamental Conclusion</t>
  </si>
  <si>
    <t>Superior profitability vs industry</t>
  </si>
  <si>
    <t>Strong cash generation</t>
  </si>
  <si>
    <t>High valuation premium justified by margins</t>
  </si>
  <si>
    <t>Growth normalizing</t>
  </si>
  <si>
    <t>Quality compounder stock</t>
  </si>
  <si>
    <t>This makes report executive-ready.</t>
  </si>
  <si>
    <t xml:space="preserve"> Fundamental &amp; Financial Ratio Analysis — Mastercard Inc</t>
  </si>
  <si>
    <t>Mitigation</t>
  </si>
  <si>
    <t>Geographic diversification</t>
  </si>
  <si>
    <t>Partnerships &amp; innovation</t>
  </si>
  <si>
    <t>Scenario</t>
  </si>
  <si>
    <t>7. Financial Forecasting</t>
  </si>
  <si>
    <t>9. Scenario Analysis</t>
  </si>
  <si>
    <t>10. Sensitivity Analysis</t>
  </si>
  <si>
    <t>11. Investment Recommendation</t>
  </si>
  <si>
    <t>12. Executive Summary &amp; Dashboard</t>
  </si>
  <si>
    <t>Numerical Valuation Box</t>
  </si>
  <si>
    <t>• Regulatory pressure</t>
  </si>
  <si>
    <t>• Fintech competition</t>
  </si>
  <si>
    <t>Expected Return Drivers:</t>
  </si>
  <si>
    <t>Industry Outlook</t>
  </si>
  <si>
    <t>Key Industry Drivers:</t>
  </si>
  <si>
    <t>• Increasing financial inclusion in emerging markets</t>
  </si>
  <si>
    <t>Industry Opportunities:</t>
  </si>
  <si>
    <t>Industry Risks:</t>
  </si>
  <si>
    <t>• Regulatory pressure on interchange fees</t>
  </si>
  <si>
    <t>Driver</t>
  </si>
  <si>
    <t>Justification</t>
  </si>
  <si>
    <t>Digital payment adoption</t>
  </si>
  <si>
    <t>Cross-border Growth</t>
  </si>
  <si>
    <t>Travel recovery &amp; global spending</t>
  </si>
  <si>
    <t>Asset-light scalable model</t>
  </si>
  <si>
    <t>Historical company average</t>
  </si>
  <si>
    <t>5% of Revenue</t>
  </si>
  <si>
    <t>Technology &amp; network investment</t>
  </si>
  <si>
    <t>Mature operating structure</t>
  </si>
  <si>
    <t>Long-term GDP growth</t>
  </si>
  <si>
    <t>FORECAST METHODOLOGY</t>
  </si>
  <si>
    <t>Description</t>
  </si>
  <si>
    <t>Implied Share Value ($)</t>
  </si>
  <si>
    <t>Final Investment Recommendation Chart</t>
  </si>
  <si>
    <t>Integrated Financial Model</t>
  </si>
  <si>
    <t>Company: Mastercard Inc.</t>
  </si>
  <si>
    <t>Analyst: Talla Varun Goud</t>
  </si>
  <si>
    <t>Valuation Date: 2026</t>
  </si>
  <si>
    <t>Currency: USD Millions</t>
  </si>
  <si>
    <t>Low Value</t>
  </si>
  <si>
    <t>High Value</t>
  </si>
  <si>
    <t>Target Marker</t>
  </si>
  <si>
    <t>Football Field Valuation Chart</t>
  </si>
  <si>
    <t>Sensitivity Analysis</t>
  </si>
  <si>
    <t>Terminal Growth(g)</t>
  </si>
  <si>
    <t>Cost of Equity (CAPM)</t>
  </si>
  <si>
    <t xml:space="preserve"> WACC VS Terminal Growth</t>
  </si>
  <si>
    <t>Sensitivity Insight:</t>
  </si>
  <si>
    <t>Conditions</t>
  </si>
  <si>
    <t xml:space="preserve">Green → </t>
  </si>
  <si>
    <t>Higher Valuation</t>
  </si>
  <si>
    <t>Red →</t>
  </si>
  <si>
    <t>Lower Valuation</t>
  </si>
  <si>
    <t>Conclusion:</t>
  </si>
  <si>
    <t>Source: Author Estimates</t>
  </si>
  <si>
    <t>All values in USD per share</t>
  </si>
  <si>
    <t>Two-Way DCF Sensitivity Analysis</t>
  </si>
  <si>
    <t>Model Sheet Linkage Titles</t>
  </si>
  <si>
    <t>Model Documentation For Mastercard Incorporated</t>
  </si>
  <si>
    <t>Explanation: All projections are assumption-driven, economically justified, and linked to historical performance, industry dynamics, and macroeconomic expectations</t>
  </si>
  <si>
    <t>Disclaimer:This report is prepared for academic purposes only and does not constitute investment advice.</t>
  </si>
  <si>
    <t>Prepared by: [Talla Varun]</t>
  </si>
  <si>
    <t>Note: Valuation is most sensitive to Cost of Equity assumptions; a 1% increase in discount rate reduces intrinsic value materially.</t>
  </si>
  <si>
    <t>Note: EVA undervalues asset-light fintech companies due to low invested capital base.</t>
  </si>
  <si>
    <t>Upside(Downside)</t>
  </si>
  <si>
    <t>Key Observation:</t>
  </si>
  <si>
    <t>(All values in USD per share)</t>
  </si>
  <si>
    <t>Scenario Definitions:</t>
  </si>
  <si>
    <t>Bear Case:</t>
  </si>
  <si>
    <t>Slower payment volume growth and margin pressure.</t>
  </si>
  <si>
    <t>Base Case:</t>
  </si>
  <si>
    <t>Continuation of current business trends.</t>
  </si>
  <si>
    <t>Bull Case:</t>
  </si>
  <si>
    <t>Strong cross-border growth and operating leverage expansion.</t>
  </si>
  <si>
    <t>Visual Scenario Comparison Chart</t>
  </si>
  <si>
    <t>Probability Weighted Valuation</t>
  </si>
  <si>
    <t xml:space="preserve">Base </t>
  </si>
  <si>
    <t>Expected Value</t>
  </si>
  <si>
    <t>Formula=Value*Probability</t>
  </si>
  <si>
    <t>DCF Scenario &amp; Risk Analysis</t>
  </si>
  <si>
    <t>★ Base Case Valuation</t>
  </si>
  <si>
    <t>Interpretation:</t>
  </si>
  <si>
    <t>Payment Volume Growth</t>
  </si>
  <si>
    <t>Avg Transaction Value</t>
  </si>
  <si>
    <t>Pricing / Take Rate</t>
  </si>
  <si>
    <t>Check</t>
  </si>
  <si>
    <t>Balance Sheet Balanced</t>
  </si>
  <si>
    <t>Assets − Liabilities = 0</t>
  </si>
  <si>
    <t>Cash Flow Link</t>
  </si>
  <si>
    <t>Ending Cash Match</t>
  </si>
  <si>
    <t>Circular Reference</t>
  </si>
  <si>
    <t>OK / Error</t>
  </si>
  <si>
    <t>Negative Cash Flag</t>
  </si>
  <si>
    <t>Warning</t>
  </si>
  <si>
    <t>Model Check Control Sheet</t>
  </si>
  <si>
    <t>Payment Volume</t>
  </si>
  <si>
    <t>Company Annual Report</t>
  </si>
  <si>
    <t>Cross-border</t>
  </si>
  <si>
    <t>Industry data</t>
  </si>
  <si>
    <t>IMF estimate</t>
  </si>
  <si>
    <t>Value Driver</t>
  </si>
  <si>
    <t>Very High</t>
  </si>
  <si>
    <t>Assumption Sensitivity Ranking</t>
  </si>
  <si>
    <t>Sensitivity</t>
  </si>
  <si>
    <t>Critical</t>
  </si>
  <si>
    <t>Assumption Timeline</t>
  </si>
  <si>
    <t>2025–2027 High Growth</t>
  </si>
  <si>
    <t>2028–2030 Normalization</t>
  </si>
  <si>
    <t>Terminal Stable State</t>
  </si>
  <si>
    <t>Version</t>
  </si>
  <si>
    <t>Change</t>
  </si>
  <si>
    <t>Details</t>
  </si>
  <si>
    <t>Global Payments Network</t>
  </si>
  <si>
    <t>Investment Style</t>
  </si>
  <si>
    <t>Quality Growth / Compounder</t>
  </si>
  <si>
    <t>Investment Horizon</t>
  </si>
  <si>
    <t>Investment Overview</t>
  </si>
  <si>
    <t>1. Digital Payments Growth</t>
  </si>
  <si>
    <t>2. Asset-Light Business Model</t>
  </si>
  <si>
    <t>3. Cross-Border Transactions</t>
  </si>
  <si>
    <t>4. Network Effects &amp; Competitive Moat</t>
  </si>
  <si>
    <t>5. Innovation &amp; Value-Added Services</t>
  </si>
  <si>
    <t>Key Catalysts</t>
  </si>
  <si>
    <t>Short / Medium Term</t>
  </si>
  <si>
    <t>Long Term</t>
  </si>
  <si>
    <t>Financial Impact Mapping</t>
  </si>
  <si>
    <t>Investment Driver</t>
  </si>
  <si>
    <t>Digital Payments Growth</t>
  </si>
  <si>
    <t>Higher Revenue CAGR</t>
  </si>
  <si>
    <t>Asset-Light Model</t>
  </si>
  <si>
    <t>Margin Expansion</t>
  </si>
  <si>
    <t>Cross-Border Growth</t>
  </si>
  <si>
    <t>Higher EBITDA</t>
  </si>
  <si>
    <t>Network Effects</t>
  </si>
  <si>
    <t>Stable Terminal Growth</t>
  </si>
  <si>
    <t>Innovation</t>
  </si>
  <si>
    <t>Long-term Revenue Stability</t>
  </si>
  <si>
    <t>12-18 Months</t>
  </si>
  <si>
    <t>SOURCES &amp; REFERENCES</t>
  </si>
  <si>
    <t>Company Information</t>
  </si>
  <si>
    <t>Financial Data</t>
  </si>
  <si>
    <t>Market Data</t>
  </si>
  <si>
    <t>Valuation Methodology References</t>
  </si>
  <si>
    <t>Macroeconomic Inputs</t>
  </si>
  <si>
    <t>Analyst Estimates</t>
  </si>
  <si>
    <t>MODEL LIMITATIONS</t>
  </si>
  <si>
    <t>Key Limitations:</t>
  </si>
  <si>
    <t>1. Forecast Dependency</t>
  </si>
  <si>
    <t>2. Discount Rate Sensitivity</t>
  </si>
  <si>
    <t>3. Terminal Value Assumption</t>
  </si>
  <si>
    <t>4. Market Conditions</t>
  </si>
  <si>
    <t>5. Non-Financial Risks</t>
  </si>
  <si>
    <t>6. Model Simplifications</t>
  </si>
  <si>
    <t>Disclaimer:</t>
  </si>
  <si>
    <t>INVESTMENT RATING SCALE</t>
  </si>
  <si>
    <t>Rating Definition Based on Upside/Downside</t>
  </si>
  <si>
    <t>BUY</t>
  </si>
  <si>
    <t>Expected Return between -15% and +15%</t>
  </si>
  <si>
    <t>Rating Methodology:</t>
  </si>
  <si>
    <t>Formula:</t>
  </si>
  <si>
    <t>1. Raw Data Income</t>
  </si>
  <si>
    <t>2.Raw Data Balance</t>
  </si>
  <si>
    <t>Sources:SEC EDGAR Data Bases</t>
  </si>
  <si>
    <t xml:space="preserve">• Revenue CAGR              </t>
  </si>
  <si>
    <t xml:space="preserve">• Operating Margin           </t>
  </si>
  <si>
    <t xml:space="preserve">• ROE                                   </t>
  </si>
  <si>
    <t xml:space="preserve">Recommendation              </t>
  </si>
  <si>
    <t xml:space="preserve">Target Price                    </t>
  </si>
  <si>
    <t xml:space="preserve">Current Market Price       </t>
  </si>
  <si>
    <t xml:space="preserve">• Global transaction slowdown               </t>
  </si>
  <si>
    <t>• Cybersecurity or payment network disruption</t>
  </si>
  <si>
    <t xml:space="preserve">• Projected Free Cash Flow </t>
  </si>
  <si>
    <t>INDUSTRY IMPLICATIONS FOR MASTERCARD</t>
  </si>
  <si>
    <t>Card Network Expansion</t>
  </si>
  <si>
    <t>Consumer spending growth &amp; inflation</t>
  </si>
  <si>
    <t>Key Valuation Drivers</t>
  </si>
  <si>
    <t>Cross-border Growth: 12%</t>
  </si>
  <si>
    <t>Justification: Travel recovery &amp; global spending</t>
  </si>
  <si>
    <t>Source: Mastercard Annual Report / Industry Data</t>
  </si>
  <si>
    <t>5-6%</t>
  </si>
  <si>
    <t>Merchant Network Expansion</t>
  </si>
  <si>
    <t>DCF Target Price</t>
  </si>
  <si>
    <t>Market Price Reference</t>
  </si>
  <si>
    <t>Current Market Price: $450</t>
  </si>
  <si>
    <t>DCF Value(USD Per Share)</t>
  </si>
  <si>
    <t>Economic slowdown</t>
  </si>
  <si>
    <t>Sensitivity Inputs</t>
  </si>
  <si>
    <t>Revenue sensitivity ±1%</t>
  </si>
  <si>
    <t>Margin sensitivity ±1%</t>
  </si>
  <si>
    <t>WACC sensitivity ±0.5%</t>
  </si>
  <si>
    <t>Return Metrics</t>
  </si>
  <si>
    <t>ROIC</t>
  </si>
  <si>
    <t>Operating income (EBIT)</t>
  </si>
  <si>
    <t>Invested Capital</t>
  </si>
  <si>
    <t>Average Invested Capital (Beginning + Ending) / 2</t>
  </si>
  <si>
    <t>ROIC = NOPAT / Average Invested Capital</t>
  </si>
  <si>
    <t>NOTE</t>
  </si>
  <si>
    <t>NOPAT = EBIT × (1 − Tax Rate)</t>
  </si>
  <si>
    <t>Invested Capital = Debt + Equity − Excess Cash</t>
  </si>
  <si>
    <t>Returns Chart</t>
  </si>
  <si>
    <t>FCF Yield of Invested Capital</t>
  </si>
  <si>
    <t>year</t>
  </si>
  <si>
    <t>Cost of Capital</t>
  </si>
  <si>
    <t>Economic Profit</t>
  </si>
  <si>
    <t>Value Spread</t>
  </si>
  <si>
    <t>Forecast CAGR Summary</t>
  </si>
  <si>
    <t>Metrics</t>
  </si>
  <si>
    <t>CAGR</t>
  </si>
  <si>
    <t xml:space="preserve">Historical data period: 3 Years </t>
  </si>
  <si>
    <t>Frequency of observations: Daily Returns</t>
  </si>
  <si>
    <t>Average Daily Market Return</t>
  </si>
  <si>
    <t>Average Daily Stock Return</t>
  </si>
  <si>
    <t>Data Source: Investing.com
Market Benchmark: S&amp;P 500 Index</t>
  </si>
  <si>
    <t>3. Beta calculated using OLS regression between stock and market returns.</t>
  </si>
  <si>
    <t>🧾 Macroeconomic Sensitivity Regression Model</t>
  </si>
  <si>
    <t>Note:</t>
  </si>
  <si>
    <t>This regression evaluates the relationship between macroeconomic growth and company revenue.</t>
  </si>
  <si>
    <t>It does not represent equity beta, which measures stock volatility relative to the market.</t>
  </si>
  <si>
    <t>1. Collected macroeconomic data including GDP growth and inflation.</t>
  </si>
  <si>
    <t>2. Compiled industry revenue and company revenue data.</t>
  </si>
  <si>
    <t>3. Performed Ordinary Least Squares (OLS) regression between GDP growth and company revenue.</t>
  </si>
  <si>
    <t>4. The regression coefficient measures the sensitivity of company revenue to changes in economic growth.</t>
  </si>
  <si>
    <t>Company Revenue = Intercept + 293046 × GDP Growth</t>
  </si>
  <si>
    <t>Where:</t>
  </si>
  <si>
    <t>α = Intercept (from regression output)</t>
  </si>
  <si>
    <t>β = 293,046</t>
  </si>
  <si>
    <t>Variable</t>
  </si>
  <si>
    <t>Coefficient</t>
  </si>
  <si>
    <t>t-Stat</t>
  </si>
  <si>
    <t>(Excel Intercept Value)</t>
  </si>
  <si>
    <t>First Regression Equation</t>
  </si>
  <si>
    <t>Second Regression Equation</t>
  </si>
  <si>
    <t>Industry Sensitivity Regression Model</t>
  </si>
  <si>
    <t>Intercept (Regression 1)</t>
  </si>
  <si>
    <t>Std Error</t>
  </si>
  <si>
    <t>(Excel value)</t>
  </si>
  <si>
    <t>Intercept (Regression 2)</t>
  </si>
  <si>
    <t>Company Revenue = α + 293046 × (% Change in GDP)</t>
  </si>
  <si>
    <t>Company Revenue = α + 0.4338 × (Industry Revenue)</t>
  </si>
  <si>
    <t>Industry Coefficient</t>
  </si>
  <si>
    <t>The estimated beta of 1.04 indicates that Mastercard’s stock</t>
  </si>
  <si>
    <t>is slightly more volatile than the overall market.</t>
  </si>
  <si>
    <t>This suggests that the company exhibits moderate systematic</t>
  </si>
  <si>
    <t>risk and tends to amplify market movements.</t>
  </si>
  <si>
    <t>As a global payment technology company, Mastercard benefits</t>
  </si>
  <si>
    <t>from economic growth, rising consumer spending, and the</t>
  </si>
  <si>
    <t>structural shift toward digital transactions, which can</t>
  </si>
  <si>
    <t>increase sensitivity to market cycles.</t>
  </si>
  <si>
    <t>This high R² may reflect structural industry dependence</t>
  </si>
  <si>
    <t>rather than purely predictive causality.</t>
  </si>
  <si>
    <t>~30</t>
  </si>
  <si>
    <t>~22</t>
  </si>
  <si>
    <t>Mastercard Incorporated</t>
  </si>
  <si>
    <t>~32</t>
  </si>
  <si>
    <t>~26</t>
  </si>
  <si>
    <t>~19</t>
  </si>
  <si>
    <t>~14</t>
  </si>
  <si>
    <t>Legacy DDM Check</t>
  </si>
  <si>
    <t>Long Term Ke(DDM)</t>
  </si>
  <si>
    <t>Terminal value (DDM*(1+g)/(Ke-g))</t>
  </si>
  <si>
    <t>PV Of DDM</t>
  </si>
  <si>
    <t>Growth In DDM</t>
  </si>
  <si>
    <t>Intrinsic Value Per Share (DDM)</t>
  </si>
  <si>
    <t>FCFF DCF</t>
  </si>
  <si>
    <t>Investment Decision Rule</t>
  </si>
  <si>
    <t>Final Recommendation</t>
  </si>
  <si>
    <t>ACCUMULATE</t>
  </si>
  <si>
    <t>5%-15%</t>
  </si>
  <si>
    <t>-5% to +5%</t>
  </si>
  <si>
    <t>~12%</t>
  </si>
  <si>
    <t>~10%</t>
  </si>
  <si>
    <t>~7%</t>
  </si>
  <si>
    <t>~65%</t>
  </si>
  <si>
    <t>~58%</t>
  </si>
  <si>
    <t>~18%</t>
  </si>
  <si>
    <t>Network</t>
  </si>
  <si>
    <t>Global share</t>
  </si>
  <si>
    <t>~50%</t>
  </si>
  <si>
    <t>~25%</t>
  </si>
  <si>
    <t>~8%</t>
  </si>
  <si>
    <t>5Y CAGR</t>
  </si>
  <si>
    <t>CAGR Summary</t>
  </si>
  <si>
    <t>Growth Outlook:</t>
  </si>
  <si>
    <t>Strong</t>
  </si>
  <si>
    <t>Company:                Mastercard</t>
  </si>
  <si>
    <t>Business Quality:  Excellent</t>
  </si>
  <si>
    <t>Valuation:                Premium</t>
  </si>
  <si>
    <t>DCF and FCFF are weighted higher due to their</t>
  </si>
  <si>
    <t>intrinsic valuation approach.</t>
  </si>
  <si>
    <t>Relative valuation and DDM are used as</t>
  </si>
  <si>
    <t>supporting reference metrics.</t>
  </si>
  <si>
    <t>Valuation Methodology</t>
  </si>
  <si>
    <t>Strong global payment network</t>
  </si>
  <si>
    <t>Relative</t>
  </si>
  <si>
    <t>Football Field Table</t>
  </si>
  <si>
    <t>Final Investment Decision</t>
  </si>
  <si>
    <t>Volume (Transactions)</t>
  </si>
  <si>
    <t>Price per Transaction</t>
  </si>
  <si>
    <t>Dynamic Forecast Driver Sheet</t>
  </si>
  <si>
    <t>Payment Volume ($Bn)</t>
  </si>
  <si>
    <t>Growth</t>
  </si>
  <si>
    <t>Take Rate</t>
  </si>
  <si>
    <t>Revenue Drivers</t>
  </si>
  <si>
    <t>Comparable Companies</t>
  </si>
  <si>
    <t>Football Field Valuation</t>
  </si>
  <si>
    <t>Valuation Dashboard</t>
  </si>
  <si>
    <t>Indicator</t>
  </si>
  <si>
    <t>🟢</t>
  </si>
  <si>
    <t>🔴</t>
  </si>
  <si>
    <t>Overvalued</t>
  </si>
  <si>
    <t>Capital Structure</t>
  </si>
  <si>
    <t>Market Cap</t>
  </si>
  <si>
    <t>Capital Weights</t>
  </si>
  <si>
    <t>Sources</t>
  </si>
  <si>
    <t>US 10Y Treasury</t>
  </si>
  <si>
    <t>Valuation Metric</t>
  </si>
  <si>
    <t>Mastercard trades at a significant premium to industry peers.</t>
  </si>
  <si>
    <t>Reason:</t>
  </si>
  <si>
    <t>Strong brand</t>
  </si>
  <si>
    <t>Global payment network dominance</t>
  </si>
  <si>
    <t>Conclusion</t>
  </si>
  <si>
    <t>EV</t>
  </si>
  <si>
    <t>Payment Volume Drivers</t>
  </si>
  <si>
    <t>Cards Issued</t>
  </si>
  <si>
    <t>Margin Drivers</t>
  </si>
  <si>
    <t>Investment Risks</t>
  </si>
  <si>
    <t>CAGR Projections</t>
  </si>
  <si>
    <t>Income Statement CAGR Projection</t>
  </si>
  <si>
    <t>Balance Sheet CAGR Projection</t>
  </si>
  <si>
    <t>Shareholders Equity</t>
  </si>
  <si>
    <t>Cash Flow Statement CAGR Projection</t>
  </si>
  <si>
    <t>Sensitivity Flag</t>
  </si>
  <si>
    <t>HIGH</t>
  </si>
  <si>
    <t>VERY HIGH</t>
  </si>
  <si>
    <t>WACC Section</t>
  </si>
  <si>
    <t>Risk-Free Rate</t>
  </si>
  <si>
    <t>ERP</t>
  </si>
  <si>
    <t>Market estimate</t>
  </si>
  <si>
    <t>Sanity Check Section</t>
  </si>
  <si>
    <t>Comment</t>
  </si>
  <si>
    <t>~9%</t>
  </si>
  <si>
    <t>Reasonable</t>
  </si>
  <si>
    <t>EBITDA Margin</t>
  </si>
  <si>
    <t>Increasing</t>
  </si>
  <si>
    <t>Scale benefit</t>
  </si>
  <si>
    <t>WACC vs Growth</t>
  </si>
  <si>
    <t>WACC &gt; g ✔</t>
  </si>
  <si>
    <t>Valid</t>
  </si>
  <si>
    <t>Revenue Drivers (Mastercard Specific)</t>
  </si>
  <si>
    <t>Transaction Volume Growth     8%</t>
  </si>
  <si>
    <t>Pricing / Yield Growth        2%</t>
  </si>
  <si>
    <t>Cross-border Growth           3%</t>
  </si>
  <si>
    <t>Total Revenue Growth ≈ 10–11%</t>
  </si>
  <si>
    <t>WACC ↓ / g →</t>
  </si>
  <si>
    <t>Mid</t>
  </si>
  <si>
    <t>Revenue Adj</t>
  </si>
  <si>
    <t>Margin Adj</t>
  </si>
  <si>
    <t xml:space="preserve">Sensitive </t>
  </si>
  <si>
    <t>Discount Factor (9.56%)</t>
  </si>
  <si>
    <t>All valuations are based on FY2025–2029 projections and assume stable macroeconomic conditions.</t>
  </si>
  <si>
    <t>(All figures in USD Millions unless stated otherwise)</t>
  </si>
  <si>
    <t>Transactions/Card</t>
  </si>
  <si>
    <t>Avg Txn Value</t>
  </si>
  <si>
    <t>Yield %</t>
  </si>
  <si>
    <t>Cost %</t>
  </si>
  <si>
    <t>Status</t>
  </si>
  <si>
    <t>Balance Sheet</t>
  </si>
  <si>
    <t>Cash Flow</t>
  </si>
  <si>
    <t>Depreciation Link</t>
  </si>
  <si>
    <t>Debt Schedule</t>
  </si>
  <si>
    <t>FCFF Check</t>
  </si>
  <si>
    <t>WACC Check</t>
  </si>
  <si>
    <t>Valuation Check</t>
  </si>
  <si>
    <t xml:space="preserve">Formula </t>
  </si>
  <si>
    <t>Model Audit Checks</t>
  </si>
  <si>
    <t>Total Working Capital</t>
  </si>
  <si>
    <t>Change in Operating Working Capital</t>
  </si>
  <si>
    <t>Terminal Growth Rate = 3%</t>
  </si>
  <si>
    <t>Comment:</t>
  </si>
  <si>
    <t>“Aligned with long-term global GDP growth (~3%)”</t>
  </si>
  <si>
    <t>Terminal Value Calculation:</t>
  </si>
  <si>
    <t>-----------------------------------</t>
  </si>
  <si>
    <t>RELATIVE VALUATION</t>
  </si>
  <si>
    <t>[ NEW SECTION ]</t>
  </si>
  <si>
    <t>Multiple Selection Rationale:</t>
  </si>
  <si>
    <t>Peer Comparison Table</t>
  </si>
  <si>
    <t>Company | EV/EBITDA | P/E | ...</t>
  </si>
  <si>
    <t>- EV/EBITDA → capital structure neutral...</t>
  </si>
  <si>
    <t>- P/E → equity perspective</t>
  </si>
  <si>
    <t>Implied Valuation:</t>
  </si>
  <si>
    <t>- EV/EBITDA Value: $XXX</t>
  </si>
  <si>
    <t>- P/E Value: $XXX</t>
  </si>
  <si>
    <t>Valuation Commentary:</t>
  </si>
  <si>
    <t>- Mastercard trades at a premium because:</t>
  </si>
  <si>
    <t xml:space="preserve">   • High margins</t>
  </si>
  <si>
    <t xml:space="preserve">   • Asset-light model</t>
  </si>
  <si>
    <t xml:space="preserve">   • Network effects</t>
  </si>
  <si>
    <t>Real-World Drivers:</t>
  </si>
  <si>
    <t>“Higher interest rates increase discount rate and reduce valuation”</t>
  </si>
  <si>
    <t>KEY FORMULAS</t>
  </si>
  <si>
    <t>1. WACC</t>
  </si>
  <si>
    <t>→ Used to discount future cash flows</t>
  </si>
  <si>
    <t>2. Terminal Value</t>
  </si>
  <si>
    <t>→ Captures value beyond forecast period</t>
  </si>
  <si>
    <t>3. EV/EBITDA</t>
  </si>
  <si>
    <t>Prepared by: Talla Varun Goud | Financial Modeling Project</t>
  </si>
  <si>
    <t>Revenue growth is derived using a regression analysis between Mastercard’s historical revenue and GDP growth, indicating strong correlation with macroeconomic expansion and digital payment adoption.</t>
  </si>
  <si>
    <t>Growth moderates as post-expansion effects stabilize, reflecting normalization after higher-than-trend growth in previous periods</t>
  </si>
  <si>
    <t>Growth aligns with global digital payments industry trends, driven by steady transaction volume expansion and fintech adoption.</t>
  </si>
  <si>
    <t>As the company matures, growth gradually declines toward a sustainable long-term rate due to market saturation</t>
  </si>
  <si>
    <t>Growth approaches a steady-state level, reflecting stable economic expansion and a mature business lifecycle</t>
  </si>
  <si>
    <t>Based on the company’s historical effective tax rate, adjusted for global tax structure and geographic revenue mix</t>
  </si>
  <si>
    <t>Assumes non-core income remains consistent with historical averages, reflecting minimal contribution to core operations.</t>
  </si>
  <si>
    <t>As revenue grows, fixed costs are spread over a larger base, improving margins due to operating leverage and high-margin digital business model.</t>
  </si>
  <si>
    <t>Operating Leverage &amp; Automation Efficiency</t>
  </si>
  <si>
    <t>👉 Cost efficiency improves over time due to:</t>
  </si>
  <si>
    <t>Technology automation</t>
  </si>
  <si>
    <t>Reduced marginal cost per transaction</t>
  </si>
  <si>
    <t>Scalable platform economics</t>
  </si>
  <si>
    <t>Maintained to ensure liquidity buffer and operational flexibility, consistent with historical treasury strategy.</t>
  </si>
  <si>
    <t>Low receivables due to fast settlement cycles in digital payment systems.</t>
  </si>
  <si>
    <t>Reflects funds in transit between institutions, a key characteristic of payment processing companies.</t>
  </si>
  <si>
    <t>Based on historical trends of advance payments and platform-related costs.</t>
  </si>
  <si>
    <t>High accruals due to transaction-related obligations and operational liabilities</t>
  </si>
  <si>
    <t>Moderate growth reflecting limited physical infrastructure needs (asset-light model)</t>
  </si>
  <si>
    <t>Investment in technology, software, and intellectual property aligned with innovation strategy</t>
  </si>
  <si>
    <t>Based on historical depreciation trends relative to asset base</t>
  </si>
  <si>
    <t>Reflects continuous investment in:Technology Infrastructure Cyber Security Payment Network Expansion</t>
  </si>
  <si>
    <t>Reflects consistent capital return strategy and confidence in future cash flows, also improving EPS</t>
  </si>
  <si>
    <t>Balanced policy to Reward Shareholders Retain Earnings for Growth</t>
  </si>
  <si>
    <t>Measures stock volatility relative to the market.Slightly above 1 indicates Mastercard is marginally more volatile than the market</t>
  </si>
  <si>
    <t>Based on long-term equity market return expectations.</t>
  </si>
  <si>
    <t>Derived using CAPM, representing required return by equity investors</t>
  </si>
  <si>
    <t>US 10-Year Government Bond Yield Represents a risk-free benchmark for long-term investments</t>
  </si>
  <si>
    <t>Based on capital structure dominated by equity financing</t>
  </si>
  <si>
    <t>Reflects relatively low leverage</t>
  </si>
  <si>
    <t>Represents overall required return for all capital providers.</t>
  </si>
  <si>
    <t>Macroeconomic Drivers</t>
  </si>
  <si>
    <t>Global GDP Growth</t>
  </si>
  <si>
    <t>Digital Payments Industry Growth</t>
  </si>
  <si>
    <t>12–15%</t>
  </si>
  <si>
    <t>Cross-border Volume Growth</t>
  </si>
  <si>
    <t>10–12%</t>
  </si>
  <si>
    <t>Model Overview:</t>
  </si>
  <si>
    <t>Key Assumptions:</t>
  </si>
  <si>
    <t>Tax Rate: Based on historical effective tax rate</t>
  </si>
  <si>
    <t>Model Logic &amp; Structure:</t>
  </si>
  <si>
    <t>Model Flow:</t>
  </si>
  <si>
    <t>Inputs → Assumptions → Financial Projections → Valuation → Output Dashboard</t>
  </si>
  <si>
    <t>Forecast Period: 5–10 years + Terminal Value</t>
  </si>
  <si>
    <t>Valuation Summary:</t>
  </si>
  <si>
    <t>Rating</t>
  </si>
  <si>
    <t>Intrinsic Value compared with Current Market Price</t>
  </si>
  <si>
    <t>Stock appears significantly undervalued relative to intrinsic value</t>
  </si>
  <si>
    <t>Exposure to fraud and cybersecurity risks</t>
  </si>
  <si>
    <t>Key competitors include Visa Inc. and emerging fintech players</t>
  </si>
  <si>
    <t>7. Mitigation Strategies</t>
  </si>
  <si>
    <t>Regulatory Risk → Diversification across geographies, compliance investment</t>
  </si>
  <si>
    <t>Competition Risk → Strategic partnerships, innovation in digital payments</t>
  </si>
  <si>
    <t>Economic Risk → Strong global network, diversified revenue streams</t>
  </si>
  <si>
    <t>Risk Summary:</t>
  </si>
  <si>
    <t>Geographic diversification, compliance</t>
  </si>
  <si>
    <t>Affects WACC &amp; margins</t>
  </si>
  <si>
    <t>Innovation, partnerships</t>
  </si>
  <si>
    <t>Affects revenue growth</t>
  </si>
  <si>
    <t>Diversified global revenue</t>
  </si>
  <si>
    <t>Affects transaction volume</t>
  </si>
  <si>
    <t>Impact on Financial Model:</t>
  </si>
  <si>
    <t>Regulatory risk → Higher WACC → Lower valuation</t>
  </si>
  <si>
    <t>Competition → Lower revenue growth &amp; margins</t>
  </si>
  <si>
    <t>Economic slowdown → Reduced transaction volume → Lower FCFF</t>
  </si>
  <si>
    <t>Currency / FX Risk</t>
  </si>
  <si>
    <t>Risk-Reward Profile:</t>
  </si>
  <si>
    <t>Recommendation: SELL</t>
  </si>
  <si>
    <t>Long-Term Positives</t>
  </si>
  <si>
    <t>Scenario-Based Intrinsic Value (USD per Share)</t>
  </si>
  <si>
    <t>Downside risk is asymmetric, with limited upside even in optimistic scenarios</t>
  </si>
  <si>
    <t>The valuation profile suggests limited margin of safety and unfavorable risk-reward at current price levels</t>
  </si>
  <si>
    <t>Scale benefits partially offset by pricing compression</t>
  </si>
  <si>
    <t>Mix shift toward lower-yield domestic transactions</t>
  </si>
  <si>
    <t>Operating leverage supports margin expansion as revenue scales faster than fixed cost base.</t>
  </si>
  <si>
    <t>Mastercard’s superior profitability and capital efficiency justify premium valuation, but current multiples suggest limited upside</t>
  </si>
  <si>
    <t>Top 3 Value Drivers</t>
  </si>
  <si>
    <t>Score</t>
  </si>
  <si>
    <t>Strong cash flows and high interest coverage support a high-grade credit profile, with moderate leverage slightly constraining a AAA rating.</t>
  </si>
  <si>
    <t>Key Insights:</t>
  </si>
  <si>
    <t>Superior margins vs industry → strong moat</t>
  </si>
  <si>
    <t>ROE expansion driven by profitability + leverage</t>
  </si>
  <si>
    <t>Investment view driven primarily by valuation disconnect rather than business weakness</t>
  </si>
  <si>
    <t>Valuation is most sensitive to WACC and terminal growth assumptions.</t>
  </si>
  <si>
    <t>All projections based on management guidance, industry trends, and historical performance.</t>
  </si>
  <si>
    <t>All figures in USD millions unless stated otherwise.</t>
  </si>
  <si>
    <t>Mastercard is a high-quality, asset-light compounder with strong margins and network effects, but current valuation limits upside, leading to a SELL recommendation.</t>
  </si>
  <si>
    <t>KPI Dashboard Box</t>
  </si>
  <si>
    <t>Revenue CAGR → 16%</t>
  </si>
  <si>
    <t>EBITDA Margin → 55%</t>
  </si>
  <si>
    <t>ROE → 34%</t>
  </si>
  <si>
    <t>Target vs Price → -18%</t>
  </si>
  <si>
    <t>Multiple compression indicates normalization from premium levels, limiting near-term upside.</t>
  </si>
  <si>
    <t>Weighted Score</t>
  </si>
  <si>
    <t>Key downside risks include regulatory pressure on fees, fintech competition, and global transaction slowdown</t>
  </si>
  <si>
    <t>Attractive re-entry zone: $300–$320 (based on margin of safety)</t>
  </si>
  <si>
    <t xml:space="preserve">EBITDA </t>
  </si>
  <si>
    <t>Credit Rating Model based on 5-Year Average Financial Metrics</t>
  </si>
  <si>
    <t>Premium</t>
  </si>
  <si>
    <t>PREMIUM / DISCOUNT %</t>
  </si>
  <si>
    <t>Mastercard trades at ~60–140% premium to industry multiples</t>
  </si>
  <si>
    <t>Why Premium is Justified:</t>
  </si>
  <si>
    <t>Strong network effects</t>
  </si>
  <si>
    <t>High margins (55%+)</t>
  </si>
  <si>
    <t>Global duopoly with Visa</t>
  </si>
  <si>
    <t>Why Premium is Risky:</t>
  </si>
  <si>
    <t>Limited upside at current valuation</t>
  </si>
  <si>
    <t>Regulatory pressure on fees</t>
  </si>
  <si>
    <t>Fintech competition (PayPal, Block)</t>
  </si>
  <si>
    <t>Growth normalization</t>
  </si>
  <si>
    <t>High-quality compounder trading at premium valuation with limited near-term upside.</t>
  </si>
  <si>
    <t>Visa &amp; Mastercard operate a global duopoly with high barriers to entry due to network effects and regulatory infrastructure</t>
  </si>
  <si>
    <t>Relative premium aligns with strong ROE, margins, and cash flow assumptions used in DCF valuation.</t>
  </si>
  <si>
    <t>Compared to peers, Mastercard combines Visa-like margins with higher growth exposure, justifying premium positioning</t>
  </si>
  <si>
    <t>Mastercard trades at a 60–140% premium to peers, driven by superior margins, network effects, and scalable economics, but current valuation limits near-term upside</t>
  </si>
  <si>
    <t>Industry-leading margins (~55%)</t>
  </si>
  <si>
    <t>Visa remains the scale leader, while Mastercard differentiates through growth and partnerships, positioning it as the strongest challenger</t>
  </si>
  <si>
    <t>Primary reliance is placed on FCFF valuation as it reflects firm-wide value independent of capital structure</t>
  </si>
  <si>
    <t>Investment Recommendation Summary</t>
  </si>
  <si>
    <t>315-370</t>
  </si>
  <si>
    <t>The valuation primarily relies on FCFF as it reflects firm-wide value independent of capital structure, with FCFE and relative valuation used as secondary validation methods.</t>
  </si>
  <si>
    <t>Valuation Weighting Summary</t>
  </si>
  <si>
    <t>Current valuation reflects premium pricing relative to intrinsic value</t>
  </si>
  <si>
    <t>Sustained acceleration in cross-border payment volumes could justify current premium valuation levels</t>
  </si>
  <si>
    <t>Fair Value</t>
  </si>
  <si>
    <t>Current valuation reflects premium pricing driven by strong margins and network effects, but exceeds intrinsic value under conservative assumptions</t>
  </si>
  <si>
    <t>Cross-border transactions drive higher margins and pricing power</t>
  </si>
  <si>
    <t>TV = FCFFₙ × (1 + g) / (WACC – g)</t>
  </si>
  <si>
    <t>= $364,939 Mn</t>
  </si>
  <si>
    <t>TV = EBITDA × Exit Multiple</t>
  </si>
  <si>
    <t>= 26227 × 18x (assumed industry multiple)</t>
  </si>
  <si>
    <t>= ~$472,000 Mn</t>
  </si>
  <si>
    <t>Perpetuity Growth:</t>
  </si>
  <si>
    <t>Exit Multiples:</t>
  </si>
  <si>
    <t>Perpetuity method used as primary due to long-term stability assumption</t>
  </si>
  <si>
    <t>Valuation is highly sensitive to WACC; a 1% increase reduces value by ~10–15%.</t>
  </si>
  <si>
    <t>DCF Fair Value (12M Target Price)</t>
  </si>
  <si>
    <t>Results should be interpreted with caution due to limited sample size (10 observations) and potential structural changes in the payments industry</t>
  </si>
  <si>
    <t>Rᵢ = α + β × Rₘ + ε</t>
  </si>
  <si>
    <t>Beta is based on historical data and may not fully capture future risk dynamics or structural changes.</t>
  </si>
  <si>
    <t>Key Risks:</t>
  </si>
  <si>
    <t>Target Price: $568</t>
  </si>
  <si>
    <t>Upside: ~25%</t>
  </si>
  <si>
    <t>Key Players</t>
  </si>
  <si>
    <t>WACC reflects Mastercard’s low leverage, strong credit profile, and market-based capital structure</t>
  </si>
  <si>
    <t>Valuation is moderately sensitive to terminal assumptions, which is typical for long-duration cash flow businesses</t>
  </si>
  <si>
    <t>Decline in asset turnover reflects balance sheet expansion faster than revenue, driven by increasing cash and retained earnings.</t>
  </si>
  <si>
    <t>Negative working capital supports strong cash generation due to settlement dynamics</t>
  </si>
  <si>
    <t>WACC ↓ / Growth →</t>
  </si>
  <si>
    <t>DCF Valuation Model – Mastercard Inc. (2020–2029)</t>
  </si>
  <si>
    <t>Global Digital Payments</t>
  </si>
  <si>
    <t>Conclusion: Mastercard remains a high-quality compounder, but current valuation limits near-term upside</t>
  </si>
  <si>
    <t>• Strong revenue and earnings growth
• High operating margins and strong free cash flow
• Industry leadership in profitability and efficiency
• Stable financial position with manageable leverage
• Beneficiary of global shift toward cashless transactions  
• Strong network effects creating high barriers to entry  
• Strong growth driven by cross-border transactions and digital payment adoption</t>
  </si>
  <si>
    <t>Based on forecasted cash flows, growth assumptions, and WACC estimates, Mastercard’s intrinsic value is materially below the current market price, suggesting limited short-term upside despite strong long-term fundamentals.
Sensitivity analysis indicates that valuation is moderately dependent on WACC and terminal growth assumptions.</t>
  </si>
  <si>
    <t>Strong top-line growth</t>
  </si>
  <si>
    <t>Margin expansion</t>
  </si>
  <si>
    <t>Mastercard demonstrates strong double-digit growth across revenue, earnings, and cash flows, supported by operating leverage and a scalable business model.</t>
  </si>
  <si>
    <t>Cash declining → Capital deployment (buybacks/dividends)</t>
  </si>
  <si>
    <t>Pre-tax Cost of Debt</t>
  </si>
  <si>
    <t>WACC = (E/V × Ke) + (D/V × Kd × (1 – Tax))</t>
  </si>
  <si>
    <t>Low cost of debt reflects strong creditworthiness and stable cash flows</t>
  </si>
  <si>
    <t>Key risk: deviation from GDP or cross-border slowdown can impact growth assumptions.</t>
  </si>
  <si>
    <t xml:space="preserve">Mastercard Inc. is a global payments technology company operating a global electronic payments network connecting consumers, financial institutions, merchants, and governments. The company earns revenue from transaction processing, cross-border payments, and value-added services. Its asset-light model enables strong scalability, high margins, and consistent growth driven by global digital payment adoption.
Time Horizon: near-term (6–12 months)
Key Competitors: Visa, PayPal, and emerging fintech disruptors               </t>
  </si>
  <si>
    <t>Valuation is primarily driven by terminal value, contributing ~65–70% of total enterprise value</t>
  </si>
  <si>
    <t>DDM not applicable due to low dividend yield focus</t>
  </si>
  <si>
    <t>DCF weighted higher due to intrinsic valuation reliability</t>
  </si>
  <si>
    <t>Note: Declining ROIC due to reinvestment at scale and market maturity</t>
  </si>
  <si>
    <t>Implied Downside:</t>
  </si>
  <si>
    <t>Downside risk driven by valuation compression and sensitivity to WACC assumptions</t>
  </si>
  <si>
    <t>Investment Thesis – Mastercard Inc</t>
  </si>
  <si>
    <t>Risk Matrix</t>
  </si>
  <si>
    <t>Industry Players Considered</t>
  </si>
  <si>
    <t>1. Market Leadership Position</t>
  </si>
  <si>
    <t>2. Growth Comparison (Revenue Expansion)</t>
  </si>
  <si>
    <t>3. Margin Comparison (Profitability Power)</t>
  </si>
  <si>
    <t>4. Strategic Positioning Matrix</t>
  </si>
  <si>
    <t xml:space="preserve">Investment Analyst Interpretation </t>
  </si>
  <si>
    <t>Valuation Weighting (Target Price)</t>
  </si>
  <si>
    <t>Faster-than-expected cross-border growth could justify current valuation</t>
  </si>
  <si>
    <t>Intrinsic Value:</t>
  </si>
  <si>
    <t xml:space="preserve">Market Price: </t>
  </si>
  <si>
    <t xml:space="preserve">Rating: </t>
  </si>
  <si>
    <t>Trading at ~28x EV/EBITDA vs ~24x industry average, indicating premium valuation</t>
  </si>
  <si>
    <t>Terminal growth reflects mature-stage growth aligned with inflation + GDP (~2–3%)</t>
  </si>
  <si>
    <t>Revenue Growth = Volume Growth + Pricing + Cross-border mix impact</t>
  </si>
  <si>
    <t>Based on 5-year weekly regression vs S&amp;P 500</t>
  </si>
  <si>
    <t>Cost of debt based on investment-grade credit spread over risk-free rate</t>
  </si>
  <si>
    <t>Investment Summary &amp; Recommendation</t>
  </si>
  <si>
    <t xml:space="preserve">Upside/Downside Potential               </t>
  </si>
  <si>
    <t xml:space="preserve">Implied Upside / Downside: </t>
  </si>
  <si>
    <t>Source-based reasoning (IMF, industry growth, etc.)</t>
  </si>
  <si>
    <t>DCF (FCFF)</t>
  </si>
  <si>
    <t>DCF (FCFE)</t>
  </si>
  <si>
    <t>Visa, Mastercard, Paypal, American Express, Block inc, Global Payments</t>
  </si>
  <si>
    <t>Status Column:</t>
  </si>
  <si>
    <t>Master Status</t>
  </si>
  <si>
    <t>✅ OK</t>
  </si>
  <si>
    <t>⚠️ WARNING</t>
  </si>
  <si>
    <t>❌ ERROR</t>
  </si>
  <si>
    <t>Errors</t>
  </si>
  <si>
    <t>Warnings</t>
  </si>
  <si>
    <t>Dynamic Message</t>
  </si>
  <si>
    <t>Ensures Assets = Liabilities + Equity; validates overall financial balance</t>
  </si>
  <si>
    <t>Validates that ending cash equals beginning cash plus net cash flow</t>
  </si>
  <si>
    <t>Checks retained earnings roll-forward: Opening RE + Net Income − Dividends</t>
  </si>
  <si>
    <t>Ensures depreciation is consistently linked across all financial statements</t>
  </si>
  <si>
    <t>Validates debt roll-forward: Opening Debt + Borrowings − Repayments</t>
  </si>
  <si>
    <t>Validates DCF outputs to ensure logical and positive valuation results</t>
  </si>
  <si>
    <t>Summarizes all audit checks to confirm overall model integrity</t>
  </si>
  <si>
    <t>Counts critical issues that must be resolved before using the model</t>
  </si>
  <si>
    <t>Highlights non-critical issues or assumptions requiring review</t>
  </si>
  <si>
    <t>Displays final model status: ready for use, review warnings, or fix errors</t>
  </si>
  <si>
    <t>Ensures appropriate discount rate based on capital structure</t>
  </si>
  <si>
    <t>Validates FCFF using NOPAT + D&amp;A − Capex − Change in Working Capital</t>
  </si>
  <si>
    <t>Ensures change in working capital is correctly calculated and linked</t>
  </si>
  <si>
    <t>This financial model evaluates Mastercard Inc. using a fully integrated three-statement approach combined with intrinsic valuation techniques. The analysis incorporates historical financial performance, forward-looking projections, and discounted cash flow (DCF) methodology to estimate intrinsic value. Relative valuation using EV/EBITDA multiples is also applied for benchmarking purposes</t>
  </si>
  <si>
    <t>Revenue Growth: Based on historical trends and industry outlook</t>
  </si>
  <si>
    <t>Operating Margins: Stable with gradual efficiency improvements</t>
  </si>
  <si>
    <t>Terminal Growth Rate: Conservative long-term growth estimate</t>
  </si>
  <si>
    <t>Expected Upside &gt; 15%</t>
  </si>
  <si>
    <t>Stock appears fairly valued</t>
  </si>
  <si>
    <t>Expected Downside &gt; 15%</t>
  </si>
  <si>
    <t>Stock appears overvalued</t>
  </si>
  <si>
    <t>WACC = (E/V × Ke) + (D/V × Kd × (1 − Tax))</t>
  </si>
  <si>
    <t>TV = FCFF × (1 + g) / (WACC − g)</t>
  </si>
  <si>
    <t>Used for relative valuation benchmarking</t>
  </si>
  <si>
    <t>Mastercard Inc. Annual Reports (Form 10-K)</t>
  </si>
  <si>
    <t>Investor Relations Website</t>
  </si>
  <si>
    <t>Earnings Presentations &amp; Investor Decks</t>
  </si>
  <si>
    <t>SEC Filings (EDGAR Database)</t>
  </si>
  <si>
    <t>Historical Financial Statements</t>
  </si>
  <si>
    <t>Income Statement, Balance Sheet, and Cash Flow Data</t>
  </si>
  <si>
    <t>U.S. 10-Year Treasury Yield (Risk-Free Rate)</t>
  </si>
  <si>
    <t>Equity Market Risk Premium Assumptions</t>
  </si>
  <si>
    <t>Beta Estimates (Market Consensus Sources)</t>
  </si>
  <si>
    <t>Aswath Damodaran – Valuation Resources</t>
  </si>
  <si>
    <t>CFA Institute Equity Valuation Framework</t>
  </si>
  <si>
    <t>Industry-standard DCF &amp; Relative Valuation Practices</t>
  </si>
  <si>
    <t>IMF Global Economic Outlook</t>
  </si>
  <si>
    <t>Federal Reserve Economic Data (FRED)</t>
  </si>
  <si>
    <t>This valuation is based on forward-looking assumptions and is subject to inherent uncertainties</t>
  </si>
  <si>
    <t>Financial projections are based on historical trends and forward-looking assumptions, which may not fully reflect future performance</t>
  </si>
  <si>
    <t>Valuation is highly sensitive to changes in WACC and terminal growth assumptions</t>
  </si>
  <si>
    <t>Terminal value represents a significant portion of total valuation, making long-term assumptions critical</t>
  </si>
  <si>
    <t>Macroeconomic factors, interest rates, and industry  dynamics may materially impact valuation outcomes</t>
  </si>
  <si>
    <t>Regulatory, technological, and competitive risks may not be fully captured in the model.</t>
  </si>
  <si>
    <t>The model assumes stable capital structure and consistent operational efficiency</t>
  </si>
  <si>
    <t>WACC: Derived using CAPM and market-based inputs</t>
  </si>
  <si>
    <t>Revenue projections driven by historical trends</t>
  </si>
  <si>
    <t>Cost structure modeled as a % of revenue</t>
  </si>
  <si>
    <t>Working capital linked to operating drivers</t>
  </si>
  <si>
    <t>Free cash flow calculated using FCFF methodology</t>
  </si>
  <si>
    <t>Valuation derived using DCF and relative valuation approaches</t>
  </si>
  <si>
    <t>All financial statements, valuation outputs, and assumptions have been validated using an integrated audit framework to ensure model accuracy, consistency, and reliability</t>
  </si>
  <si>
    <t>Upside / Downside (%) = (Intrinsic Value / Current Price − 1)</t>
  </si>
  <si>
    <t>Internal forecasts based on historical analysis, industry trends, and management guidance</t>
  </si>
  <si>
    <t>This model reflects a disciplined, bottom-up valuation approach combining financial modeling, fundamental analysis, and market-based assumptions to derive an independent investment view</t>
  </si>
  <si>
    <t>Valuation sensitivity indicates that a ±1% change in WACC impacts intrinsic value by ~10–15%, highlighting the importance of discount rate assumptions.</t>
  </si>
  <si>
    <t>Valuation triangulated using DCF and relative valuation to enhance robustness and reduce model bias</t>
  </si>
  <si>
    <t>The model is designed to be dynamic, allowing sensitivity testing across key drivers such as growth, margins, and discount rates</t>
  </si>
  <si>
    <t>Structural shift from cash to digital payments</t>
  </si>
  <si>
    <t>Expansion in e-commerce, wallets, and contactless</t>
  </si>
  <si>
    <t>Drives sustained long-term transaction growth</t>
  </si>
  <si>
    <t>Network-based model with minimal credit risk</t>
  </si>
  <si>
    <t>High operating margins and strong free cash flow</t>
  </si>
  <si>
    <t>Scalable global platform with operating leverage</t>
  </si>
  <si>
    <t>High-margin revenue contributor</t>
  </si>
  <si>
    <t>Recovery in international travel supports earnings</t>
  </si>
  <si>
    <t>Near-term upside potential from cross-border volume normalization</t>
  </si>
  <si>
    <t>Strong ecosystem of banks, merchants, and consumers</t>
  </si>
  <si>
    <t>High switching costs create durable competitive advantage</t>
  </si>
  <si>
    <t>Growth in cybersecurity, data analytics, and open banking</t>
  </si>
  <si>
    <t>Diversifies revenue beyond core card business</t>
  </si>
  <si>
    <t>Recovery in cross-border travel</t>
  </si>
  <si>
    <t>Expansion of digital wallet partnerships</t>
  </si>
  <si>
    <t>Stabilization in consumer spending</t>
  </si>
  <si>
    <t>Global transition to cashless economy</t>
  </si>
  <si>
    <t>Increasing adoption in emerging markets</t>
  </si>
  <si>
    <t>Growth in real-time payment infrastructure</t>
  </si>
  <si>
    <t>Key Risk: Valuation multiple compression if growth expectations moderate</t>
  </si>
  <si>
    <t>Conclusion: While Mastercard remains a high-quality compounder with strong structural growth drivers, the current valuation appears stretched. The stock is trading at a premium (~28x EV/EBITDA vs ~24x industry average), leaving limited upside potential. As growth normalizes, multiple compression risk could drive downside over the next 12–18 months</t>
  </si>
  <si>
    <t>High-margin, asset-light business model</t>
  </si>
  <si>
    <t>Strong network effects and competitive moat</t>
  </si>
  <si>
    <t>Continued growth in digital payments globally</t>
  </si>
  <si>
    <t>Note: Competitive pressure from UPI and fintech players may impact pricing power in emerging markets.</t>
  </si>
  <si>
    <t>Increasing competition from fintech and alternative payment systems</t>
  </si>
  <si>
    <t>Macroeconomic slowdown impacting transaction volumes</t>
  </si>
  <si>
    <t>Structural growth driven by global digital payment adoption</t>
  </si>
  <si>
    <t>Rising competition from fintech ecosystems and UPI platforms</t>
  </si>
  <si>
    <t>Sensitivity to global consumption and transaction volume</t>
  </si>
  <si>
    <t>The stock is currently trading at a valuation premium (~28x EV/EBITDA vs ~24x peers), limiting upside potential and increasing downside risk if growth expectations normalize</t>
  </si>
  <si>
    <t>Mastercard Inc. is a global payments technology leader</t>
  </si>
  <si>
    <t>Operates in 210+ countries and territories</t>
  </si>
  <si>
    <t>Asset-light, transaction-based network model</t>
  </si>
  <si>
    <t>Key beneficiary of structural growth in digital payments</t>
  </si>
  <si>
    <t>Strong revenue growth driven by digital payment adoption</t>
  </si>
  <si>
    <t>High operating leverage with industry-leading margins</t>
  </si>
  <si>
    <t>Increasing global shift toward cashless transactions</t>
  </si>
  <si>
    <t>Robust and consistent free cash flow generation</t>
  </si>
  <si>
    <t>Cybersecurity</t>
  </si>
  <si>
    <t>Continuous investment in security</t>
  </si>
  <si>
    <t>Recovery in cross-border transaction volumes</t>
  </si>
  <si>
    <t>Continued global adoption of digital payments</t>
  </si>
  <si>
    <t>Margin expansion through operating leverage</t>
  </si>
  <si>
    <t>Strategic partnerships within fintech ecosystems</t>
  </si>
  <si>
    <t>Equity Research Recommendation – Mastercard Inc</t>
  </si>
  <si>
    <t>Regulatory Risk: Pressure on interchange fees across key markets</t>
  </si>
  <si>
    <t>Competitive Risk: Increasing disruption from fintechs and alternative payment systems</t>
  </si>
  <si>
    <t>Macroeconomic Risk: Slowdown impacting transaction volumes and consumer spending</t>
  </si>
  <si>
    <t>Operational Risk: Cybersecurity and data privacy concerns</t>
  </si>
  <si>
    <t>Relative valuation indicates a premium versus peers, reflecting strong market positioning; however, to account for potential overvaluation and ensure a conservative estimate, a lower weighting is assigned within the blended valuation framework</t>
  </si>
  <si>
    <t>Mastercard remains a high-quality compounder supported by strong structural growth in digital payments; however, current valuation levels appear stretched, fully pricing in growth expectations and leaving limited margin of safety. As a result, the risk-reward profile is skewed to the downside</t>
  </si>
  <si>
    <t>Introduction</t>
  </si>
  <si>
    <t>Scalable platform with low capital intensity</t>
  </si>
  <si>
    <t>The stock currently trades at a premium (~28x EV/EBITDA vs ~24x peers), suggesting limited upside and potential for multiple compression</t>
  </si>
  <si>
    <t>The risk-reward profile remains skewed to the downside, with limited upside potential at current valuation levels</t>
  </si>
  <si>
    <t>Source: International Monetary Fund – World Economic Outlook 2024 Rationale: Long-term global GDP trend used as baseline for terminal growth and macro alignment</t>
  </si>
  <si>
    <t>Source: McKinsey &amp; Company – Global Payments Report 2023Source: Statista – Digital Payments Forecast 2024–2028Rationale: Reflects strong structural shift from cash to digital payments</t>
  </si>
  <si>
    <t>Rationale: Cross-border transactions linked to global trade recovery</t>
  </si>
  <si>
    <t>Source: World Trade Organization – Global Trade Outlook 2024
Rationale: Cross-border transactions linked to global trade recovery</t>
  </si>
  <si>
    <t>Source: U.S. Department of the Treasury – 10-Year Treasury Yield (2024 avg)</t>
  </si>
  <si>
    <t>Equity Risk Premium</t>
  </si>
  <si>
    <t>Source: Aswath Damodaran – Implied ERP (2024)</t>
  </si>
  <si>
    <t xml:space="preserve">Recommendation: SELL  </t>
  </si>
  <si>
    <t xml:space="preserve">Current Price: $450  </t>
  </si>
  <si>
    <t>Key Reason: Overvaluation driven by high multiples despite strong fundamentals</t>
  </si>
  <si>
    <t>High ROE driven by asset-light model and share buybacks</t>
  </si>
  <si>
    <t>DCF (Blended FCFF/FCFE)</t>
  </si>
  <si>
    <t>Rating: SELL</t>
  </si>
  <si>
    <t>• Macroeconomic slowdown impacting transaction volumes</t>
  </si>
  <si>
    <t>Derived using CAPM:</t>
  </si>
  <si>
    <t>EBITDA (2020-2029)</t>
  </si>
  <si>
    <t>Current  Market Price</t>
  </si>
  <si>
    <t>DCF Visual Valuation</t>
  </si>
  <si>
    <t>DCF  Visual  Valuation</t>
  </si>
  <si>
    <t>Final Investment Recommendation</t>
  </si>
  <si>
    <t>Taxes</t>
  </si>
  <si>
    <t>Waterfall Valuation Bridge</t>
  </si>
  <si>
    <t>25x</t>
  </si>
  <si>
    <t>28x</t>
  </si>
  <si>
    <t>18x</t>
  </si>
  <si>
    <t>AmEx</t>
  </si>
  <si>
    <t>14x</t>
  </si>
  <si>
    <t>+21% CAGR → Strong earnings acceleration</t>
  </si>
  <si>
    <t>EPS growth &gt; Revenue → Margin expansion &amp; efficiency gains</t>
  </si>
  <si>
    <t>EPS CAGR (~21%) exceeds revenue CAGR (~16%), indicating strong operating leverage; however, current valuation already prices in this growth.</t>
  </si>
  <si>
    <t>18.Competition (Comparable Company Analysis)</t>
  </si>
  <si>
    <t>19.Credit Ratio</t>
  </si>
  <si>
    <t>20.Ratio Analysis</t>
  </si>
  <si>
    <t>21.Risk Analysis</t>
  </si>
  <si>
    <t>22.Investment Recommendation</t>
  </si>
  <si>
    <t>23.Executive Summary</t>
  </si>
  <si>
    <t>24.Model Flow</t>
  </si>
  <si>
    <t>25.Industry Outlook</t>
  </si>
  <si>
    <t>26.Operational Drivers</t>
  </si>
  <si>
    <t>27.Sensitivity Analysis</t>
  </si>
  <si>
    <t>28.Scenario Analysis</t>
  </si>
  <si>
    <t>29.Documentation Sheet</t>
  </si>
  <si>
    <t>30.Return Metrics</t>
  </si>
  <si>
    <t>31.WACC</t>
  </si>
  <si>
    <t>32.CAGR Projections</t>
  </si>
  <si>
    <t>33.Audit Checks</t>
  </si>
  <si>
    <t>Near-term catalysts:</t>
  </si>
  <si>
    <t>Faster cross-border recovery</t>
  </si>
  <si>
    <t>Higher-than-expected volume growth</t>
  </si>
  <si>
    <t>Pricing power</t>
  </si>
  <si>
    <t>Bull case triggers:</t>
  </si>
  <si>
    <t>Key Financial Metrics</t>
  </si>
  <si>
    <t>Revenue CAGR (5Y): ~11%</t>
  </si>
  <si>
    <t>EBITDA Margin: ~58%</t>
  </si>
  <si>
    <t>ROIC: ~30%</t>
  </si>
  <si>
    <t>Growth \ WACC</t>
  </si>
  <si>
    <t>Final Target</t>
  </si>
  <si>
    <t>Price VS Target</t>
  </si>
  <si>
    <t>Valuation Comparison</t>
  </si>
  <si>
    <t xml:space="preserve">Sensitivity </t>
  </si>
  <si>
    <t>Strong consistent growth supports premium valuation, but current price already reflects this</t>
  </si>
  <si>
    <t>Despite strong fundamentals, Mastercard’s current valuation leaves limited upside, with our blended valuation indicating ~17% downside.</t>
  </si>
  <si>
    <t>We initiate coverage on Mastercard with a SELL rating, as its premium valuation appears to fully reflect strong growth expectations, leaving limited upside potential.</t>
  </si>
  <si>
    <t>Rationale</t>
  </si>
  <si>
    <t>Mastercard trades at elevated valuation multiples relative to peers, with our DCF analysis indicating approximately 20% downside. While the company benefits from structural growth in digital payments, these tailwinds are largely priced into current valuations. Additionally, margin expansion potential remains constrained given already high profitability levels.</t>
  </si>
  <si>
    <t>Upside risks include faster-than-expected digital payment adoption, strong cross-border transaction growth, and expansion into new revenue streams such as value-added services.</t>
  </si>
  <si>
    <t>Catalysts</t>
  </si>
  <si>
    <t>Downside catalysts include valuation multiple compression, macroeconomic slowdown impacting consumer spending, and potential regulatory pressures.</t>
  </si>
  <si>
    <t>Time Horizon</t>
  </si>
  <si>
    <t>Our recommendation is based on a 12–18 month investment horizon.</t>
  </si>
  <si>
    <t>3.0% (Base)</t>
  </si>
  <si>
    <t>9.5% (Base)</t>
  </si>
  <si>
    <t>⭐ 340</t>
  </si>
  <si>
    <t>Base Case DCF Value: $340</t>
  </si>
  <si>
    <t>Implied Downside: -24%</t>
  </si>
  <si>
    <t>Valuation ranges from $270 to $420 across reasonable assumptions, highlighting significant sensitivity to WACC and terminal growth inputs.</t>
  </si>
  <si>
    <t>Even under optimistic assumptions (lower WACC and higher terminal growth), the valuation remains below the current market price, reinforcing the downside risk profile.</t>
  </si>
  <si>
    <t>The base case valuation of $340 implies a downside of approximately 24% relative to the current market price, indicating a limited margin of safety.</t>
  </si>
  <si>
    <t>The analysis reinforces our SELL recommendation, as the stock appears overvalued with limited margin of safety and a downside-skewed risk-reward profile.</t>
  </si>
  <si>
    <t>In the bearish scenario, valuation declines due to slower transaction volume growth, margin compression, and higher discount rates.</t>
  </si>
  <si>
    <t>1)Valuation remains below the current market price across all modeled scenarios, indicating a lack of margin of safety and a consistently unfavorable risk-reward profile.</t>
  </si>
  <si>
    <t>HOLD (No margin of safety)</t>
  </si>
  <si>
    <t>Even in the bull case, valuation does not justify a BUY recommendation.</t>
  </si>
  <si>
    <t>The probability-weighted valuation further reinforces that the current market price embeds overly optimistic assumptions relative to achievable fundamentals.</t>
  </si>
  <si>
    <t>Probability-weighted valuation suggests a fair value of approximately $291 per share, materially below the current market price, implying a materially unfavorable risk-reward profile, with downside risks outweighing potential upside.</t>
  </si>
  <si>
    <t>Risk-Free Rate = 4.2%</t>
  </si>
  <si>
    <t>Source: US 10Y Treasury Yield (Bloomberg / FRED)</t>
  </si>
  <si>
    <t>Date: [Latest available date]</t>
  </si>
  <si>
    <t>Source: Damodaran implied ERP (2025) / Historical US equity returns</t>
  </si>
  <si>
    <t>Rationale: Long-term US equity premium average</t>
  </si>
  <si>
    <t>Source: Regression vs S&amp;P 500 (5-year monthly)</t>
  </si>
  <si>
    <t>Mastercard is slightly more volatile than the market due to</t>
  </si>
  <si>
    <t>exposure to global payment volumes and macro cycles</t>
  </si>
  <si>
    <t>Rf = 4.2%</t>
  </si>
  <si>
    <t>- Beta captures Mastercard’s sensitivity to global economic activity</t>
  </si>
  <si>
    <t>Risk-free rate reflects current US macro environment</t>
  </si>
  <si>
    <t>MRP based on long-term equity premium expectations</t>
  </si>
  <si>
    <t>Beta = 1.04</t>
  </si>
  <si>
    <t>Market Return = 10%</t>
  </si>
  <si>
    <t>Source: Historical S&amp;P 500 long-term returns</t>
  </si>
  <si>
    <t>→ Implies MRP ≈ 5.8% (aligned with Damodaran range)</t>
  </si>
  <si>
    <t>Market Risk Premium = 5.8%</t>
  </si>
  <si>
    <t>MRP = 5.8%</t>
  </si>
  <si>
    <t>Cost of Equity = 10.21%</t>
  </si>
  <si>
    <t>Cost of Debt derived from Interest Expense / Total Debt</t>
  </si>
  <si>
    <t>→ Reflects Mastercard’s strong credit rating and low borrowing cost</t>
  </si>
  <si>
    <t>Capital structure based on market value weights (not book value)</t>
  </si>
  <si>
    <t>→ Reflects investor perspective and real valuation approach</t>
  </si>
  <si>
    <t>but valuation remains sensitive to discount rate assumptions.</t>
  </si>
  <si>
    <t>→ Reflects moderate systematic risk with strong and stable cash flow generation</t>
  </si>
  <si>
    <t>Valuation is highly sensitive to WACC, as a large portion of</t>
  </si>
  <si>
    <t>DCF value is driven by terminal value discounted at WACC</t>
  </si>
  <si>
    <t>Low WACC is primarily driven by high operating margins and</t>
  </si>
  <si>
    <t>predictable cash flows rather than financial leverage</t>
  </si>
  <si>
    <t>Given Mastercard’s asset-light model, equity investors bear most of the risk,</t>
  </si>
  <si>
    <t>which explains the high equity weight in WACC</t>
  </si>
  <si>
    <t>EV/Sales</t>
  </si>
  <si>
    <t>✅ Bull Case:</t>
  </si>
  <si>
    <t>Strong growth in global digital payments</t>
  </si>
  <si>
    <t>High operating leverage improves margins</t>
  </si>
  <si>
    <t>Consistent cash flow generation</t>
  </si>
  <si>
    <t>⚠️ Bear Case:</t>
  </si>
  <si>
    <t>Increasing competition from fintech companies</t>
  </si>
  <si>
    <t>Regulatory pressures impacting fees</t>
  </si>
  <si>
    <t>Economic slowdown affecting transaction volume</t>
  </si>
  <si>
    <t>🎯 Final Recommendation:</t>
  </si>
  <si>
    <t>“Based on intrinsic valuation, the stock appears ~20% overvalued. Despite strong fundamentals, current market price reflects optimistic growth assumptions.”</t>
  </si>
  <si>
    <t>Effect</t>
  </si>
  <si>
    <t>Regulatory Risk</t>
  </si>
  <si>
    <t>Margin pressure</t>
  </si>
  <si>
    <t>Competition (Visa, Stripe)</t>
  </si>
  <si>
    <t>Revenue slowdown</t>
  </si>
  <si>
    <t>Cybersecurity Risk</t>
  </si>
  <si>
    <t>Reputation loss</t>
  </si>
  <si>
    <t>Economic Slowdown</t>
  </si>
  <si>
    <t>Lower transaction volume</t>
  </si>
  <si>
    <t>“The valuation is most sensitive to changes in WACC and terminal growth rate. A 1% increase in WACC reduces valuation significantly, indicating high dependency on cost of capital assumptions.</t>
  </si>
  <si>
    <t>Valuation</t>
  </si>
  <si>
    <t>Bull Case</t>
  </si>
  <si>
    <t>Expanding</t>
  </si>
  <si>
    <t>Base Case</t>
  </si>
  <si>
    <t>Normal</t>
  </si>
  <si>
    <t>Moderate</t>
  </si>
  <si>
    <t>Bear Case</t>
  </si>
  <si>
    <t>Declining</t>
  </si>
  <si>
    <t>In the bull case, strong digital adoption drives revenue growth and margin expansion. In the bear case, competition and regulatory pressure reduce profitability.</t>
  </si>
  <si>
    <t>Payment Volume Growth (%)</t>
  </si>
  <si>
    <t>Pricing Growth (%)</t>
  </si>
  <si>
    <t>Total Revenue Growth (%)</t>
  </si>
  <si>
    <t>Cost Driver</t>
  </si>
  <si>
    <t>Operating Expenses (% of Revenue)</t>
  </si>
  <si>
    <t>The declining cost structure highlights operating leverage, where revenue growth outpaces cost growth, improving profitability over time</t>
  </si>
  <si>
    <t>Pricing growth is assumed to remain stable due to competitive pressures from Visa and emerging fintech players, which limit pricing expansion despite strong market positioning.</t>
  </si>
  <si>
    <t>Margin Type</t>
  </si>
  <si>
    <t>Expanding from 55% → 57%</t>
  </si>
  <si>
    <t>Operating leverage</t>
  </si>
  <si>
    <t>Mature business</t>
  </si>
  <si>
    <t>Margin expansion driven by scale in digital payments and cost efficiency</t>
  </si>
  <si>
    <t>Factor</t>
  </si>
  <si>
    <t>↑ Revenue</t>
  </si>
  <si>
    <t>Fintech Competition</t>
  </si>
  <si>
    <t>↓ Margins</t>
  </si>
  <si>
    <t>↑ Costs</t>
  </si>
  <si>
    <t>Industry Linkage Section</t>
  </si>
  <si>
    <t>This model is highly sensitive to WACC and revenue growth assumptions, making accurate forecasting critical for valuation.</t>
  </si>
  <si>
    <t>Re-entry recommended at $350–$370 range (or fair value band)</t>
  </si>
  <si>
    <t>🟢 Current Price</t>
  </si>
  <si>
    <t>🔴 Intrinsic Value</t>
  </si>
  <si>
    <t>⚠️ Downside</t>
  </si>
  <si>
    <t>Strong, consistent growth justifies a valuation premium; however, current pricing fully reflects these fundamentals</t>
  </si>
  <si>
    <t>Short-term (0–6 months): Earnings, macro trends</t>
  </si>
  <si>
    <t>Medium-term (6–18 months): Cross-border recovery</t>
  </si>
  <si>
    <t>Long-term: Digital payment expansion</t>
  </si>
  <si>
    <t>At current levels, the stock offers limited margin of safety given valuation premiums</t>
  </si>
  <si>
    <t>High-quality compounder trading at a premium — downside risk from valuation compression outweighs growth tailwinds</t>
  </si>
  <si>
    <t>Limited upside (~12%) with potential downside driven by multiple compression</t>
  </si>
  <si>
    <t>Based on DCF with WACC 9.52% and terminal growth 3%</t>
  </si>
  <si>
    <t>Over the next 12–18 months, normalization in growth expectations may lead to multiple compression</t>
  </si>
  <si>
    <t>We reiterate a SELL rating as Mastercard trades at a premium valuation with limited margin of safety, and downside risk from multiple compression outweighs near-term growth catalysts</t>
  </si>
  <si>
    <t>~25x</t>
  </si>
  <si>
    <t>Similar premium</t>
  </si>
  <si>
    <t>~28x</t>
  </si>
  <si>
    <t>Highest premium</t>
  </si>
  <si>
    <t>~18–20x</t>
  </si>
  <si>
    <t>Lower growth</t>
  </si>
  <si>
    <t>~15–18x</t>
  </si>
  <si>
    <t>Different model</t>
  </si>
  <si>
    <t>Cross-border volume growth</t>
  </si>
  <si>
    <t>Payment volume trends</t>
  </si>
  <si>
    <t>Regulatory announcements</t>
  </si>
  <si>
    <t>Margin trends</t>
  </si>
  <si>
    <t>Monitoring Indicators</t>
  </si>
  <si>
    <t>Valuation is most sensitive to WACC and terminal growth assumptions, with discount rate changes having the largest impact on intrinsic value</t>
  </si>
  <si>
    <t>The probability-weighted valuation of ~$291 implies ~35% downside from current levels.</t>
  </si>
  <si>
    <t>A 100 bps increase in WACC reduces valuation by approximately 10–15%, highlighting the model’s sensitivity to cost of capital assumptions.</t>
  </si>
  <si>
    <t>Given Mastercard’s premium valuation, even small increases in discount rates can significantly compress intrinsic value</t>
  </si>
  <si>
    <t>Rising interest rates could increase WACC, posing downside risk to valuation</t>
  </si>
  <si>
    <t>A slowdown in cross-border transactions or payment volumes could materially impact revenue growth and margins</t>
  </si>
  <si>
    <t>Emerging markets and real-time payment systems (e.g., UPI-like models) could influence long-term growth dynamics.</t>
  </si>
  <si>
    <t>The industry is dominated by global networks such as Visa and Mastercard, alongside emerging fintech players and real-time payment systems</t>
  </si>
  <si>
    <t>In developed markets like the UK and Europe, regulatory scrutiny and open banking initiatives may reshape competitive dynamics.</t>
  </si>
  <si>
    <t>Mastercard demonstrates industry-leading profitability and capital efficiency, but valuation multiples remain elevated relative to growth, limiting upside potential.</t>
  </si>
  <si>
    <t>While margins and returns remain strong, growth rates are gradually normalizing, suggesting a transition from high-growth to steady compounding phase.</t>
  </si>
  <si>
    <t>The stock remains attractive for long-term investors, but near-term returns may be constrained due to valuation re-rating risk</t>
  </si>
  <si>
    <t>Fundamentally strong business… but valuation stretched relative to intrinsic value</t>
  </si>
  <si>
    <t>DDM using dividends only is not reliable due to buyback-heavy capital return; adjusted DDM aligns closer to intrinsic value.</t>
  </si>
  <si>
    <t>✔ Margin of safety</t>
  </si>
  <si>
    <t>✔ Conservative bias</t>
  </si>
  <si>
    <t>✔ Macro risk adjustment</t>
  </si>
  <si>
    <t>Valuation is most sensitive to WACC and terminal growth assumptions</t>
  </si>
  <si>
    <t>Higher interest rates → increase WACC → reduce valuation</t>
  </si>
  <si>
    <t>~75–80% of valuation is driven by terminal value, highlighting dependence on long-term growth and discount rate assumptions</t>
  </si>
  <si>
    <t>Industry Cash Flow Statement - USD ($) $ in Millions</t>
  </si>
  <si>
    <t>Industry Consolidated Balance Sheet - USD ($) $ in Millions</t>
  </si>
  <si>
    <t>Industry Consolidated Income Statement - USD ($) $ in Millions</t>
  </si>
  <si>
    <t>Applied 5% valuation discount for execution &amp; macro risks</t>
  </si>
  <si>
    <t>-2% vs base</t>
  </si>
  <si>
    <t>-2%</t>
  </si>
  <si>
    <t>Current</t>
  </si>
  <si>
    <t>3.5–4%</t>
  </si>
  <si>
    <t>+2% vs base</t>
  </si>
  <si>
    <t>+2%</t>
  </si>
  <si>
    <t>$500</t>
  </si>
  <si>
    <t>$568</t>
  </si>
  <si>
    <t>$680+</t>
  </si>
  <si>
    <t>Terminal growth rate of 3% is assumed in line with long-term global GDP growth and inflation expectations.</t>
  </si>
  <si>
    <t>Mastercard operates a mature, asset-light business model with strong network effects, enabling stable and predictable long-term cash flows.</t>
  </si>
  <si>
    <t>As a global payments leader, growth is expected to normalize in line with nominal economic growth rather than high-growth expansion</t>
  </si>
  <si>
    <t>Terminal value contributes ~75% of total enterprise value, making valuation highly sensitive to WACC and long-term growth assumptions</t>
  </si>
  <si>
    <t>DCF valuation is used as primary method due to long-duration cash flows, with relative valuation used as a secondary cross-check</t>
  </si>
  <si>
    <t>Revenue growth is driven by transaction volume expansion and stable take rate (~0.39%), reflecting pricing power and network scale</t>
  </si>
  <si>
    <t>• Competition from fintech and real-time payment systems</t>
  </si>
  <si>
    <t>• Higher interest rates increasing discount rate</t>
  </si>
  <si>
    <t>• Strong global payment network with high-margin, asset-light model</t>
  </si>
  <si>
    <t>• Growth driven by cross-border transactions and digital payment adoption</t>
  </si>
  <si>
    <t>• Valuation sensitive to interest rates and macro conditions</t>
  </si>
  <si>
    <t xml:space="preserve">Investment Thesis </t>
  </si>
  <si>
    <t>Key Value Drivers</t>
  </si>
  <si>
    <t>• Payment volume growth (~10–12%)</t>
  </si>
  <si>
    <t>• Stable take rate (~0.39%)</t>
  </si>
  <si>
    <t>• Operating margin expansion (55% → 57%)</t>
  </si>
  <si>
    <t>• WACC sensitivity (±1% impacts valuation by ~10–15%)</t>
  </si>
  <si>
    <t>Mastercard is a high-quality compounder, but current valuation depends heavily on long-term assumptions, limiting margin of safety.</t>
  </si>
  <si>
    <t>Model Flow (1-Line Logic)</t>
  </si>
  <si>
    <t>Revenue → EBITDA → FCFF → Terminal Value → Enterprise Value → Equity Value → Target Price</t>
  </si>
  <si>
    <t>DCF is used as the primary valuation method due to Mastercard’s predictable cash flows, high margins, and long-duration growth profile. Relative valuation is used as a secondary cross-check</t>
  </si>
  <si>
    <t>Key Assumption Sensitivities</t>
  </si>
  <si>
    <t>• Terminal growth (±0.5%) significantly impacts valuation</t>
  </si>
  <si>
    <t>• WACC changes (±1%) affect valuation by ~10–15%</t>
  </si>
  <si>
    <t>• Revenue growth deviations impact long-term cash flows</t>
  </si>
  <si>
    <t>While fundamentals remain strong, valuation is driven largely by long-term assumptions, requiring careful consideration of margin of safety.</t>
  </si>
  <si>
    <t>Conclusion: Mastercard demonstrates strong and growing free cash flow driven by high margins, negative working capital dynamics, and a capital-light business model, supporting its positioning as a high-quality cash compounding franchise</t>
  </si>
  <si>
    <t>Fluctuations in working capital are driven by settlement balances and timing differences in customer transactions</t>
  </si>
  <si>
    <t>Debt remains stable due to strong internal cash generation</t>
  </si>
  <si>
    <t>The balance sheet reflects a capital-light business model with strong cash generation, increasing retained earnings, and consistent shareholder returns through buybacks. Negative working capital dynamics enhance liquidity, while stable debt levels indicate limited reliance on external financing.</t>
  </si>
  <si>
    <t>Revenue growth is driven by increasing payment volumes and pricing power, while margin expansion reflects operating leverage in a scalable payment network. Share buybacks enhance EPS growth, reinforcing Mastercard’s strong earnings compounding profile.</t>
  </si>
  <si>
    <t>Model assumes stable competitive positioning and continued global shift toward digital payments</t>
  </si>
  <si>
    <t>Interest expense increases in line with projected debt levels and higher interest rates</t>
  </si>
  <si>
    <t>Mastercard benefits from strong network effects and an asset-light model, enabling high margins and predictable long-term cash flows</t>
  </si>
  <si>
    <t>Minimum Cash</t>
  </si>
  <si>
    <t>Cash Available Before Financing</t>
  </si>
  <si>
    <t>Opening Debt</t>
  </si>
  <si>
    <t>+ New Debt</t>
  </si>
  <si>
    <t>Closing Debt</t>
  </si>
  <si>
    <t>Average Debt</t>
  </si>
  <si>
    <t xml:space="preserve">Restricted Cash </t>
  </si>
  <si>
    <t>Buybacks</t>
  </si>
  <si>
    <t>Excess Cash</t>
  </si>
  <si>
    <t>Rating: HOLD with 25% Upside (Valuation Sensitive)</t>
  </si>
  <si>
    <t>Investment Summary</t>
  </si>
  <si>
    <t>Current Price: $450</t>
  </si>
  <si>
    <t>Upside: +25%</t>
  </si>
  <si>
    <t>Recommendation: HOLD</t>
  </si>
  <si>
    <t>Key Driver: Cross-border + digital payments</t>
  </si>
  <si>
    <t>Key Risk: Valuation sensitivity to WACC</t>
  </si>
  <si>
    <t>Mastercard is a high-quality, asset-light compounder with strong pricing power, but current valuation reflects long-term optimism, limiting margin of safety</t>
  </si>
  <si>
    <t>Relative valuation (P/E ~32x, EV/EBITDA ~26x) supports premium positioning but does not justify further multiple expansion, reinforcing HOLD stance</t>
  </si>
  <si>
    <t>Higher interest rates may increase discount rates, reducing valuation multiples.</t>
  </si>
  <si>
    <t>Real-time payment systems (UPI, FedNow) could gradually disrupt traditional card networks.</t>
  </si>
  <si>
    <t>A ~10% conservative discount applied to intrinsic value to account for execution risk and macro uncertainty</t>
  </si>
  <si>
    <t>Why DCF is the Primary Method</t>
  </si>
  <si>
    <t>Scenario analysis reflects valuation sensitivity to macro conditions, interest rates, and growth assumptions</t>
  </si>
  <si>
    <t>Key Investment Insights</t>
  </si>
  <si>
    <t>This model values Mastercard using a DCF approach supported by relative valuation, incorporating revenue drivers (payment volume &amp; take rate), margin expansion, and macro sensitivities.</t>
  </si>
  <si>
    <t>Interest Expense*Cost of Debt Assumption</t>
  </si>
  <si>
    <t>WACC of 9.48% reflects a high-quality, low-leverage business,</t>
  </si>
  <si>
    <t>Terminal g</t>
  </si>
  <si>
    <t>$XXX</t>
  </si>
  <si>
    <t>$373</t>
  </si>
  <si>
    <t>Scenario analysis reflects sensitivity to key drivers including revenue growth, margins, discount rate, and terminal assumptions</t>
  </si>
  <si>
    <t>Cross-border Mix</t>
  </si>
  <si>
    <t>1–2%</t>
  </si>
  <si>
    <t>Total Revenue Growth</t>
  </si>
  <si>
    <t>Revenue Growth = Payment Volume Growth + Pricing (Take Rate) + Cross-border Mix</t>
  </si>
  <si>
    <t>Driven by transaction volume, pricing power, and cross-border mix</t>
  </si>
  <si>
    <t>As Mastercard is a mature, large-cap company, growth is expected to normalize over time.</t>
  </si>
  <si>
    <t>This assumption reflects a stable, predictable cash flow profile without exceeding economic growth limits.</t>
  </si>
  <si>
    <t>Terminal value represents ~70–75% of total enterprise value, making valuation highly sensitive to long-term growth assumptions</t>
  </si>
  <si>
    <t>A ±0.5% change in terminal growth or WACC can impact valuation by ~10–15%, highlighting the importance of conservative assumptions</t>
  </si>
  <si>
    <t>$310 (example)</t>
  </si>
  <si>
    <t>$430 (example)</t>
  </si>
  <si>
    <t>Valuation ranges from ~$310 to ~$430, implying asymmetric risk with limited upside and meaningful downside at current levels</t>
  </si>
  <si>
    <t>Relative valuation (EV/EBITDA, P/E) supports DCF conclusions, indicating premium valuation with limited upside.</t>
  </si>
  <si>
    <t>A margin of safety is limited at current levels, as valuation already reflects optimistic growth expectations.</t>
  </si>
  <si>
    <t>Model outputs are internally consistent and economically grounded</t>
  </si>
  <si>
    <t>Relative valuation (EV/EBITDA, P/E) also indicates a premium valuation, supporting the DCF conclusion.</t>
  </si>
  <si>
    <t>Mastercard demonstrates strong fundamentals, durable competitive advantages, and long-term growth potential within the global digital payments industry. However, the current market price exceeds intrinsic value estimates, resulting in limited upside and unfavorable risk-reward in the near term. Therefore, we recommend a SELL rating, implying ~11–12% downside from current levels.</t>
  </si>
  <si>
    <t>Downside is primarily driven by potential multiple compression as growth normalizes and valuation converges toward industry averages</t>
  </si>
  <si>
    <t>Premium valuation (~28x EV/EBITDA) suggests limited upside, with ~11% downside despite strong fundamentals</t>
  </si>
  <si>
    <t>The model explains approximately 40–50% of revenue variation using GDP growth, indicating moderate macro sensitivity</t>
  </si>
  <si>
    <t>Frequency of observations: Annual Data (2020–2029)</t>
  </si>
  <si>
    <t>Historical data period: 2020–2029 (09-year annual dataset)</t>
  </si>
  <si>
    <t>The regression analysis evaluates the sensitivity of Mastercard’s revenue to macroeconomic growth. The positive GDP coefficient indicates that revenue increases during periods of economic expansion. The model explains approximately 40–50% of revenue variation, suggesting moderate macroeconomic sensitivity.However, industry revenue explains nearly all variation in company revenue (R² ≈ 0.99), indicating that Mastercard’s performance is primarily driven by industry transaction volumes rather than macro factors alone.This is consistent with the payments industry, where revenue growth is closely linked to consumer spending, transaction volumes, and digital payment adoption</t>
  </si>
  <si>
    <t>25496.55 × (1.03) / (9.48% – 3%</t>
  </si>
  <si>
    <t>Equity Research Dashboard – Mastercard Inc</t>
  </si>
  <si>
    <t>Confidence Level: Medium–High (based on stable cash flow visibility and sensitivity-tested assumptions)</t>
  </si>
  <si>
    <t>Comparable Company Analysis (Comps)</t>
  </si>
  <si>
    <t>Regulatory scrutiny on interchange fees could compress margins over time</t>
  </si>
  <si>
    <t>Mastercard’s P/E (~39x) vs industry (~24x) implies ~68% premium</t>
  </si>
  <si>
    <t>Mastercard’s credit profile supports low cost of capital, reinforcing its premium valuation, though current pricing already reflects this strength.</t>
  </si>
  <si>
    <t>Assumes excess free cash flow is used to repay debt before buybacks</t>
  </si>
  <si>
    <t>– Payment of Debt</t>
  </si>
  <si>
    <t>Free Cash Flow of Firm</t>
  </si>
  <si>
    <t>FCF Conversion</t>
  </si>
  <si>
    <t>Old ROIC</t>
  </si>
  <si>
    <t>✅ Fixed ROIC</t>
  </si>
  <si>
    <t>ROIC Normalization</t>
  </si>
  <si>
    <t>Spread</t>
  </si>
  <si>
    <t>ROIC normalizes to ~70% in the long term, reflecting sustained competitive advantages while incorporating realistic assumptions on competition and market maturity</t>
  </si>
  <si>
    <t>The significant ROIC–WACC spread indicates strong value creation and justifies Mastercard’s premium valuation multiples.</t>
  </si>
  <si>
    <t>ROIC = NOPAT / Invested Capital</t>
  </si>
  <si>
    <t xml:space="preserve">Invested Capital = </t>
  </si>
  <si>
    <t>Total Debt + Equity - Cash</t>
  </si>
  <si>
    <t>Invested Capital = Operating Assets – Operating Liabilities</t>
  </si>
  <si>
    <t>(Proxy: Debt + Equity – Excess Cash)</t>
  </si>
  <si>
    <t>Terminal Value contributes ~75% of EV → valuation highly sensitive to WACC &amp; growth</t>
  </si>
  <si>
    <t>Discount Factor (WACC)</t>
  </si>
  <si>
    <t>“HOLD – Limited margin of safety despite strong fundamentals”. While Mastercard remains a high-quality, asset-light compounder with strong pricing power and secular growth tailwinds, current valuation reflects long-term optimism, limiting margin of safety. Valuation remains highly sensitive to WACC and terminal growth assumptions.</t>
  </si>
  <si>
    <t>Alpha = INTERCEPT(stock returns, market returns)</t>
  </si>
  <si>
    <t>R² = RSQ(stock returns, market returns)</t>
  </si>
  <si>
    <t>Annual Return = (1 + avg daily return)^252 - 1</t>
  </si>
  <si>
    <t>The estimated beta of ~1.04 suggests Mastercard exhibits slightly higher volatility than the market. This reflects its sensitivity to consumer spending and global transaction volumes. While the business benefits from secular digital payment growth, its earnings remain somewhat cyclical, leading to moderate systematic risk exposure.</t>
  </si>
  <si>
    <t>A 1% increase in GDP growth leads to approximately $2.93B increase in revenue 
(assuming revenue is measured in USD millions).</t>
  </si>
  <si>
    <t xml:space="preserve">While the GDP coefficient is positive, the statistical significance is moderate due to small sample size. </t>
  </si>
  <si>
    <t>At a 5% significance level, results should be interpreted cautiously.</t>
  </si>
  <si>
    <t xml:space="preserve">The extremely high R² may reflect structural linkage between industry and company revenue, </t>
  </si>
  <si>
    <t>rather than independent predictive power.</t>
  </si>
  <si>
    <t xml:space="preserve">The regression is based on a small sample size (9–10 observations), which may reduce statistical reliability </t>
  </si>
  <si>
    <t>and increase sensitivity to outliers.</t>
  </si>
  <si>
    <t>The regression analysis indicates that Mastercard’s revenue has moderate sensitivity to macroeconomic growth, with GDP explaining approximately 40–50% of variation. However, industry revenue explains nearly all variation (R² ≈ 0.99), suggesting that Mastercard’s performance is primarily driven by payment volumes and industry dynamics rather than macro factors alone.</t>
  </si>
  <si>
    <t>A 1% increase in GDP growth corresponds to approximately $2.93B increase in revenue (assuming USD millions). However, results should be interpreted cautiously due to small sample size and potential statistical limitations.</t>
  </si>
  <si>
    <t>The high explanatory power of industry revenue reflects structural linkage rather than independent predictive causality, highlighting Mastercard’s dependence on transaction volumes within the payments ecosystem.</t>
  </si>
  <si>
    <t>Terminal value contributes ~75–80% of total enterprise value, indicating that valuation is highly dependent on long-term assumptions such as WACC and perpetual growth. This increases model sensitivity and reduces short-term forecast reliability.</t>
  </si>
  <si>
    <t>Mastercard’s capital-light model allows high free cash flow conversion, with low reinvestment requirements supporting sustained high ROIC.</t>
  </si>
  <si>
    <t>The premium valuation reflects strong pricing power, high margins, and durable network effects, but current market pricing assumes continued high growth and multiple expansion.</t>
  </si>
  <si>
    <t>A 1% increase in WACC reduces valuation by ~10–15%, highlighting high sensitivity typical of long-duration cash flow businesses.</t>
  </si>
  <si>
    <t>Mastercard is a high-quality, asset-light compounder with strong pricing power, high margins, and durable network effects. Revenue growth is driven by transaction volumes, cross-border payments, and digital adoption trends.</t>
  </si>
  <si>
    <t>DCF valuation suggests a fair value of ~$382, implying ~15% downside from current levels. While fundamentals remain strong, current valuation reflects long-term optimism, limiting margin of safety.</t>
  </si>
  <si>
    <t>Given the high dependence on terminal value (~75–80%) and sensitivity to WACC and growth assumptions, valuation risk remains elevated.</t>
  </si>
  <si>
    <t>Recommendation: HOLD, with a preference to accumulate on pullbacks.</t>
  </si>
  <si>
    <t>“Applying ~10–15% margin of safety due to macro uncertainty”</t>
  </si>
  <si>
    <t>Stable outlook supported by predictable transaction volumes and strong free cash flow visibility</t>
  </si>
  <si>
    <t>Mastercard is a high-quality, asset-light compounder with strong margins, robust free cash flow generation, and a dominant global payments network. The company maintains a strong credit profile with an AA rating and stable outlook, supported by high interest coverage and predictable cash flows.</t>
  </si>
  <si>
    <t>However, despite strong fundamentals, valuation appears stretched. The stock trades at a premium to both intrinsic value and industry multiples, with DCF analysis indicating approximately 15% downside from current levels. Additionally, valuation remains highly sensitive to WACC and long-term growth assumptions, increasing downside risk in a higher interest rate environment.</t>
  </si>
  <si>
    <t>Overall, while Mastercard remains a fundamentally strong business with durable competitive advantages, the current market price reflects long-term optimism. As a result, the risk-reward profile is unfavorable at current levels, supporting a HOLD/SELL recommendation with a preference to accumulate on pullbacks near the $300–$320 range.</t>
  </si>
  <si>
    <t>Valuation multiple compression indicates transition from high-growth premium to mature compounder phase.</t>
  </si>
  <si>
    <t>1. Business &amp; Industry Analysis</t>
  </si>
  <si>
    <t>→ Assess industry structure, growth drivers, competitive landscape, and market positioning</t>
  </si>
  <si>
    <t>2. Historical Financial Analysis</t>
  </si>
  <si>
    <t>3. Financial Ratio &amp; Peer Benchmarking</t>
  </si>
  <si>
    <t>→ Evaluate profitability, efficiency, leverage, and compare against industry peers</t>
  </si>
  <si>
    <t>4. Forecast Assumptions &amp; Key Drivers</t>
  </si>
  <si>
    <t>→ Identify revenue drivers, margins, capital intensity, and macroeconomic factors</t>
  </si>
  <si>
    <t>5. Risk Assessment &amp; Beta Estimation</t>
  </si>
  <si>
    <t>→ Measure systematic risk using regression analysis and market sensitivity</t>
  </si>
  <si>
    <t>6. Cost of Capital (WACC) Estimation</t>
  </si>
  <si>
    <t>→ Calculate required return using CAPM and capital structure assumptions</t>
  </si>
  <si>
    <t>→ Build integrated 3-statement model projecting revenue, margins, and cash flows</t>
  </si>
  <si>
    <t>8. Valuation Methodologies</t>
  </si>
  <si>
    <t>→ Discounted Cash Flow (DCF – FCFF/FCFE)</t>
  </si>
  <si>
    <t>→ Relative Valuation (Comps &amp; Multiples)</t>
  </si>
  <si>
    <t>→ Evaluate Base, Bull, and Bear case outcomes</t>
  </si>
  <si>
    <t>→ Assess impact of key variables (WACC, growth, margins) on valuation</t>
  </si>
  <si>
    <t>→ Formulate BUY / HOLD / SELL based on risk-reward profile</t>
  </si>
  <si>
    <t>→ Present key insights, valuation summary, and investment thesis</t>
  </si>
  <si>
    <t>Integrated Financial Modeling &amp; Valuation Framework</t>
  </si>
  <si>
    <t>→ Derive intrinsic value and valuation range across methodologies</t>
  </si>
  <si>
    <t>This framework integrates both top-down (industry analysis) and bottom-up (financial modeling) approaches to derive a comprehensive and data-driven investment view. It ensures robust valuation through multiple methodologies, supported by scenario and sensitivity analysis to capture risk and uncertainty.</t>
  </si>
  <si>
    <t>→ Evaluate historical financial statements (Income Statement, Balance Sheet, Cash Flow) to assess performance trends and financial stability</t>
  </si>
  <si>
    <t>Global Digital Payments Industry</t>
  </si>
  <si>
    <t>• Strong growth in e-commerce and mobile payments</t>
  </si>
  <si>
    <t>• Expansion of cross-border transaction volumes</t>
  </si>
  <si>
    <t>• Growth of digital commerce ecosystems</t>
  </si>
  <si>
    <t>• Penetration into underbanked and emerging economies</t>
  </si>
  <si>
    <t>• Intensifying competition from fintech players</t>
  </si>
  <si>
    <t>• Rising cybersecurity and fraud risks</t>
  </si>
  <si>
    <t>• Regulatory Risk: Potential caps on interchange fees may pressure margins</t>
  </si>
  <si>
    <t>• Competitive Risk: Fintech players (e.g., PayPal, Stripe, Apple Pay) increasing pricing pressure</t>
  </si>
  <si>
    <t>• Macro Risk: Economic slowdown may reduce transaction volumes</t>
  </si>
  <si>
    <t>• Cybersecurity Risk: Data breaches and fraud risks remain key concerns</t>
  </si>
  <si>
    <t>Mastercard benefits from strong network effects, global acceptance infrastructure, and high switching costs, creating a durable competitive moat.</t>
  </si>
  <si>
    <t>Established payment networks maintain advantages through scale, regulatory compliance, and trust, which act as significant barriers to entry.</t>
  </si>
  <si>
    <t>While industry growth remains robust, increasing regulatory scrutiny and fintech-driven pricing pressure may limit margin expansion, particularly in developed markets such as the UK and Europe.</t>
  </si>
  <si>
    <t>Monetization through data analytics and value-added services</t>
  </si>
  <si>
    <t>Statistic: The global digital payments market is expected to grow at ~10–12% CAGR over the next decade, supported by continued e-commerce expansion and digital wallet adoption.</t>
  </si>
  <si>
    <t>Investment View: The digital payments industry offers strong structural growth driven by digitalization, but increasing competition and regulatory pressure may moderate long-term margin expansion.</t>
  </si>
  <si>
    <t>The ongoing shift toward digital payments reinforces Mastercard’s long-term growth outlook, supported by transaction volume expansion, cross-border recovery, and scaling of value-added services.</t>
  </si>
  <si>
    <t>Overall, the industry provides a favorable long-term growth backdrop for Mastercard; however, rising fintech disruption and regulatory intervention remain key factors influencing future profitability.</t>
  </si>
  <si>
    <t>Revenue Growth = Transaction Volume Growth + Transaction Value Growth + Net Pricing / Take Rate Impact</t>
  </si>
  <si>
    <t>WACC is derived using a blended cost of capital approach, incorporating cost of equity (CAPM-based) and after-tax cost of debt, weighted by target capital structure.</t>
  </si>
  <si>
    <t>Mastercard Inc – Key Operating &amp; Financial Drivers</t>
  </si>
  <si>
    <t>Key Insight: Mastercard’s revenue model is highly volume-driven, with operating leverage enabling margin expansion, while pricing remains constrained by competitive and regulatory dynamics.</t>
  </si>
  <si>
    <t>Revenue growth is primarily driven by transaction volume expansion, supported by digital adoption and cross-border recovery, while pricing/take rates remain stable to slightly declining due to competitive intensity and regulatory pressure.</t>
  </si>
  <si>
    <t>Stable to Slightly Declining</t>
  </si>
  <si>
    <t>Operational &amp; Financial Drivers (Forecast Assumptions)</t>
  </si>
  <si>
    <t>The model follows a bottom-up, driver-based approach linking operational metrics (cards, transactions, ticket size) to revenue, ensuring transparency and scalability of assumptions.</t>
  </si>
  <si>
    <t>Mastercard’s growth is primarily volume-driven, with strong operating leverage supporting margin expansion, while pricing power remains constrained by competitive intensity and regulatory oversight.</t>
  </si>
  <si>
    <t>Valuation is most sensitive to WACC and revenue growth assumptions, given their direct impact on discount rates and cash flow projections.</t>
  </si>
  <si>
    <t>Key Takeaway: Valuation is highly sensitive to discount rate assumptions, with limited margin of safety at current market levels, resulting in a downside-skewed risk-reward profile.</t>
  </si>
  <si>
    <t>Overall, current market pricing appears to embed overly optimistic assumptions relative to achievable fundamentals, with limited justification for upside at prevailing levels.</t>
  </si>
  <si>
    <t>• Bull Case: Still below market price (Limited upside)</t>
  </si>
  <si>
    <t>• Base Case: Overvalued</t>
  </si>
  <si>
    <t>• Bear Case: Significantly overvalued</t>
  </si>
  <si>
    <t>Final Investment View: The stock appears materially overvalued relative to intrinsic value, with limited upside and significant downside risk, making it unattractive from a risk-reward perspective.</t>
  </si>
  <si>
    <t>Key Takeaway: Across bear, base, and bull scenarios,intrinsic value remains below the current market price in most cases, indicating an unfavorable risk-reward profile.</t>
  </si>
  <si>
    <t>2)Despite higher valuation in optimistic scenarios, intrinsic value remains below the current market price in most cases, indicating an unfavorable risk-reward profile.</t>
  </si>
  <si>
    <t>Mastercard trades at a premium to peers, reflecting superior margins and growth visibility; however, the premium appears stretched relative to realistic growth expectations.</t>
  </si>
  <si>
    <t>While Mastercard remains a high-quality compounder with strong structural tailwinds, the current valuation leaves limited margin of safety, making the stock unattractive from a risk-reward perspective</t>
  </si>
  <si>
    <t>Mastercard is a classic example of a great business that may not be a great investment at the current price.</t>
  </si>
  <si>
    <t>Risk Ranking</t>
  </si>
  <si>
    <t>Quantification</t>
  </si>
  <si>
    <t>While multiple risks exist, valuation risk dominates, as even small changes in discount rates or growth assumptions can materially impact intrinsic value.</t>
  </si>
  <si>
    <t>Investment Thesis:</t>
  </si>
  <si>
    <t>Final Valuation Summary:</t>
  </si>
  <si>
    <t>Investment rating is determined by comparing intrinsic value with the current market price.</t>
  </si>
  <si>
    <t>This model is prepared for educational and analytical purposes only and does not constitute investment advice. The analysis is based on publicly available information and forward-looking assumptions, which are subject to change and may not reflect actual future outcomes.</t>
  </si>
  <si>
    <t>Mastercard is a high-quality global payments network benefiting from long-term structural growth in digital transactions, strong operating margins, and scalable business economics. However, the stock currently trades at a premium valuation that largely reflects these growth expectations.</t>
  </si>
  <si>
    <t>Despite strong fundamentals, limited margin of safety and sensitivity to discount rate and growth assumptions create a downside-skewed risk-reward profile. As a result, the stock appears overvalued relative to intrinsic value, with potential for multiple compression if growth normalizes.</t>
  </si>
  <si>
    <t>This analysis demonstrates a structured, end-to-end equity research approach integrating financial modeling, valuation techniques, risk assessment, and investment decision-making.</t>
  </si>
  <si>
    <t>Reason: Overvaluation + limited upside</t>
  </si>
  <si>
    <t>FINAL CALL: SELL</t>
  </si>
  <si>
    <t>Assumptions → Financial Statements → Valuation → Output</t>
  </si>
  <si>
    <t>Final Investment View: Mastercard is a high-quality compounder, but the market is already pricing in near-perfect execution, leaving little room for upside.</t>
  </si>
  <si>
    <t>Mastercard is a structurally strong business benefiting from global digital payment growth. However, its current premium valuation (~28x EV/EBITDA) already reflects these tailwinds, leaving limited upside and exposing investors to downside risk from multiple compression</t>
  </si>
  <si>
    <t>While digital payments continue to grow, incremental growth rates are moderating, reducing justification for premium multiples.</t>
  </si>
  <si>
    <t>We recommend a SELL rating as current valuation leaves limited margin of safety, with downside risk from multiple compression outweighing near-term growth drivers</t>
  </si>
  <si>
    <t>A re-rating toward industry average (~24x EV/EBITDA) implies meaningful downside risk</t>
  </si>
  <si>
    <t>The market assigns a premium due to Mastercard’s high-margin, asset-light model and strong growth visibility; however, this premium appears priced for perfection relative to realistic growth expectations</t>
  </si>
  <si>
    <t>High-quality compounder trading at a premium valuation; downside risk from multiple compression outweighs near-term growth tailwinds.</t>
  </si>
  <si>
    <t>Conviction Level: Moderate to High</t>
  </si>
  <si>
    <t>A 1–2x contraction in EV/EBITDA multiple could drive ~10–15% downside.</t>
  </si>
  <si>
    <t>A slowdown in cross-border volumes below historical trends could act as a near-term trigger for earnings revisions.</t>
  </si>
  <si>
    <t>While Mastercard faces regulatory and competitive risks, the key downside driver remains valuation sensitivity. With the stock priced for perfection, even modest changes in growth or discount rate assumptions could trigger disproportionate downside</t>
  </si>
  <si>
    <t>In a downside scenario, simultaneous multiple compression and revenue slowdown could amplify valuation declines.</t>
  </si>
  <si>
    <t>Valuation appears stretched / priced for perfection</t>
  </si>
  <si>
    <t>Near-term (6–12 months), valuation re-rating risk remains elevated as growth expectations normalize.</t>
  </si>
  <si>
    <t>We see a better entry point at lower valuation levels, where risk-reward becomes more favorable</t>
  </si>
  <si>
    <t>We initiate coverage on Mastercard with a SELL rating, driven by stretched valuations and asymmetric downside risk despite strong structural growth tailwinds</t>
  </si>
  <si>
    <t>Implied Downside: ~13.4%</t>
  </si>
  <si>
    <t>Valuation Risk</t>
  </si>
  <si>
    <t>Geopolitical / Cross-border Risk (NEW)</t>
  </si>
  <si>
    <t>Competition / Fintech Risk</t>
  </si>
  <si>
    <t>Economic Risk</t>
  </si>
  <si>
    <t>AI / Fintech Disruption</t>
  </si>
  <si>
    <t>Geopolitical Risk</t>
  </si>
  <si>
    <t>“5% decline in cross-border volume → ~6–10% valuation downside”</t>
  </si>
  <si>
    <t>“1–2% FX headwind → Direct revenue compression</t>
  </si>
  <si>
    <t>Cross-border transactions (~25–30% of revenue) are high-margin drivers</t>
  </si>
  <si>
    <t>Geopolitical risk → Cross-border volume ↓ → High-margin revenue decline → Lower EBITDA</t>
  </si>
  <si>
    <t>FX volatility → Revenue translation impact (–1–2%)</t>
  </si>
  <si>
    <t>Geopolitical &amp; Cross-Border Risk</t>
  </si>
  <si>
    <t>Exposure to global trade restrictions &amp; sanctions</t>
  </si>
  <si>
    <t>Dependence on international travel &amp; cross-border transactions</t>
  </si>
  <si>
    <t>Currency volatility impacting reported revenues</t>
  </si>
  <si>
    <t>Regional instability affecting payment volumes</t>
  </si>
  <si>
    <t>AI/Fintech disruption → Lower revenue growth (–2–4%) + Margin compression (–2–3%)</t>
  </si>
  <si>
    <t>“Fintech disruption scenario → Revenue growth ↓ 3% → Valuation ↓ ~12–18%</t>
  </si>
  <si>
    <t>AI / Fintech Disruption Impact</t>
  </si>
  <si>
    <t>AI reduces fraud → benefits Mastercard but also lowers entry barriers</t>
  </si>
  <si>
    <t>Fintechs bypass traditional card rails → pressure on fee structure</t>
  </si>
  <si>
    <t>Increased tech investment → margin compression risk</t>
  </si>
  <si>
    <t>Mastercard’s network effect and global acceptance provide a strong competitive moat, partially offsetting fintech disruption risks</t>
  </si>
  <si>
    <t>Risk-free rate</t>
  </si>
  <si>
    <t>Equity risk premium</t>
  </si>
  <si>
    <t>Cost of debt</t>
  </si>
  <si>
    <t>Valuation Impact</t>
  </si>
  <si>
    <t>Higher</t>
  </si>
  <si>
    <t>-15–25%</t>
  </si>
  <si>
    <t>WACC +1%</t>
  </si>
  <si>
    <t>-10–15%</t>
  </si>
  <si>
    <t>Growth -2%</t>
  </si>
  <si>
    <t>-8–12%</t>
  </si>
  <si>
    <t>Margin -2%</t>
  </si>
  <si>
    <t>-6–10%</t>
  </si>
  <si>
    <t>Note</t>
  </si>
  <si>
    <t>X%</t>
  </si>
  <si>
    <t>Govt bond</t>
  </si>
  <si>
    <t>X</t>
  </si>
  <si>
    <t>Volatility</t>
  </si>
  <si>
    <t>Market premium</t>
  </si>
  <si>
    <t>After tax</t>
  </si>
  <si>
    <t>Valuation is most sensitive to WACC and revenue growth assumptions, with downside scenarios driven by margin compression and cross-border slowdown.</t>
  </si>
  <si>
    <t>Valuation Drivers &amp; Sensitivity Analysis</t>
  </si>
  <si>
    <t>Mastercard’s valuation remains highly sensitive to macro normalization, where a combination of slower cross-border growth and multiple compression could drive downside risk despite strong structural tailwinds in digital payments</t>
  </si>
  <si>
    <t>Target Price: $390</t>
  </si>
  <si>
    <t>Investment Horizon: 12–18 months</t>
  </si>
  <si>
    <t>A high-quality compounder trading at a valuation that fully reflects its growth outlook, leaving limited margin of safety</t>
  </si>
  <si>
    <t>We would revisit our stance upon a meaningful correction or stronger-than-expected earnings momentum improving the risk-reward profile</t>
  </si>
  <si>
    <t>We reiterate our SELL recommendation as Mastercard trades at a premium (~28x EV/EBITDA vs ~24x peers), and our DCF indicates ~17% downside, resulting in an unfavorable risk-reward despite strong underlying fundamentals</t>
  </si>
  <si>
    <t>This highlights that current market pricing embeds optimistic assumptions across growth, margins, and discount rates simultaneously</t>
  </si>
  <si>
    <t>This framework is scalable and can be applied across sectors and companies for consistent investment evaluation.</t>
  </si>
  <si>
    <t xml:space="preserve">Downside: -13.4%  </t>
  </si>
  <si>
    <t>Mastercard presents a strong long-term investment opportunity driven by:</t>
  </si>
  <si>
    <t>Global digital payments growth (shift from cash to cashless economy)</t>
  </si>
  <si>
    <t>High-margin asset-light business model</t>
  </si>
  <si>
    <t>Strong pricing power and network effects</t>
  </si>
  <si>
    <t>Expansion in emerging markets and fintech partnerships</t>
  </si>
  <si>
    <t>Based on DCF valuation, the intrinsic value of Mastercard is $390, compared to the current market price of $450, indicating a ~20% downside/upside.</t>
  </si>
  <si>
    <t>Revenue growth driven by transaction volume</t>
  </si>
  <si>
    <t>Operating margin expansion</t>
  </si>
  <si>
    <t>Cost of capital (WACC sensitivity)</t>
  </si>
  <si>
    <t>Terminal growth assumptions</t>
  </si>
  <si>
    <t>Cross-border transaction growth</t>
  </si>
  <si>
    <t>Key Volume Drivers</t>
  </si>
  <si>
    <t>Regulatory risks in global payment systems</t>
  </si>
  <si>
    <t>Competition from Visa, fintechs, and CBDCs</t>
  </si>
  <si>
    <t>Economic slowdown impacting transaction volumes</t>
  </si>
  <si>
    <t>Currency &amp; geopolitical risks</t>
  </si>
  <si>
    <t>Valuation Signal</t>
  </si>
  <si>
    <t>Intrinsic Value: $390</t>
  </si>
  <si>
    <t>Market Price: $450</t>
  </si>
  <si>
    <t>Mispricing: -13.4% 🔻</t>
  </si>
  <si>
    <t>Signal: OVERVALUED</t>
  </si>
  <si>
    <t>Action: SELL</t>
  </si>
  <si>
    <t>Market price exceeds intrinsic value due to elevated valuation multiples despite strong fundamentals</t>
  </si>
  <si>
    <t>Mastercard benefits from global shift to digital payments, but current valuation already prices in optimistic growth</t>
  </si>
  <si>
    <t>Volume Growth: 8–10%</t>
  </si>
  <si>
    <t>Pricing: ~2%</t>
  </si>
  <si>
    <t>Cross-border: 1–2%</t>
  </si>
  <si>
    <t xml:space="preserve">Revenue Drivers </t>
  </si>
  <si>
    <t>Total Growth: ~11%</t>
  </si>
  <si>
    <t>Key Assumptions (Clean)</t>
  </si>
  <si>
    <t>Terminal Growth: 3%</t>
  </si>
  <si>
    <t>EBITDA Margin: 55% → 57%</t>
  </si>
  <si>
    <t>WACC: 9.48%</t>
  </si>
  <si>
    <t>Investment View</t>
  </si>
  <si>
    <t>Target Price: $373</t>
  </si>
  <si>
    <t>Upside: Limited</t>
  </si>
  <si>
    <t>Risk: Downside &gt; Upside</t>
  </si>
  <si>
    <t>Mastercard benefits from digital payment growth, but current valuation limits upside.</t>
  </si>
  <si>
    <t>Valuation ranges from $310 (Bear) to $430 (Bull), implying asymmetric risk with limited upside and higher downside at current valuation.</t>
  </si>
  <si>
    <t>Revenue Growth Trend (2020-2029</t>
  </si>
  <si>
    <t>Current price = $390 → implies -13.4% downside</t>
  </si>
  <si>
    <t>All assumptions are based on historical trends, industry benchmarks, and reasonable forward-looking estimates aligned with global digital payments growth.</t>
  </si>
  <si>
    <t>Assumption Notes</t>
  </si>
  <si>
    <t>1. Revenue Growth Assumptions</t>
  </si>
  <si>
    <t>Base Case Growth Rate: 10% – 12%</t>
  </si>
  <si>
    <t>Explanation:</t>
  </si>
  <si>
    <t>Mastercard operates in the global digital payments industry, which is growing due to:</t>
  </si>
  <si>
    <t>Increasing shift from cash → digital payments</t>
  </si>
  <si>
    <t>E-commerce expansion</t>
  </si>
  <si>
    <t>Cross-border transactions recovery post-COVID</t>
  </si>
  <si>
    <t>Historical CAGR of Mastercard supports a double-digit growth range</t>
  </si>
  <si>
    <t>Growth is slightly moderated vs past to reflect market maturity</t>
  </si>
  <si>
    <t>Bull Case: 14% – 16%</t>
  </si>
  <si>
    <t>Faster adoption of digital payments</t>
  </si>
  <si>
    <t>Expansion in emerging markets (India, Africa)</t>
  </si>
  <si>
    <t>Bear Case: 7% – 9%</t>
  </si>
  <si>
    <t>2. Operating Margin Assumptions</t>
  </si>
  <si>
    <t>Base Case Margin: ~55% – 58%</t>
  </si>
  <si>
    <t>Mastercard has a high-margin business model (asset-light)</t>
  </si>
  <si>
    <t>Margins are supported by:</t>
  </si>
  <si>
    <t>Strong pricing power</t>
  </si>
  <si>
    <t>Slight improvements expected due to:</t>
  </si>
  <si>
    <t>Scale benefits</t>
  </si>
  <si>
    <t>Cost efficiency</t>
  </si>
  <si>
    <t>Risk Factors:</t>
  </si>
  <si>
    <t>Regulatory pressure</t>
  </si>
  <si>
    <t>Competition from fintech &amp; UPI-like systems</t>
  </si>
  <si>
    <t>3. Tax Rate Assumption</t>
  </si>
  <si>
    <t>Effective Tax Rate: 18% – 20%</t>
  </si>
  <si>
    <t>Based on historical effective tax rates</t>
  </si>
  <si>
    <t>Reflects global operations and tax optimization strategie</t>
  </si>
  <si>
    <t>4. Capital Expenditure (CapEx)</t>
  </si>
  <si>
    <t>CapEx: ~3% – 5% of Revenue</t>
  </si>
  <si>
    <t>Mastercard is not capital intensive</t>
  </si>
  <si>
    <t>Investments mainly in:</t>
  </si>
  <si>
    <t>Technology infrastructure</t>
  </si>
  <si>
    <t>Payment processing systems</t>
  </si>
  <si>
    <t>5. Working Capital Assumptions</t>
  </si>
  <si>
    <t>Change in NWC: Minimal / Stable</t>
  </si>
  <si>
    <t>Business model has low working capital requirements</t>
  </si>
  <si>
    <t>Transactions are processed digitally with minimal inventory</t>
  </si>
  <si>
    <t>6. Discount Rate (WACC)</t>
  </si>
  <si>
    <t>WACC: ~8% – 10%</t>
  </si>
  <si>
    <t>Cost of Equity derived using CAPM:</t>
  </si>
  <si>
    <t>Risk-free rate (10Y govt bonds)</t>
  </si>
  <si>
    <t>Beta (from regression)</t>
  </si>
  <si>
    <t>Market risk premium</t>
  </si>
  <si>
    <t>Low debt → WACC driven mainly by equity</t>
  </si>
  <si>
    <t>7. Beta Calculation</t>
  </si>
  <si>
    <t>Beta: ~1.0 – 1.2</t>
  </si>
  <si>
    <t>Calculated using regression of:</t>
  </si>
  <si>
    <t>Mastercard returns vs market index</t>
  </si>
  <si>
    <t>Reflects:</t>
  </si>
  <si>
    <t>Moderate market volatility</t>
  </si>
  <si>
    <t>Stable business model</t>
  </si>
  <si>
    <t>8. Terminal Growth Rate</t>
  </si>
  <si>
    <t>Terminal Growth: 2.5% – 3%</t>
  </si>
  <si>
    <t>Aligned with:</t>
  </si>
  <si>
    <t>Long-term global GDP growth</t>
  </si>
  <si>
    <t>Conservative assumption to avoid overvaluation</t>
  </si>
  <si>
    <t>9. Valuation Multiples (Relative Valuation)</t>
  </si>
  <si>
    <t>PE Ratio / EV-EBITDA based on peers</t>
  </si>
  <si>
    <t>Peers Considered:</t>
  </si>
  <si>
    <t>Multiples reflect:</t>
  </si>
  <si>
    <t>Market sentiment</t>
  </si>
  <si>
    <t>Growth expectations</t>
  </si>
  <si>
    <t>Industry positioning</t>
  </si>
  <si>
    <t>Driven by digital payments growth</t>
  </si>
  <si>
    <t>High-margin business model</t>
  </si>
  <si>
    <t>CAPM-based calculation</t>
  </si>
  <si>
    <t>GDP-linked growth</t>
  </si>
  <si>
    <t>MACRO-ECONOMIC DRIVERS</t>
  </si>
  <si>
    <t>1. Global GDP Growth</t>
  </si>
  <si>
    <t>Assumption: 2.5% – 3.5%</t>
  </si>
  <si>
    <t>Why it matters:</t>
  </si>
  <si>
    <t>Mastercard’s revenue is directly linked to consumer spending &amp; economic activity</t>
  </si>
  <si>
    <t>Higher GDP → more transactions → higher payment volumes</t>
  </si>
  <si>
    <t>Model Link:</t>
  </si>
  <si>
    <t>Revenue Growth = Base Growth + GDP Sensitivity</t>
  </si>
  <si>
    <t>2. Inflation Rate</t>
  </si>
  <si>
    <t>Assumption: 2% – 4%</t>
  </si>
  <si>
    <t>Moderate inflation → increases transaction value (positive)</t>
  </si>
  <si>
    <t>High inflation → reduces real spending (negative)</t>
  </si>
  <si>
    <t>Model Impact:</t>
  </si>
  <si>
    <t>Affects nominal revenue growth</t>
  </si>
  <si>
    <t>Impacts operating costs</t>
  </si>
  <si>
    <t>Adjusted Revenue Growth = Real Growth + Inflation</t>
  </si>
  <si>
    <t>3. Interest Rates</t>
  </si>
  <si>
    <t>Assumption: 4% – 6% (global benchmark)</t>
  </si>
  <si>
    <t>Higher interest rates → higher discount rate (WACC)</t>
  </si>
  <si>
    <t>Reduces valuation (DCF impact)</t>
  </si>
  <si>
    <t>👉 WACC increases when interest rates rise</t>
  </si>
  <si>
    <t>WACC = Risk-Free Rate + Beta × Market Premium</t>
  </si>
  <si>
    <t>4. Digital Payments Penetration</t>
  </si>
  <si>
    <t>Assumption: High Growth (10%–15% annually)</t>
  </si>
  <si>
    <t>Core driver for Mastercard</t>
  </si>
  <si>
    <t>Shift from cash → digital = revenue expansion</t>
  </si>
  <si>
    <t>Add as a multiplier to revenue growth</t>
  </si>
  <si>
    <t>Revenue Growth = Base Growth + Digital Adoption Factor</t>
  </si>
  <si>
    <t>5. Consumer Spending Trends</t>
  </si>
  <si>
    <t>Assumption: Moderate Growth</t>
  </si>
  <si>
    <t>Mastercard earns from transaction volumes</t>
  </si>
  <si>
    <t>Spending slowdown → direct revenue impact</t>
  </si>
  <si>
    <t>👉 Use as a sensitivity variable:</t>
  </si>
  <si>
    <t>High spending → Bull case</t>
  </si>
  <si>
    <t>Low spending → Bear case</t>
  </si>
  <si>
    <t>6. Cross-Border Transactions</t>
  </si>
  <si>
    <t>Assumption: Strong Recovery &amp; Growth</t>
  </si>
  <si>
    <t>Cross-border transactions = high-margin revenue</t>
  </si>
  <si>
    <t>Travel &amp; globalization boost earnings</t>
  </si>
  <si>
    <t>Add premium growth factor:</t>
  </si>
  <si>
    <t>Revenue = Domestic Growth + Cross-border Growth Premium</t>
  </si>
  <si>
    <t>Impact on Model</t>
  </si>
  <si>
    <t>GDP Growth</t>
  </si>
  <si>
    <t>Drives revenue growth</t>
  </si>
  <si>
    <t>Impacts nominal revenue</t>
  </si>
  <si>
    <t>Affects WACC</t>
  </si>
  <si>
    <t>Boosts revenue</t>
  </si>
  <si>
    <t>Consumer Spending</t>
  </si>
  <si>
    <t>Scenario driver</t>
  </si>
  <si>
    <t>Cross-border Transactions</t>
  </si>
  <si>
    <t>“The model is most sensitive to changes in:</t>
  </si>
  <si>
    <t>Revenue growth rate</t>
  </si>
  <si>
    <t>Terminal growth rate</t>
  </si>
  <si>
    <t>Even a 1% change in these variables significantly impacts valuation</t>
  </si>
  <si>
    <t>Sensitivity Insight</t>
  </si>
  <si>
    <t>34.Assumption Notes</t>
  </si>
  <si>
    <t>Parameter</t>
  </si>
  <si>
    <t>Notes</t>
  </si>
  <si>
    <t>RBI / US Treasury</t>
  </si>
  <si>
    <t>10Y Govt Bond</t>
  </si>
  <si>
    <t>S&amp;P 500 Historical Avg</t>
  </si>
  <si>
    <t>Long-term avg</t>
  </si>
  <si>
    <t>Bloomberg / Yahoo Finance</t>
  </si>
  <si>
    <t>2Y weekly beta</t>
  </si>
  <si>
    <t>Damodaran Data</t>
  </si>
  <si>
    <t>US Equity Risk Premium</t>
  </si>
  <si>
    <t>Company Filings</t>
  </si>
  <si>
    <t>Effective tax rate</t>
  </si>
  <si>
    <t>Rf</t>
  </si>
  <si>
    <t>Key Multiples Comparison</t>
  </si>
  <si>
    <t>Average</t>
  </si>
  <si>
    <t>Median</t>
  </si>
  <si>
    <t>27x</t>
  </si>
  <si>
    <t>17x</t>
  </si>
  <si>
    <t>📌 Investment Summary – Mastercard Valuation</t>
  </si>
  <si>
    <t>📊 Key Drivers</t>
  </si>
  <si>
    <t>Strong global digital payments growth</t>
  </si>
  <si>
    <t>High operating margins (~50%+)</t>
  </si>
  <si>
    <t>Scalable asset-light business model</t>
  </si>
  <si>
    <t>⚠️ Key Risks</t>
  </si>
  <si>
    <t>Increasing competition (Visa, fintechs)</t>
  </si>
  <si>
    <t>📈 Valuation Conclusion</t>
  </si>
  <si>
    <t>Based on DCF and relative valuation, Mastercard appears overvalued, with limited upside and potential downside risk under current assumptions.</t>
  </si>
  <si>
    <t>Intrinsic Value (DCF): 390 per share</t>
  </si>
  <si>
    <t>Current Market Price: 450</t>
  </si>
  <si>
    <t>Upside / Downside: ~ -20% downside</t>
  </si>
  <si>
    <t>Downside</t>
  </si>
  <si>
    <t>KPI Boxes</t>
  </si>
  <si>
    <t>Mastercard Valuation: OVERVALUED (–13% Downside)</t>
  </si>
  <si>
    <t>Valuation Insight:</t>
  </si>
  <si>
    <t>Mastercard demonstrates strong revenue and earnings growth (Revenue CAGR ~16%, EPS CAGR ~21%). However, the current market price ($450) exceeds intrinsic value ($390), indicating ~13% downside due to elevated valuation multiples</t>
  </si>
  <si>
    <t>Refer to linked model sheets</t>
  </si>
  <si>
    <t>Downside Potential: -14.20%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</si>
</sst>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164" formatCode="_ &quot;₹&quot;\ * #,##0.00_ ;_ &quot;₹&quot;\ * \-#,##0.00_ ;_ &quot;₹&quot;\ * &quot;-&quot;??_ ;_ @_ "/>
    <numFmt numFmtId="165" formatCode="_ * #,##0.00_ ;_ * \-#,##0.00_ ;_ * &quot;-&quot;??_ ;_ @_ "/>
    <numFmt numFmtId="166" formatCode="_(&quot;$ &quot;#,##0_);_(&quot;$ &quot;\(#,##0\)"/>
    <numFmt numFmtId="167" formatCode="_(&quot;$ &quot;#,##0.00_);_(&quot;$ &quot;\(#,##0.00\)"/>
    <numFmt numFmtId="168" formatCode="&quot;$&quot;#,##0.00"/>
    <numFmt numFmtId="169" formatCode="#,##0.00_ ;\-#,##0.00\ "/>
    <numFmt numFmtId="170" formatCode="0.0000E+00"/>
    <numFmt numFmtId="171" formatCode="0.0000000"/>
    <numFmt numFmtId="172" formatCode="#,##0.000000000000"/>
    <numFmt numFmtId="173" formatCode="_-[$$-409]* #,##0_ ;_-[$$-409]* \-#,##0\ ;_-[$$-409]* &quot;-&quot;??_ ;_-@_ "/>
    <numFmt numFmtId="174" formatCode="0.0%"/>
    <numFmt numFmtId="175" formatCode="_ * #,##0_ ;_ * \-#,##0_ ;_ * &quot;-&quot;??_ ;_ @_ "/>
  </numFmts>
  <fonts count="57">
    <font>
      <sz val="11"/>
      <color theme="1"/>
      <name val="Aptos Narrow"/>
      <family val="2"/>
      <scheme val="minor"/>
    </font>
    <font>
      <sz val="11"/>
      <color theme="1"/>
      <name val="Aptos Narrow"/>
      <family val="2"/>
      <scheme val="minor"/>
    </font>
    <font>
      <sz val="8"/>
      <name val="Aptos Narrow"/>
      <family val="2"/>
      <scheme val="minor"/>
    </font>
    <font>
      <sz val="10"/>
      <name val="Arial"/>
      <family val="2"/>
    </font>
    <font>
      <b/>
      <sz val="11"/>
      <color theme="1"/>
      <name val="Bold"/>
    </font>
    <font>
      <sz val="10"/>
      <name val="Bold"/>
    </font>
    <font>
      <sz val="11"/>
      <color theme="1"/>
      <name val="Bold"/>
    </font>
    <font>
      <b/>
      <sz val="18"/>
      <color rgb="FFFFFFFF"/>
      <name val="Bold"/>
    </font>
    <font>
      <b/>
      <sz val="11"/>
      <color theme="0"/>
      <name val="Bold"/>
    </font>
    <font>
      <b/>
      <sz val="11"/>
      <name val="Bold"/>
    </font>
    <font>
      <b/>
      <sz val="10"/>
      <color theme="0"/>
      <name val="Bold"/>
    </font>
    <font>
      <b/>
      <sz val="11"/>
      <color theme="1"/>
      <name val="Aptos Narrow"/>
      <family val="2"/>
      <scheme val="minor"/>
    </font>
    <font>
      <b/>
      <sz val="11"/>
      <color rgb="FFFA7D00"/>
      <name val="Aptos Narrow"/>
      <family val="2"/>
      <scheme val="minor"/>
    </font>
    <font>
      <b/>
      <sz val="10"/>
      <name val="Bold"/>
    </font>
    <font>
      <u/>
      <sz val="11"/>
      <color theme="10"/>
      <name val="Aptos Narrow"/>
      <family val="2"/>
      <scheme val="minor"/>
    </font>
    <font>
      <b/>
      <sz val="10"/>
      <color theme="1"/>
      <name val="Bold"/>
    </font>
    <font>
      <b/>
      <sz val="11"/>
      <color rgb="FFFA7D00"/>
      <name val="Bold"/>
    </font>
    <font>
      <b/>
      <sz val="18"/>
      <color theme="0"/>
      <name val="Bold"/>
    </font>
    <font>
      <b/>
      <sz val="11"/>
      <color theme="2"/>
      <name val="Bold"/>
    </font>
    <font>
      <b/>
      <sz val="20"/>
      <color theme="1"/>
      <name val="Bold"/>
    </font>
    <font>
      <b/>
      <sz val="10"/>
      <color theme="2"/>
      <name val="Bold"/>
    </font>
    <font>
      <b/>
      <sz val="18"/>
      <color theme="2"/>
      <name val="Bold"/>
    </font>
    <font>
      <b/>
      <sz val="8"/>
      <color theme="1"/>
      <name val="Bold"/>
    </font>
    <font>
      <b/>
      <sz val="24"/>
      <color theme="0"/>
      <name val="Bold"/>
    </font>
    <font>
      <b/>
      <sz val="13.5"/>
      <color theme="0"/>
      <name val="Bold"/>
    </font>
    <font>
      <b/>
      <sz val="14"/>
      <color theme="2"/>
      <name val="Bold"/>
    </font>
    <font>
      <b/>
      <sz val="16"/>
      <color rgb="FFFFFFFF"/>
      <name val="Bold"/>
    </font>
    <font>
      <b/>
      <sz val="12"/>
      <color theme="0"/>
      <name val="Bold"/>
    </font>
    <font>
      <b/>
      <sz val="20"/>
      <color theme="2"/>
      <name val="Bold"/>
    </font>
    <font>
      <b/>
      <sz val="20"/>
      <color theme="0"/>
      <name val="Bold"/>
    </font>
    <font>
      <b/>
      <sz val="22"/>
      <color theme="2"/>
      <name val="Bold"/>
    </font>
    <font>
      <b/>
      <sz val="22"/>
      <color theme="0"/>
      <name val="Bold"/>
    </font>
    <font>
      <b/>
      <sz val="22"/>
      <color theme="1"/>
      <name val="Bold"/>
    </font>
    <font>
      <sz val="11"/>
      <color theme="0"/>
      <name val="Aptos Narrow"/>
      <family val="2"/>
      <scheme val="minor"/>
    </font>
    <font>
      <b/>
      <sz val="11"/>
      <color theme="0"/>
      <name val="Aptos Narrow"/>
      <family val="2"/>
      <scheme val="minor"/>
    </font>
    <font>
      <b/>
      <sz val="16"/>
      <color theme="0"/>
      <name val="Bold"/>
    </font>
    <font>
      <b/>
      <sz val="14"/>
      <color theme="0"/>
      <name val="Bold"/>
    </font>
    <font>
      <b/>
      <sz val="12"/>
      <name val="Bold"/>
    </font>
    <font>
      <b/>
      <sz val="18"/>
      <color rgb="FF000000"/>
      <name val="Bold"/>
    </font>
    <font>
      <sz val="11"/>
      <color theme="0"/>
      <name val="Bold"/>
    </font>
    <font>
      <b/>
      <sz val="13.5"/>
      <color theme="0"/>
      <name val="Aptos Narrow"/>
      <family val="2"/>
      <scheme val="minor"/>
    </font>
    <font>
      <b/>
      <sz val="11"/>
      <color theme="2"/>
      <name val="Aptos Narrow"/>
      <family val="2"/>
      <scheme val="minor"/>
    </font>
    <font>
      <b/>
      <sz val="12"/>
      <color theme="1"/>
      <name val="Bold"/>
    </font>
    <font>
      <b/>
      <sz val="16"/>
      <color theme="1"/>
      <name val="Bold"/>
    </font>
    <font>
      <b/>
      <sz val="11"/>
      <color theme="0"/>
      <name val="Boldl"/>
    </font>
    <font>
      <b/>
      <sz val="11"/>
      <color theme="1"/>
      <name val="Boldl"/>
    </font>
    <font>
      <sz val="11"/>
      <color theme="2"/>
      <name val="Aptos Narrow"/>
      <family val="2"/>
      <scheme val="minor"/>
    </font>
    <font>
      <b/>
      <sz val="12"/>
      <color theme="2"/>
      <name val="Bold"/>
    </font>
    <font>
      <b/>
      <sz val="18"/>
      <color theme="2"/>
      <name val="Calibri"/>
      <family val="2"/>
    </font>
    <font>
      <b/>
      <sz val="18"/>
      <color theme="1"/>
      <name val="Bold"/>
    </font>
    <font>
      <b/>
      <sz val="11"/>
      <color rgb="FFFF0000"/>
      <name val="Bold"/>
    </font>
    <font>
      <b/>
      <sz val="11"/>
      <color rgb="FF00B050"/>
      <name val="Bold"/>
    </font>
    <font>
      <b/>
      <i/>
      <sz val="11"/>
      <color theme="0"/>
      <name val="Bold"/>
    </font>
    <font>
      <b/>
      <sz val="14"/>
      <color theme="1"/>
      <name val="Bold"/>
    </font>
    <font>
      <b/>
      <sz val="18"/>
      <color theme="2"/>
      <name val="Aptos Narrow"/>
      <family val="2"/>
      <scheme val="minor"/>
    </font>
    <font>
      <b/>
      <sz val="16"/>
      <name val="Bold"/>
    </font>
    <font>
      <b/>
      <u/>
      <sz val="11"/>
      <color theme="1"/>
      <name val="Bold"/>
    </font>
  </fonts>
  <fills count="21">
    <fill>
      <patternFill patternType="none"/>
    </fill>
    <fill>
      <patternFill patternType="gray125"/>
    </fill>
    <fill>
      <patternFill patternType="solid">
        <fgColor rgb="FFF2F2F2"/>
      </patternFill>
    </fill>
    <fill>
      <patternFill patternType="solid">
        <fgColor rgb="FFFFFFCC"/>
      </patternFill>
    </fill>
    <fill>
      <patternFill patternType="solid">
        <fgColor theme="1"/>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C00000"/>
        <bgColor indexed="64"/>
      </patternFill>
    </fill>
    <fill>
      <patternFill patternType="solid">
        <fgColor rgb="FFFF0000"/>
        <bgColor indexed="64"/>
      </patternFill>
    </fill>
    <fill>
      <patternFill patternType="solid">
        <fgColor theme="1" tint="4.9989318521683403E-2"/>
        <bgColor indexed="64"/>
      </patternFill>
    </fill>
    <fill>
      <patternFill patternType="solid">
        <fgColor theme="2" tint="-0.89999084444715716"/>
        <bgColor indexed="64"/>
      </patternFill>
    </fill>
    <fill>
      <patternFill patternType="solid">
        <fgColor theme="1"/>
        <bgColor theme="6"/>
      </patternFill>
    </fill>
    <fill>
      <patternFill patternType="solid">
        <fgColor rgb="FF002060"/>
        <bgColor indexed="64"/>
      </patternFill>
    </fill>
    <fill>
      <patternFill patternType="solid">
        <fgColor theme="1"/>
        <bgColor rgb="FF1F4E78"/>
      </patternFill>
    </fill>
    <fill>
      <patternFill patternType="solid">
        <fgColor theme="1"/>
        <bgColor theme="6" tint="0.59999389629810485"/>
      </patternFill>
    </fill>
    <fill>
      <patternFill patternType="solid">
        <fgColor theme="1"/>
        <bgColor theme="6" tint="0.79998168889431442"/>
      </patternFill>
    </fill>
    <fill>
      <patternFill patternType="solid">
        <fgColor rgb="FF92D050"/>
        <bgColor indexed="64"/>
      </patternFill>
    </fill>
    <fill>
      <patternFill patternType="solid">
        <fgColor rgb="FF00B0F0"/>
        <bgColor theme="6" tint="0.59999389629810485"/>
      </patternFill>
    </fill>
    <fill>
      <patternFill patternType="solid">
        <fgColor rgb="FF00B0F0"/>
        <bgColor theme="6" tint="0.79998168889431442"/>
      </patternFill>
    </fill>
    <fill>
      <patternFill patternType="solid">
        <fgColor theme="0"/>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bottom style="medium">
        <color indexed="64"/>
      </bottom>
      <diagonal/>
    </border>
    <border>
      <left/>
      <right/>
      <top style="medium">
        <color indexed="64"/>
      </top>
      <bottom style="thin">
        <color indexed="64"/>
      </bottom>
      <diagonal/>
    </border>
    <border>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style="thin">
        <color rgb="FFB2B2B2"/>
      </right>
      <top/>
      <bottom style="thin">
        <color rgb="FFB2B2B2"/>
      </bottom>
      <diagonal/>
    </border>
    <border>
      <left style="thin">
        <color rgb="FFB2B2B2"/>
      </left>
      <right/>
      <top/>
      <bottom style="thin">
        <color rgb="FFB2B2B2"/>
      </bottom>
      <diagonal/>
    </border>
    <border>
      <left/>
      <right style="thin">
        <color rgb="FFB2B2B2"/>
      </right>
      <top style="thin">
        <color rgb="FFB2B2B2"/>
      </top>
      <bottom/>
      <diagonal/>
    </border>
    <border>
      <left style="thin">
        <color rgb="FFB2B2B2"/>
      </left>
      <right/>
      <top style="thin">
        <color rgb="FFB2B2B2"/>
      </top>
      <bottom/>
      <diagonal/>
    </border>
    <border>
      <left style="thin">
        <color rgb="FFB2B2B2"/>
      </left>
      <right style="thin">
        <color rgb="FFB2B2B2"/>
      </right>
      <top/>
      <bottom style="thin">
        <color rgb="FFB2B2B2"/>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bottom/>
      <diagonal/>
    </border>
  </borders>
  <cellStyleXfs count="10">
    <xf numFmtId="0" fontId="0" fillId="0" borderId="0"/>
    <xf numFmtId="0" fontId="3" fillId="0" borderId="0"/>
    <xf numFmtId="9" fontId="1" fillId="0" borderId="0"/>
    <xf numFmtId="164" fontId="1" fillId="0" borderId="0"/>
    <xf numFmtId="0" fontId="12" fillId="2" borderId="1"/>
    <xf numFmtId="0" fontId="1" fillId="3" borderId="2" applyNumberFormat="0" applyFont="0" applyAlignment="0" applyProtection="0"/>
    <xf numFmtId="9" fontId="1" fillId="0" borderId="0" applyFont="0" applyFill="0" applyBorder="0" applyAlignment="0" applyProtection="0"/>
    <xf numFmtId="0" fontId="14" fillId="0" borderId="0" applyNumberFormat="0" applyFill="0" applyBorder="0" applyAlignment="0" applyProtection="0"/>
    <xf numFmtId="165" fontId="1" fillId="0" borderId="0" applyFont="0" applyFill="0" applyBorder="0" applyAlignment="0" applyProtection="0"/>
    <xf numFmtId="164" fontId="1" fillId="0" borderId="0" applyFont="0" applyFill="0" applyBorder="0" applyAlignment="0" applyProtection="0"/>
  </cellStyleXfs>
  <cellXfs count="572">
    <xf numFmtId="0" fontId="0" fillId="0" borderId="0" xfId="0"/>
    <xf numFmtId="14" fontId="0" fillId="0" borderId="0" xfId="0" applyNumberFormat="1"/>
    <xf numFmtId="0" fontId="3" fillId="0" borderId="0" xfId="1"/>
    <xf numFmtId="0" fontId="4" fillId="4" borderId="2" xfId="5" applyFont="1" applyFill="1"/>
    <xf numFmtId="0" fontId="10" fillId="4" borderId="2" xfId="5" applyFont="1" applyFill="1" applyAlignment="1">
      <alignment horizontal="center" vertical="center" wrapText="1"/>
    </xf>
    <xf numFmtId="0" fontId="4" fillId="4" borderId="2" xfId="5" applyFont="1" applyFill="1" applyAlignment="1">
      <alignment horizontal="center" vertical="center" wrapText="1"/>
    </xf>
    <xf numFmtId="0" fontId="8" fillId="4" borderId="2" xfId="5" applyFont="1" applyFill="1" applyAlignment="1">
      <alignment horizontal="center" vertical="center" wrapText="1"/>
    </xf>
    <xf numFmtId="0" fontId="8" fillId="4" borderId="2" xfId="5" applyFont="1" applyFill="1" applyAlignment="1">
      <alignment horizontal="left" vertical="center" wrapText="1"/>
    </xf>
    <xf numFmtId="0" fontId="4" fillId="4" borderId="2" xfId="5" applyFont="1" applyFill="1" applyAlignment="1">
      <alignment vertical="center" wrapText="1"/>
    </xf>
    <xf numFmtId="0" fontId="7" fillId="4" borderId="2" xfId="5" applyFont="1" applyFill="1" applyAlignment="1">
      <alignment horizontal="left" vertical="center" readingOrder="1"/>
    </xf>
    <xf numFmtId="0" fontId="7" fillId="4" borderId="2" xfId="5" applyFont="1" applyFill="1" applyAlignment="1">
      <alignment horizontal="left" vertical="center" wrapText="1" indent="1" readingOrder="1"/>
    </xf>
    <xf numFmtId="0" fontId="7" fillId="4" borderId="2" xfId="5" applyFont="1" applyFill="1" applyAlignment="1">
      <alignment horizontal="left" vertical="center" indent="1" readingOrder="1"/>
    </xf>
    <xf numFmtId="0" fontId="4" fillId="4" borderId="2" xfId="5" applyFont="1" applyFill="1" applyAlignment="1">
      <alignment horizontal="left"/>
    </xf>
    <xf numFmtId="0" fontId="4" fillId="3" borderId="2" xfId="5" applyFont="1" applyAlignment="1">
      <alignment horizontal="left" vertical="center" wrapText="1"/>
    </xf>
    <xf numFmtId="0" fontId="4" fillId="6" borderId="2" xfId="5" applyFont="1" applyFill="1"/>
    <xf numFmtId="0" fontId="8" fillId="4" borderId="13" xfId="5" applyFont="1" applyFill="1" applyBorder="1"/>
    <xf numFmtId="0" fontId="8" fillId="4" borderId="17" xfId="5" applyFont="1" applyFill="1" applyBorder="1"/>
    <xf numFmtId="0" fontId="8" fillId="4" borderId="14" xfId="5" applyFont="1" applyFill="1" applyBorder="1"/>
    <xf numFmtId="0" fontId="8" fillId="4" borderId="2" xfId="5" applyFont="1" applyFill="1" applyAlignment="1">
      <alignment vertical="center" wrapText="1"/>
    </xf>
    <xf numFmtId="0" fontId="8" fillId="4" borderId="2" xfId="5" applyFont="1" applyFill="1"/>
    <xf numFmtId="0" fontId="4" fillId="9" borderId="2" xfId="5" applyFont="1" applyFill="1"/>
    <xf numFmtId="0" fontId="9" fillId="9" borderId="2" xfId="5" applyFont="1" applyFill="1" applyAlignment="1">
      <alignment horizontal="center" vertical="center" wrapText="1"/>
    </xf>
    <xf numFmtId="0" fontId="8" fillId="4" borderId="2" xfId="5" applyFont="1" applyFill="1" applyAlignment="1">
      <alignment horizontal="left"/>
    </xf>
    <xf numFmtId="0" fontId="4" fillId="9" borderId="2" xfId="5" applyFont="1" applyFill="1" applyAlignment="1">
      <alignment horizontal="center" vertical="center" wrapText="1"/>
    </xf>
    <xf numFmtId="0" fontId="4" fillId="6" borderId="2" xfId="5" applyFont="1" applyFill="1" applyAlignment="1">
      <alignment horizontal="center" vertical="center" wrapText="1"/>
    </xf>
    <xf numFmtId="0" fontId="8" fillId="4" borderId="2" xfId="0" applyFont="1" applyFill="1" applyBorder="1" applyAlignment="1">
      <alignment vertical="center" wrapText="1"/>
    </xf>
    <xf numFmtId="9" fontId="8" fillId="4" borderId="2" xfId="5" applyNumberFormat="1" applyFont="1" applyFill="1" applyAlignment="1">
      <alignment horizontal="left"/>
    </xf>
    <xf numFmtId="0" fontId="18" fillId="4" borderId="0" xfId="0" applyFont="1" applyFill="1"/>
    <xf numFmtId="0" fontId="4" fillId="7" borderId="2" xfId="5" applyFont="1" applyFill="1"/>
    <xf numFmtId="0" fontId="4" fillId="7" borderId="2" xfId="5" applyFont="1" applyFill="1" applyAlignment="1">
      <alignment vertical="center" wrapText="1"/>
    </xf>
    <xf numFmtId="0" fontId="4" fillId="7" borderId="2" xfId="5" applyFont="1" applyFill="1" applyAlignment="1">
      <alignment horizontal="left"/>
    </xf>
    <xf numFmtId="0" fontId="4" fillId="7" borderId="11" xfId="5" applyFont="1" applyFill="1" applyBorder="1"/>
    <xf numFmtId="0" fontId="4" fillId="7" borderId="15" xfId="5" applyFont="1" applyFill="1" applyBorder="1"/>
    <xf numFmtId="0" fontId="18" fillId="4" borderId="2" xfId="5" applyFont="1" applyFill="1" applyAlignment="1">
      <alignment horizontal="left"/>
    </xf>
    <xf numFmtId="0" fontId="15" fillId="7" borderId="2" xfId="5" applyFont="1" applyFill="1"/>
    <xf numFmtId="0" fontId="15" fillId="6" borderId="2" xfId="5" applyFont="1" applyFill="1"/>
    <xf numFmtId="0" fontId="15" fillId="7" borderId="2" xfId="5" applyFont="1" applyFill="1" applyAlignment="1">
      <alignment horizontal="left"/>
    </xf>
    <xf numFmtId="0" fontId="4" fillId="7" borderId="11" xfId="5" applyFont="1" applyFill="1" applyBorder="1" applyAlignment="1">
      <alignment vertical="center" wrapText="1"/>
    </xf>
    <xf numFmtId="0" fontId="4" fillId="7" borderId="15" xfId="5" applyFont="1" applyFill="1" applyBorder="1" applyAlignment="1">
      <alignment vertical="center" wrapText="1"/>
    </xf>
    <xf numFmtId="0" fontId="4" fillId="7" borderId="2" xfId="5" applyFont="1" applyFill="1" applyAlignment="1">
      <alignment horizontal="center" vertical="center" wrapText="1"/>
    </xf>
    <xf numFmtId="0" fontId="9" fillId="7" borderId="2" xfId="5" applyFont="1" applyFill="1" applyAlignment="1">
      <alignment vertical="top" wrapText="1"/>
    </xf>
    <xf numFmtId="0" fontId="9" fillId="6" borderId="2" xfId="5" applyFont="1" applyFill="1" applyAlignment="1">
      <alignment vertical="top" wrapText="1"/>
    </xf>
    <xf numFmtId="0" fontId="9" fillId="9" borderId="2" xfId="5" applyFont="1" applyFill="1" applyAlignment="1">
      <alignment vertical="top" wrapText="1"/>
    </xf>
    <xf numFmtId="0" fontId="20" fillId="4" borderId="2" xfId="5" applyFont="1" applyFill="1"/>
    <xf numFmtId="0" fontId="10" fillId="4" borderId="2" xfId="5" applyFont="1" applyFill="1"/>
    <xf numFmtId="0" fontId="10" fillId="10" borderId="2" xfId="5" applyFont="1" applyFill="1"/>
    <xf numFmtId="0" fontId="8" fillId="4" borderId="0" xfId="0" applyFont="1" applyFill="1"/>
    <xf numFmtId="0" fontId="4" fillId="4" borderId="0" xfId="0" applyFont="1" applyFill="1"/>
    <xf numFmtId="0" fontId="8" fillId="4" borderId="0" xfId="0" applyFont="1" applyFill="1" applyAlignment="1">
      <alignment horizontal="left"/>
    </xf>
    <xf numFmtId="0" fontId="15" fillId="4" borderId="2" xfId="5" applyFont="1" applyFill="1"/>
    <xf numFmtId="0" fontId="4" fillId="13" borderId="0" xfId="0" applyFont="1" applyFill="1"/>
    <xf numFmtId="0" fontId="6" fillId="13" borderId="0" xfId="0" applyFont="1" applyFill="1"/>
    <xf numFmtId="0" fontId="0" fillId="13" borderId="0" xfId="0" applyFill="1"/>
    <xf numFmtId="0" fontId="4" fillId="13" borderId="2" xfId="5" applyFont="1" applyFill="1"/>
    <xf numFmtId="0" fontId="6" fillId="13" borderId="2" xfId="5" applyFont="1" applyFill="1"/>
    <xf numFmtId="0" fontId="0" fillId="13" borderId="2" xfId="5" applyFont="1" applyFill="1"/>
    <xf numFmtId="0" fontId="4" fillId="13" borderId="2" xfId="5" applyFont="1" applyFill="1" applyAlignment="1">
      <alignment horizontal="left" vertical="center" wrapText="1"/>
    </xf>
    <xf numFmtId="0" fontId="11" fillId="13" borderId="0" xfId="0" applyFont="1" applyFill="1"/>
    <xf numFmtId="0" fontId="27" fillId="4" borderId="18" xfId="0" applyFont="1" applyFill="1" applyBorder="1"/>
    <xf numFmtId="0" fontId="8" fillId="4" borderId="18" xfId="0" applyFont="1" applyFill="1" applyBorder="1"/>
    <xf numFmtId="0" fontId="4" fillId="6" borderId="0" xfId="0" applyFont="1" applyFill="1" applyAlignment="1">
      <alignment horizontal="right"/>
    </xf>
    <xf numFmtId="0" fontId="8" fillId="4" borderId="3" xfId="5" applyFont="1" applyFill="1" applyBorder="1"/>
    <xf numFmtId="0" fontId="27" fillId="4" borderId="2" xfId="5" applyFont="1" applyFill="1"/>
    <xf numFmtId="0" fontId="4" fillId="5" borderId="0" xfId="0" applyFont="1" applyFill="1"/>
    <xf numFmtId="0" fontId="4" fillId="5" borderId="2" xfId="5" applyFont="1" applyFill="1"/>
    <xf numFmtId="0" fontId="27" fillId="4" borderId="0" xfId="0" applyFont="1" applyFill="1"/>
    <xf numFmtId="0" fontId="36" fillId="4" borderId="0" xfId="0" applyFont="1" applyFill="1"/>
    <xf numFmtId="0" fontId="35" fillId="4" borderId="0" xfId="0" applyFont="1" applyFill="1"/>
    <xf numFmtId="14" fontId="4" fillId="13" borderId="2" xfId="5" applyNumberFormat="1" applyFont="1" applyFill="1"/>
    <xf numFmtId="0" fontId="13" fillId="4" borderId="2" xfId="5" applyFont="1" applyFill="1"/>
    <xf numFmtId="166" fontId="9" fillId="9" borderId="2" xfId="5" applyNumberFormat="1" applyFont="1" applyFill="1" applyAlignment="1">
      <alignment horizontal="right" vertical="top"/>
    </xf>
    <xf numFmtId="0" fontId="11" fillId="13" borderId="2" xfId="5" applyFont="1" applyFill="1"/>
    <xf numFmtId="37" fontId="9" fillId="6" borderId="2" xfId="5" applyNumberFormat="1" applyFont="1" applyFill="1" applyAlignment="1">
      <alignment vertical="top" wrapText="1"/>
    </xf>
    <xf numFmtId="2" fontId="9" fillId="6" borderId="2" xfId="5" applyNumberFormat="1" applyFont="1" applyFill="1" applyAlignment="1">
      <alignment vertical="top" wrapText="1"/>
    </xf>
    <xf numFmtId="37" fontId="9" fillId="6" borderId="2" xfId="5" applyNumberFormat="1" applyFont="1" applyFill="1" applyAlignment="1">
      <alignment horizontal="right" vertical="top"/>
    </xf>
    <xf numFmtId="0" fontId="4" fillId="9" borderId="0" xfId="0" applyFont="1" applyFill="1" applyAlignment="1">
      <alignment horizontal="right"/>
    </xf>
    <xf numFmtId="0" fontId="34" fillId="4" borderId="2" xfId="5" applyFont="1" applyFill="1"/>
    <xf numFmtId="0" fontId="4" fillId="4" borderId="2" xfId="5" applyFont="1" applyFill="1" applyAlignment="1">
      <alignment horizontal="left" wrapText="1"/>
    </xf>
    <xf numFmtId="0" fontId="4" fillId="6" borderId="12" xfId="5" applyFont="1" applyFill="1" applyBorder="1"/>
    <xf numFmtId="0" fontId="15" fillId="4" borderId="2" xfId="0" applyFont="1" applyFill="1" applyBorder="1"/>
    <xf numFmtId="0" fontId="4" fillId="7" borderId="3" xfId="5" applyFont="1" applyFill="1" applyBorder="1"/>
    <xf numFmtId="0" fontId="4" fillId="4" borderId="2" xfId="0" applyFont="1" applyFill="1" applyBorder="1"/>
    <xf numFmtId="0" fontId="4" fillId="6" borderId="2" xfId="5" applyFont="1" applyFill="1" applyAlignment="1">
      <alignment horizontal="left"/>
    </xf>
    <xf numFmtId="2" fontId="4" fillId="6" borderId="2" xfId="5" applyNumberFormat="1" applyFont="1" applyFill="1" applyAlignment="1">
      <alignment horizontal="left"/>
    </xf>
    <xf numFmtId="4" fontId="38" fillId="8" borderId="2" xfId="5" applyNumberFormat="1" applyFont="1" applyFill="1" applyAlignment="1">
      <alignment horizontal="left" vertical="center" indent="1"/>
    </xf>
    <xf numFmtId="0" fontId="8" fillId="4" borderId="2" xfId="5" applyFont="1" applyFill="1" applyAlignment="1">
      <alignment vertical="top" wrapText="1"/>
    </xf>
    <xf numFmtId="0" fontId="4" fillId="6" borderId="2" xfId="5" applyFont="1" applyFill="1" applyAlignment="1">
      <alignment horizontal="left" vertical="center" wrapText="1"/>
    </xf>
    <xf numFmtId="9" fontId="8" fillId="4" borderId="0" xfId="0" applyNumberFormat="1" applyFont="1" applyFill="1"/>
    <xf numFmtId="10" fontId="8" fillId="4" borderId="0" xfId="0" applyNumberFormat="1" applyFont="1" applyFill="1" applyAlignment="1">
      <alignment horizontal="left"/>
    </xf>
    <xf numFmtId="0" fontId="13" fillId="7" borderId="2" xfId="5" applyFont="1" applyFill="1" applyAlignment="1">
      <alignment horizontal="left"/>
    </xf>
    <xf numFmtId="2" fontId="8" fillId="4" borderId="0" xfId="0" applyNumberFormat="1" applyFont="1" applyFill="1" applyAlignment="1">
      <alignment horizontal="left"/>
    </xf>
    <xf numFmtId="9" fontId="8" fillId="4" borderId="0" xfId="0" applyNumberFormat="1" applyFont="1" applyFill="1" applyAlignment="1">
      <alignment horizontal="left"/>
    </xf>
    <xf numFmtId="0" fontId="39" fillId="4" borderId="0" xfId="0" applyFont="1" applyFill="1" applyAlignment="1">
      <alignment horizontal="left"/>
    </xf>
    <xf numFmtId="9" fontId="8" fillId="4" borderId="2" xfId="5" applyNumberFormat="1" applyFont="1" applyFill="1" applyAlignment="1">
      <alignment horizontal="left" vertical="center" wrapText="1"/>
    </xf>
    <xf numFmtId="10" fontId="8" fillId="4" borderId="2" xfId="5" applyNumberFormat="1" applyFont="1" applyFill="1" applyAlignment="1">
      <alignment horizontal="left" vertical="center" wrapText="1"/>
    </xf>
    <xf numFmtId="0" fontId="10" fillId="4" borderId="2" xfId="5" applyFont="1" applyFill="1" applyAlignment="1">
      <alignment horizontal="left" vertical="center" wrapText="1"/>
    </xf>
    <xf numFmtId="9" fontId="34" fillId="4" borderId="0" xfId="0" applyNumberFormat="1" applyFont="1" applyFill="1" applyAlignment="1">
      <alignment horizontal="left"/>
    </xf>
    <xf numFmtId="10" fontId="8" fillId="4" borderId="2" xfId="5" applyNumberFormat="1" applyFont="1" applyFill="1" applyAlignment="1">
      <alignment horizontal="left"/>
    </xf>
    <xf numFmtId="0" fontId="34" fillId="4" borderId="2" xfId="5" applyFont="1" applyFill="1" applyAlignment="1">
      <alignment horizontal="left"/>
    </xf>
    <xf numFmtId="0" fontId="4" fillId="9" borderId="2" xfId="5" applyFont="1" applyFill="1" applyAlignment="1">
      <alignment horizontal="left"/>
    </xf>
    <xf numFmtId="0" fontId="9" fillId="9" borderId="2" xfId="5" applyFont="1" applyFill="1" applyAlignment="1">
      <alignment horizontal="left" vertical="center" wrapText="1"/>
    </xf>
    <xf numFmtId="9" fontId="4" fillId="6" borderId="2" xfId="5" applyNumberFormat="1" applyFont="1" applyFill="1" applyAlignment="1">
      <alignment horizontal="left"/>
    </xf>
    <xf numFmtId="0" fontId="9" fillId="9" borderId="2" xfId="5" applyFont="1" applyFill="1" applyAlignment="1">
      <alignment horizontal="left" vertical="top" wrapText="1"/>
    </xf>
    <xf numFmtId="166" fontId="9" fillId="9" borderId="2" xfId="5" applyNumberFormat="1" applyFont="1" applyFill="1" applyAlignment="1">
      <alignment horizontal="left" vertical="top"/>
    </xf>
    <xf numFmtId="37" fontId="9" fillId="9" borderId="2" xfId="5" applyNumberFormat="1" applyFont="1" applyFill="1" applyAlignment="1">
      <alignment horizontal="left" vertical="top"/>
    </xf>
    <xf numFmtId="166" fontId="8" fillId="4" borderId="2" xfId="5" applyNumberFormat="1" applyFont="1" applyFill="1" applyAlignment="1">
      <alignment horizontal="left" vertical="top"/>
    </xf>
    <xf numFmtId="2" fontId="8" fillId="4" borderId="2" xfId="5" applyNumberFormat="1" applyFont="1" applyFill="1" applyAlignment="1">
      <alignment horizontal="left"/>
    </xf>
    <xf numFmtId="167" fontId="9" fillId="9" borderId="2" xfId="5" applyNumberFormat="1" applyFont="1" applyFill="1" applyAlignment="1">
      <alignment horizontal="left" vertical="top"/>
    </xf>
    <xf numFmtId="167" fontId="9" fillId="6" borderId="2" xfId="5" applyNumberFormat="1" applyFont="1" applyFill="1" applyAlignment="1">
      <alignment horizontal="left" vertical="top"/>
    </xf>
    <xf numFmtId="2" fontId="4" fillId="9" borderId="2" xfId="5" applyNumberFormat="1" applyFont="1" applyFill="1" applyAlignment="1">
      <alignment horizontal="left"/>
    </xf>
    <xf numFmtId="0" fontId="8" fillId="4" borderId="3" xfId="5" applyFont="1" applyFill="1" applyBorder="1" applyAlignment="1">
      <alignment horizontal="left"/>
    </xf>
    <xf numFmtId="2" fontId="8" fillId="4" borderId="3" xfId="5" applyNumberFormat="1" applyFont="1" applyFill="1" applyBorder="1" applyAlignment="1">
      <alignment horizontal="left"/>
    </xf>
    <xf numFmtId="37" fontId="9" fillId="6" borderId="2" xfId="5" applyNumberFormat="1" applyFont="1" applyFill="1" applyAlignment="1">
      <alignment horizontal="left" vertical="top"/>
    </xf>
    <xf numFmtId="37" fontId="9" fillId="6" borderId="2" xfId="5" applyNumberFormat="1" applyFont="1" applyFill="1" applyAlignment="1">
      <alignment horizontal="left" vertical="top" wrapText="1"/>
    </xf>
    <xf numFmtId="2" fontId="9" fillId="6" borderId="2" xfId="5" applyNumberFormat="1" applyFont="1" applyFill="1" applyAlignment="1">
      <alignment horizontal="left" vertical="top" wrapText="1"/>
    </xf>
    <xf numFmtId="0" fontId="9" fillId="6" borderId="2" xfId="5" applyFont="1" applyFill="1" applyAlignment="1">
      <alignment horizontal="left" vertical="top" wrapText="1"/>
    </xf>
    <xf numFmtId="37" fontId="8" fillId="4" borderId="2" xfId="5" applyNumberFormat="1" applyFont="1" applyFill="1" applyAlignment="1">
      <alignment horizontal="left" vertical="top"/>
    </xf>
    <xf numFmtId="37" fontId="8" fillId="4" borderId="2" xfId="5" applyNumberFormat="1" applyFont="1" applyFill="1" applyAlignment="1">
      <alignment horizontal="left" vertical="top" wrapText="1"/>
    </xf>
    <xf numFmtId="0" fontId="8" fillId="4" borderId="2" xfId="5" applyFont="1" applyFill="1" applyAlignment="1">
      <alignment horizontal="left" vertical="top" wrapText="1"/>
    </xf>
    <xf numFmtId="3" fontId="9" fillId="9" borderId="2" xfId="5" applyNumberFormat="1" applyFont="1" applyFill="1" applyAlignment="1">
      <alignment horizontal="left" vertical="top" wrapText="1"/>
    </xf>
    <xf numFmtId="37" fontId="8" fillId="4" borderId="3" xfId="5" applyNumberFormat="1" applyFont="1" applyFill="1" applyBorder="1" applyAlignment="1">
      <alignment horizontal="left" vertical="top"/>
    </xf>
    <xf numFmtId="9" fontId="4" fillId="9" borderId="2" xfId="5" applyNumberFormat="1" applyFont="1" applyFill="1" applyAlignment="1">
      <alignment horizontal="left" vertical="center" wrapText="1"/>
    </xf>
    <xf numFmtId="9" fontId="4" fillId="6" borderId="2" xfId="5" applyNumberFormat="1" applyFont="1" applyFill="1" applyAlignment="1">
      <alignment horizontal="left" vertical="center" wrapText="1"/>
    </xf>
    <xf numFmtId="10" fontId="4" fillId="9" borderId="2" xfId="5" applyNumberFormat="1" applyFont="1" applyFill="1" applyAlignment="1">
      <alignment horizontal="left" vertical="center" wrapText="1"/>
    </xf>
    <xf numFmtId="10" fontId="4" fillId="6" borderId="2" xfId="5" applyNumberFormat="1" applyFont="1" applyFill="1" applyAlignment="1">
      <alignment horizontal="left" vertical="center" wrapText="1"/>
    </xf>
    <xf numFmtId="0" fontId="4" fillId="13" borderId="2" xfId="5" applyFont="1" applyFill="1" applyAlignment="1">
      <alignment horizontal="left"/>
    </xf>
    <xf numFmtId="0" fontId="4" fillId="9" borderId="2" xfId="5" applyFont="1" applyFill="1" applyAlignment="1">
      <alignment horizontal="left" vertical="center" wrapText="1"/>
    </xf>
    <xf numFmtId="0" fontId="4" fillId="4" borderId="2" xfId="5" applyFont="1" applyFill="1" applyAlignment="1">
      <alignment horizontal="left" vertical="center" wrapText="1"/>
    </xf>
    <xf numFmtId="37" fontId="4" fillId="9" borderId="2" xfId="5" applyNumberFormat="1" applyFont="1" applyFill="1" applyAlignment="1">
      <alignment horizontal="left" vertical="center" wrapText="1"/>
    </xf>
    <xf numFmtId="2" fontId="4" fillId="9" borderId="2" xfId="5" applyNumberFormat="1" applyFont="1" applyFill="1" applyAlignment="1">
      <alignment horizontal="left" vertical="center" wrapText="1"/>
    </xf>
    <xf numFmtId="2" fontId="4" fillId="6" borderId="2" xfId="5" applyNumberFormat="1" applyFont="1" applyFill="1" applyAlignment="1">
      <alignment horizontal="left" vertical="center" wrapText="1"/>
    </xf>
    <xf numFmtId="10" fontId="4" fillId="6" borderId="2" xfId="5" applyNumberFormat="1" applyFont="1" applyFill="1" applyAlignment="1">
      <alignment horizontal="left"/>
    </xf>
    <xf numFmtId="0" fontId="4" fillId="6" borderId="2" xfId="5" applyNumberFormat="1" applyFont="1" applyFill="1" applyAlignment="1">
      <alignment horizontal="left" vertical="center" wrapText="1"/>
    </xf>
    <xf numFmtId="37" fontId="4" fillId="6" borderId="2" xfId="5" applyNumberFormat="1" applyFont="1" applyFill="1" applyAlignment="1">
      <alignment horizontal="left" vertical="center" wrapText="1"/>
    </xf>
    <xf numFmtId="10" fontId="4" fillId="9" borderId="2" xfId="5" applyNumberFormat="1" applyFont="1" applyFill="1" applyAlignment="1">
      <alignment horizontal="left"/>
    </xf>
    <xf numFmtId="37" fontId="4" fillId="9" borderId="2" xfId="5" applyNumberFormat="1" applyFont="1" applyFill="1" applyAlignment="1">
      <alignment horizontal="left"/>
    </xf>
    <xf numFmtId="37" fontId="4" fillId="6" borderId="2" xfId="5" applyNumberFormat="1" applyFont="1" applyFill="1" applyAlignment="1">
      <alignment horizontal="left"/>
    </xf>
    <xf numFmtId="0" fontId="4" fillId="5" borderId="2" xfId="5" applyFont="1" applyFill="1" applyAlignment="1">
      <alignment horizontal="left"/>
    </xf>
    <xf numFmtId="3" fontId="4" fillId="6" borderId="2" xfId="5" applyNumberFormat="1" applyFont="1" applyFill="1" applyAlignment="1">
      <alignment horizontal="left" vertical="center" wrapText="1"/>
    </xf>
    <xf numFmtId="3" fontId="4" fillId="6" borderId="12" xfId="5" applyNumberFormat="1" applyFont="1" applyFill="1" applyBorder="1" applyAlignment="1">
      <alignment horizontal="left" vertical="center" wrapText="1"/>
    </xf>
    <xf numFmtId="0" fontId="4" fillId="6" borderId="12" xfId="5" applyFont="1" applyFill="1" applyBorder="1" applyAlignment="1">
      <alignment horizontal="left" vertical="center" wrapText="1"/>
    </xf>
    <xf numFmtId="0" fontId="4" fillId="6" borderId="3" xfId="5" applyFont="1" applyFill="1" applyBorder="1" applyAlignment="1">
      <alignment horizontal="left"/>
    </xf>
    <xf numFmtId="0" fontId="4" fillId="6" borderId="16" xfId="5" applyFont="1" applyFill="1" applyBorder="1" applyAlignment="1">
      <alignment horizontal="left"/>
    </xf>
    <xf numFmtId="3" fontId="8" fillId="4" borderId="2" xfId="0" applyNumberFormat="1" applyFont="1" applyFill="1" applyBorder="1" applyAlignment="1">
      <alignment horizontal="left" vertical="center" wrapText="1"/>
    </xf>
    <xf numFmtId="3" fontId="15" fillId="6" borderId="2" xfId="5" applyNumberFormat="1" applyFont="1" applyFill="1" applyAlignment="1">
      <alignment horizontal="left"/>
    </xf>
    <xf numFmtId="0" fontId="15" fillId="6" borderId="2" xfId="5" applyFont="1" applyFill="1" applyAlignment="1">
      <alignment horizontal="left"/>
    </xf>
    <xf numFmtId="3" fontId="15" fillId="4" borderId="2" xfId="0" applyNumberFormat="1" applyFont="1" applyFill="1" applyBorder="1" applyAlignment="1">
      <alignment horizontal="left"/>
    </xf>
    <xf numFmtId="3" fontId="4" fillId="6" borderId="2" xfId="5" applyNumberFormat="1" applyFont="1" applyFill="1" applyAlignment="1">
      <alignment horizontal="left"/>
    </xf>
    <xf numFmtId="3" fontId="4" fillId="6" borderId="3" xfId="5" applyNumberFormat="1" applyFont="1" applyFill="1" applyBorder="1" applyAlignment="1">
      <alignment horizontal="left"/>
    </xf>
    <xf numFmtId="3" fontId="4" fillId="4" borderId="2" xfId="0" applyNumberFormat="1" applyFont="1" applyFill="1" applyBorder="1" applyAlignment="1">
      <alignment horizontal="left"/>
    </xf>
    <xf numFmtId="14" fontId="4" fillId="13" borderId="2" xfId="5" applyNumberFormat="1" applyFont="1" applyFill="1" applyAlignment="1">
      <alignment horizontal="left"/>
    </xf>
    <xf numFmtId="0" fontId="4" fillId="13" borderId="0" xfId="0" applyFont="1" applyFill="1" applyAlignment="1">
      <alignment horizontal="left"/>
    </xf>
    <xf numFmtId="10" fontId="4" fillId="5" borderId="2" xfId="5" applyNumberFormat="1" applyFont="1" applyFill="1" applyAlignment="1">
      <alignment horizontal="left"/>
    </xf>
    <xf numFmtId="0" fontId="8" fillId="4" borderId="2" xfId="5" applyFont="1" applyFill="1" applyAlignment="1">
      <alignment horizontal="left" wrapText="1"/>
    </xf>
    <xf numFmtId="0" fontId="28" fillId="4" borderId="0" xfId="0" applyFont="1" applyFill="1" applyAlignment="1">
      <alignment horizontal="left"/>
    </xf>
    <xf numFmtId="0" fontId="19" fillId="5" borderId="0" xfId="0" applyFont="1" applyFill="1" applyAlignment="1">
      <alignment horizontal="left"/>
    </xf>
    <xf numFmtId="0" fontId="29" fillId="4" borderId="0" xfId="0" applyFont="1" applyFill="1" applyAlignment="1">
      <alignment horizontal="left"/>
    </xf>
    <xf numFmtId="0" fontId="30" fillId="4" borderId="0" xfId="0" applyFont="1" applyFill="1" applyAlignment="1">
      <alignment horizontal="left"/>
    </xf>
    <xf numFmtId="0" fontId="21" fillId="4" borderId="0" xfId="0" applyFont="1" applyFill="1" applyAlignment="1">
      <alignment horizontal="left"/>
    </xf>
    <xf numFmtId="0" fontId="31" fillId="4" borderId="0" xfId="0" applyFont="1" applyFill="1" applyAlignment="1">
      <alignment horizontal="left"/>
    </xf>
    <xf numFmtId="0" fontId="18" fillId="10" borderId="0" xfId="0" applyFont="1" applyFill="1" applyAlignment="1">
      <alignment horizontal="left"/>
    </xf>
    <xf numFmtId="0" fontId="4" fillId="7" borderId="0" xfId="0" applyFont="1" applyFill="1" applyAlignment="1">
      <alignment horizontal="left"/>
    </xf>
    <xf numFmtId="0" fontId="4" fillId="5" borderId="0" xfId="0" applyFont="1" applyFill="1" applyAlignment="1">
      <alignment horizontal="left"/>
    </xf>
    <xf numFmtId="0" fontId="21" fillId="10" borderId="0" xfId="0" applyFont="1" applyFill="1" applyAlignment="1">
      <alignment horizontal="left"/>
    </xf>
    <xf numFmtId="0" fontId="18" fillId="11" borderId="0" xfId="0" applyFont="1" applyFill="1" applyAlignment="1">
      <alignment horizontal="left"/>
    </xf>
    <xf numFmtId="0" fontId="18" fillId="4" borderId="0" xfId="0" applyFont="1" applyFill="1" applyAlignment="1">
      <alignment horizontal="left"/>
    </xf>
    <xf numFmtId="0" fontId="25" fillId="4" borderId="0" xfId="0" applyFont="1" applyFill="1" applyAlignment="1">
      <alignment horizontal="left"/>
    </xf>
    <xf numFmtId="0" fontId="11" fillId="13" borderId="0" xfId="0" applyFont="1" applyFill="1" applyAlignment="1">
      <alignment horizontal="left"/>
    </xf>
    <xf numFmtId="0" fontId="6" fillId="13" borderId="0" xfId="0" applyFont="1" applyFill="1" applyAlignment="1">
      <alignment horizontal="left"/>
    </xf>
    <xf numFmtId="0" fontId="8" fillId="10" borderId="2" xfId="5" applyFont="1" applyFill="1" applyAlignment="1">
      <alignment horizontal="left"/>
    </xf>
    <xf numFmtId="9" fontId="4" fillId="9" borderId="2" xfId="5" applyNumberFormat="1" applyFont="1" applyFill="1" applyAlignment="1">
      <alignment horizontal="left"/>
    </xf>
    <xf numFmtId="9" fontId="4" fillId="4" borderId="2" xfId="5" applyNumberFormat="1" applyFont="1" applyFill="1" applyAlignment="1">
      <alignment horizontal="left" vertical="center" wrapText="1"/>
    </xf>
    <xf numFmtId="0" fontId="4" fillId="4" borderId="13" xfId="5" applyFont="1" applyFill="1" applyBorder="1" applyAlignment="1">
      <alignment horizontal="left"/>
    </xf>
    <xf numFmtId="0" fontId="4" fillId="4" borderId="14" xfId="5" applyFont="1" applyFill="1" applyBorder="1" applyAlignment="1">
      <alignment horizontal="left"/>
    </xf>
    <xf numFmtId="0" fontId="4" fillId="4" borderId="0" xfId="0" applyFont="1" applyFill="1" applyAlignment="1">
      <alignment horizontal="left"/>
    </xf>
    <xf numFmtId="10" fontId="4" fillId="4" borderId="2" xfId="5" applyNumberFormat="1" applyFont="1" applyFill="1" applyAlignment="1">
      <alignment horizontal="left"/>
    </xf>
    <xf numFmtId="0" fontId="11" fillId="13" borderId="2" xfId="5" applyFont="1" applyFill="1" applyAlignment="1">
      <alignment horizontal="left"/>
    </xf>
    <xf numFmtId="0" fontId="8" fillId="4" borderId="2" xfId="0" applyFont="1" applyFill="1" applyBorder="1" applyAlignment="1">
      <alignment horizontal="left"/>
    </xf>
    <xf numFmtId="3" fontId="8" fillId="4" borderId="2" xfId="0" applyNumberFormat="1" applyFont="1" applyFill="1" applyBorder="1" applyAlignment="1">
      <alignment horizontal="left"/>
    </xf>
    <xf numFmtId="2" fontId="8" fillId="4" borderId="2" xfId="0" applyNumberFormat="1" applyFont="1" applyFill="1" applyBorder="1" applyAlignment="1">
      <alignment horizontal="left"/>
    </xf>
    <xf numFmtId="10" fontId="8" fillId="4" borderId="2" xfId="0" applyNumberFormat="1" applyFont="1" applyFill="1" applyBorder="1" applyAlignment="1">
      <alignment horizontal="left"/>
    </xf>
    <xf numFmtId="0" fontId="17" fillId="4" borderId="0" xfId="0" applyFont="1" applyFill="1" applyAlignment="1">
      <alignment horizontal="left" vertical="center"/>
    </xf>
    <xf numFmtId="0" fontId="23" fillId="4" borderId="0" xfId="0" applyFont="1" applyFill="1" applyAlignment="1">
      <alignment horizontal="left" vertical="center"/>
    </xf>
    <xf numFmtId="0" fontId="8" fillId="4" borderId="0" xfId="0" applyFont="1" applyFill="1" applyAlignment="1">
      <alignment horizontal="left" vertical="center" wrapText="1"/>
    </xf>
    <xf numFmtId="0" fontId="24" fillId="4" borderId="0" xfId="0" applyFont="1" applyFill="1" applyAlignment="1">
      <alignment horizontal="left" vertical="center"/>
    </xf>
    <xf numFmtId="0" fontId="17" fillId="4" borderId="2" xfId="5" applyFont="1" applyFill="1" applyAlignment="1">
      <alignment horizontal="left"/>
    </xf>
    <xf numFmtId="0" fontId="17" fillId="10" borderId="2" xfId="5" applyFont="1" applyFill="1" applyAlignment="1">
      <alignment horizontal="left"/>
    </xf>
    <xf numFmtId="0" fontId="6" fillId="13" borderId="2" xfId="5" applyFont="1" applyFill="1" applyAlignment="1">
      <alignment horizontal="left"/>
    </xf>
    <xf numFmtId="2" fontId="18" fillId="10" borderId="2" xfId="5" applyNumberFormat="1" applyFont="1" applyFill="1" applyAlignment="1">
      <alignment horizontal="left"/>
    </xf>
    <xf numFmtId="0" fontId="18" fillId="12" borderId="0" xfId="0" applyFont="1" applyFill="1" applyAlignment="1">
      <alignment horizontal="left"/>
    </xf>
    <xf numFmtId="0" fontId="18" fillId="12" borderId="5" xfId="0" applyFont="1" applyFill="1" applyBorder="1" applyAlignment="1">
      <alignment horizontal="left"/>
    </xf>
    <xf numFmtId="0" fontId="4" fillId="3" borderId="2" xfId="5" applyFont="1" applyAlignment="1">
      <alignment horizontal="left"/>
    </xf>
    <xf numFmtId="0" fontId="10" fillId="4" borderId="2" xfId="5" applyFont="1" applyFill="1" applyAlignment="1">
      <alignment horizontal="left"/>
    </xf>
    <xf numFmtId="0" fontId="11" fillId="7" borderId="2" xfId="5" applyFont="1" applyFill="1" applyAlignment="1">
      <alignment horizontal="left"/>
    </xf>
    <xf numFmtId="0" fontId="0" fillId="13" borderId="2" xfId="5" applyFont="1" applyFill="1" applyAlignment="1">
      <alignment horizontal="left"/>
    </xf>
    <xf numFmtId="0" fontId="0" fillId="0" borderId="0" xfId="0" applyAlignment="1">
      <alignment horizontal="left"/>
    </xf>
    <xf numFmtId="0" fontId="18" fillId="10" borderId="2" xfId="5" applyFont="1" applyFill="1" applyAlignment="1">
      <alignment horizontal="left"/>
    </xf>
    <xf numFmtId="0" fontId="40" fillId="4" borderId="0" xfId="0" applyFont="1" applyFill="1" applyAlignment="1">
      <alignment vertical="center"/>
    </xf>
    <xf numFmtId="0" fontId="11" fillId="4" borderId="0" xfId="0" applyFont="1" applyFill="1"/>
    <xf numFmtId="0" fontId="8" fillId="10" borderId="0" xfId="0" applyFont="1" applyFill="1"/>
    <xf numFmtId="0" fontId="41" fillId="4" borderId="0" xfId="0" applyFont="1" applyFill="1"/>
    <xf numFmtId="0" fontId="0" fillId="4" borderId="0" xfId="0" applyFill="1"/>
    <xf numFmtId="0" fontId="13" fillId="5" borderId="2" xfId="5" applyFont="1" applyFill="1" applyAlignment="1">
      <alignment horizontal="left"/>
    </xf>
    <xf numFmtId="0" fontId="4" fillId="5" borderId="3" xfId="5" applyFont="1" applyFill="1" applyBorder="1" applyAlignment="1">
      <alignment horizontal="left"/>
    </xf>
    <xf numFmtId="10" fontId="20" fillId="4" borderId="2" xfId="5" applyNumberFormat="1" applyFont="1" applyFill="1" applyAlignment="1">
      <alignment horizontal="left"/>
    </xf>
    <xf numFmtId="2" fontId="20" fillId="4" borderId="2" xfId="5" applyNumberFormat="1" applyFont="1" applyFill="1" applyAlignment="1">
      <alignment horizontal="left"/>
    </xf>
    <xf numFmtId="0" fontId="20" fillId="4" borderId="2" xfId="5" applyFont="1" applyFill="1" applyAlignment="1">
      <alignment horizontal="left"/>
    </xf>
    <xf numFmtId="0" fontId="18" fillId="4" borderId="11" xfId="5" applyFont="1" applyFill="1" applyBorder="1" applyAlignment="1">
      <alignment vertical="center" wrapText="1"/>
    </xf>
    <xf numFmtId="3" fontId="18" fillId="4" borderId="2" xfId="5" applyNumberFormat="1" applyFont="1" applyFill="1" applyAlignment="1">
      <alignment horizontal="left" vertical="center" wrapText="1"/>
    </xf>
    <xf numFmtId="3" fontId="18" fillId="4" borderId="12" xfId="5" applyNumberFormat="1" applyFont="1" applyFill="1" applyBorder="1" applyAlignment="1">
      <alignment horizontal="left" vertical="center" wrapText="1"/>
    </xf>
    <xf numFmtId="0" fontId="20" fillId="4" borderId="3" xfId="5" applyFont="1" applyFill="1" applyBorder="1" applyAlignment="1">
      <alignment horizontal="left"/>
    </xf>
    <xf numFmtId="3" fontId="20" fillId="4" borderId="3" xfId="5" applyNumberFormat="1" applyFont="1" applyFill="1" applyBorder="1" applyAlignment="1">
      <alignment horizontal="left"/>
    </xf>
    <xf numFmtId="0" fontId="20" fillId="4" borderId="3" xfId="5" applyFont="1" applyFill="1" applyBorder="1" applyAlignment="1">
      <alignment vertical="top"/>
    </xf>
    <xf numFmtId="0" fontId="18" fillId="4" borderId="3" xfId="5" applyFont="1" applyFill="1" applyBorder="1"/>
    <xf numFmtId="3" fontId="18" fillId="4" borderId="3" xfId="5" applyNumberFormat="1" applyFont="1" applyFill="1" applyBorder="1" applyAlignment="1">
      <alignment horizontal="left"/>
    </xf>
    <xf numFmtId="10" fontId="18" fillId="4" borderId="2" xfId="5" applyNumberFormat="1" applyFont="1" applyFill="1" applyAlignment="1">
      <alignment horizontal="left" wrapText="1"/>
    </xf>
    <xf numFmtId="10" fontId="18" fillId="4" borderId="2" xfId="5" applyNumberFormat="1" applyFont="1" applyFill="1" applyAlignment="1">
      <alignment horizontal="left"/>
    </xf>
    <xf numFmtId="9" fontId="18" fillId="4" borderId="2" xfId="5" applyNumberFormat="1" applyFont="1" applyFill="1" applyAlignment="1">
      <alignment horizontal="left"/>
    </xf>
    <xf numFmtId="2" fontId="18" fillId="4" borderId="2" xfId="5" applyNumberFormat="1" applyFont="1" applyFill="1" applyAlignment="1">
      <alignment horizontal="left" wrapText="1"/>
    </xf>
    <xf numFmtId="0" fontId="18" fillId="4" borderId="2" xfId="5" applyFont="1" applyFill="1" applyAlignment="1">
      <alignment horizontal="left" wrapText="1"/>
    </xf>
    <xf numFmtId="37" fontId="18" fillId="4" borderId="2" xfId="5" applyNumberFormat="1" applyFont="1" applyFill="1" applyAlignment="1">
      <alignment horizontal="left" wrapText="1"/>
    </xf>
    <xf numFmtId="2" fontId="18" fillId="4" borderId="2" xfId="5" applyNumberFormat="1" applyFont="1" applyFill="1" applyAlignment="1">
      <alignment horizontal="left"/>
    </xf>
    <xf numFmtId="39" fontId="18" fillId="4" borderId="2" xfId="5" applyNumberFormat="1" applyFont="1" applyFill="1" applyAlignment="1">
      <alignment horizontal="left"/>
    </xf>
    <xf numFmtId="0" fontId="18" fillId="4" borderId="2" xfId="5" applyNumberFormat="1" applyFont="1" applyFill="1" applyAlignment="1">
      <alignment horizontal="left"/>
    </xf>
    <xf numFmtId="0" fontId="18" fillId="4" borderId="2" xfId="5" applyNumberFormat="1" applyFont="1" applyFill="1" applyAlignment="1">
      <alignment horizontal="left" wrapText="1"/>
    </xf>
    <xf numFmtId="10" fontId="31" fillId="4" borderId="0" xfId="0" applyNumberFormat="1" applyFont="1" applyFill="1" applyAlignment="1">
      <alignment horizontal="left"/>
    </xf>
    <xf numFmtId="9" fontId="31" fillId="4" borderId="0" xfId="0" applyNumberFormat="1" applyFont="1" applyFill="1" applyAlignment="1">
      <alignment horizontal="left"/>
    </xf>
    <xf numFmtId="14" fontId="29" fillId="4" borderId="0" xfId="0" applyNumberFormat="1" applyFont="1" applyFill="1" applyAlignment="1">
      <alignment horizontal="left"/>
    </xf>
    <xf numFmtId="39" fontId="31" fillId="4" borderId="0" xfId="0" applyNumberFormat="1" applyFont="1" applyFill="1" applyAlignment="1">
      <alignment horizontal="left"/>
    </xf>
    <xf numFmtId="169" fontId="31" fillId="4" borderId="0" xfId="0" applyNumberFormat="1" applyFont="1" applyFill="1" applyAlignment="1">
      <alignment horizontal="left"/>
    </xf>
    <xf numFmtId="0" fontId="36" fillId="4" borderId="0" xfId="0" applyFont="1" applyFill="1" applyAlignment="1">
      <alignment horizontal="left"/>
    </xf>
    <xf numFmtId="168" fontId="8" fillId="4" borderId="2" xfId="5" applyNumberFormat="1" applyFont="1" applyFill="1" applyAlignment="1">
      <alignment horizontal="left"/>
    </xf>
    <xf numFmtId="10" fontId="8" fillId="4" borderId="2" xfId="6" applyNumberFormat="1" applyFont="1" applyFill="1" applyBorder="1" applyAlignment="1">
      <alignment horizontal="left"/>
    </xf>
    <xf numFmtId="0" fontId="8" fillId="4" borderId="2" xfId="5" applyNumberFormat="1" applyFont="1" applyFill="1" applyAlignment="1">
      <alignment horizontal="left"/>
    </xf>
    <xf numFmtId="37" fontId="8" fillId="4" borderId="2" xfId="5" applyNumberFormat="1" applyFont="1" applyFill="1" applyAlignment="1">
      <alignment horizontal="left"/>
    </xf>
    <xf numFmtId="0" fontId="8" fillId="4" borderId="2" xfId="5" applyNumberFormat="1" applyFont="1" applyFill="1" applyAlignment="1">
      <alignment horizontal="left" vertical="center" wrapText="1"/>
    </xf>
    <xf numFmtId="3" fontId="8" fillId="4" borderId="2" xfId="5" applyNumberFormat="1" applyFont="1" applyFill="1" applyAlignment="1">
      <alignment horizontal="left"/>
    </xf>
    <xf numFmtId="3" fontId="8" fillId="4" borderId="2" xfId="5" applyNumberFormat="1" applyFont="1" applyFill="1" applyAlignment="1">
      <alignment horizontal="left" vertical="center" wrapText="1"/>
    </xf>
    <xf numFmtId="2" fontId="8" fillId="4" borderId="2" xfId="5" applyNumberFormat="1" applyFont="1" applyFill="1" applyAlignment="1">
      <alignment horizontal="left" vertical="center" wrapText="1"/>
    </xf>
    <xf numFmtId="37" fontId="8" fillId="4" borderId="2" xfId="5" applyNumberFormat="1" applyFont="1" applyFill="1" applyAlignment="1">
      <alignment horizontal="left" vertical="center" wrapText="1"/>
    </xf>
    <xf numFmtId="2" fontId="8" fillId="4" borderId="3" xfId="5" applyNumberFormat="1" applyFont="1" applyFill="1" applyBorder="1" applyAlignment="1">
      <alignment horizontal="left" vertical="center" wrapText="1"/>
    </xf>
    <xf numFmtId="0" fontId="8" fillId="4" borderId="2" xfId="6" applyNumberFormat="1" applyFont="1" applyFill="1" applyBorder="1" applyAlignment="1">
      <alignment horizontal="left"/>
    </xf>
    <xf numFmtId="0" fontId="8" fillId="4" borderId="3" xfId="5" applyFont="1" applyFill="1" applyBorder="1" applyAlignment="1">
      <alignment horizontal="left" vertical="center" wrapText="1"/>
    </xf>
    <xf numFmtId="10" fontId="17" fillId="4" borderId="2" xfId="5" applyNumberFormat="1" applyFont="1" applyFill="1" applyAlignment="1">
      <alignment horizontal="left" vertical="center" readingOrder="1"/>
    </xf>
    <xf numFmtId="0" fontId="17" fillId="4" borderId="2" xfId="5" applyFont="1" applyFill="1" applyAlignment="1">
      <alignment horizontal="left" vertical="center" readingOrder="1"/>
    </xf>
    <xf numFmtId="4" fontId="17" fillId="4" borderId="2" xfId="5" applyNumberFormat="1" applyFont="1" applyFill="1" applyAlignment="1">
      <alignment horizontal="left" vertical="center" indent="1"/>
    </xf>
    <xf numFmtId="10" fontId="17" fillId="4" borderId="2" xfId="5" applyNumberFormat="1" applyFont="1" applyFill="1" applyAlignment="1">
      <alignment horizontal="left" vertical="center" indent="1"/>
    </xf>
    <xf numFmtId="9" fontId="17" fillId="4" borderId="2" xfId="5" applyNumberFormat="1" applyFont="1" applyFill="1" applyAlignment="1">
      <alignment horizontal="left" vertical="center" indent="1"/>
    </xf>
    <xf numFmtId="0" fontId="18" fillId="4" borderId="2" xfId="5" applyFont="1" applyFill="1" applyAlignment="1">
      <alignment vertical="center" wrapText="1"/>
    </xf>
    <xf numFmtId="0" fontId="8" fillId="4" borderId="0" xfId="0" applyFont="1" applyFill="1" applyAlignment="1">
      <alignment wrapText="1"/>
    </xf>
    <xf numFmtId="0" fontId="18" fillId="4" borderId="2" xfId="5" applyFont="1" applyFill="1"/>
    <xf numFmtId="37" fontId="18" fillId="4" borderId="2" xfId="5" applyNumberFormat="1" applyFont="1" applyFill="1" applyAlignment="1">
      <alignment horizontal="left" vertical="top"/>
    </xf>
    <xf numFmtId="1" fontId="4" fillId="6" borderId="2" xfId="5" applyNumberFormat="1" applyFont="1" applyFill="1" applyAlignment="1">
      <alignment horizontal="left"/>
    </xf>
    <xf numFmtId="1" fontId="18" fillId="4" borderId="2" xfId="5" applyNumberFormat="1" applyFont="1" applyFill="1" applyAlignment="1">
      <alignment horizontal="left"/>
    </xf>
    <xf numFmtId="1" fontId="18" fillId="4" borderId="2" xfId="5" applyNumberFormat="1" applyFont="1" applyFill="1" applyAlignment="1">
      <alignment horizontal="left" indent="1"/>
    </xf>
    <xf numFmtId="0" fontId="11" fillId="5" borderId="2" xfId="5" applyFont="1" applyFill="1"/>
    <xf numFmtId="10" fontId="18" fillId="4" borderId="0" xfId="0" applyNumberFormat="1" applyFont="1" applyFill="1"/>
    <xf numFmtId="37" fontId="18" fillId="4" borderId="0" xfId="0" applyNumberFormat="1" applyFont="1" applyFill="1"/>
    <xf numFmtId="0" fontId="18" fillId="4" borderId="0" xfId="0" applyFont="1" applyFill="1" applyAlignment="1">
      <alignment horizontal="right"/>
    </xf>
    <xf numFmtId="0" fontId="18" fillId="4" borderId="0" xfId="0" applyFont="1" applyFill="1" applyAlignment="1">
      <alignment horizontal="center"/>
    </xf>
    <xf numFmtId="9" fontId="18" fillId="4" borderId="0" xfId="0" applyNumberFormat="1" applyFont="1" applyFill="1"/>
    <xf numFmtId="0" fontId="6" fillId="4" borderId="0" xfId="0" applyFont="1" applyFill="1"/>
    <xf numFmtId="1" fontId="18" fillId="4" borderId="0" xfId="0" applyNumberFormat="1" applyFont="1" applyFill="1"/>
    <xf numFmtId="2" fontId="18" fillId="4" borderId="0" xfId="0" applyNumberFormat="1" applyFont="1" applyFill="1"/>
    <xf numFmtId="170" fontId="18" fillId="4" borderId="2" xfId="5" applyNumberFormat="1" applyFont="1" applyFill="1" applyAlignment="1">
      <alignment horizontal="left"/>
    </xf>
    <xf numFmtId="171" fontId="18" fillId="4" borderId="2" xfId="5" applyNumberFormat="1" applyFont="1" applyFill="1" applyAlignment="1">
      <alignment horizontal="left"/>
    </xf>
    <xf numFmtId="0" fontId="8" fillId="4" borderId="2" xfId="5" applyFont="1" applyFill="1" applyAlignment="1">
      <alignment wrapText="1"/>
    </xf>
    <xf numFmtId="0" fontId="33" fillId="4" borderId="0" xfId="0" applyFont="1" applyFill="1"/>
    <xf numFmtId="39" fontId="8" fillId="4" borderId="0" xfId="0" applyNumberFormat="1" applyFont="1" applyFill="1" applyAlignment="1">
      <alignment horizontal="left"/>
    </xf>
    <xf numFmtId="169" fontId="8" fillId="4" borderId="0" xfId="0" applyNumberFormat="1" applyFont="1" applyFill="1" applyAlignment="1">
      <alignment horizontal="left"/>
    </xf>
    <xf numFmtId="0" fontId="35" fillId="4" borderId="0" xfId="0" applyFont="1" applyFill="1" applyAlignment="1">
      <alignment horizontal="center" vertical="center" wrapText="1"/>
    </xf>
    <xf numFmtId="0" fontId="35" fillId="4" borderId="0" xfId="0" applyFont="1" applyFill="1" applyAlignment="1">
      <alignment vertical="center" wrapText="1"/>
    </xf>
    <xf numFmtId="0" fontId="44" fillId="4" borderId="0" xfId="0" applyFont="1" applyFill="1" applyAlignment="1">
      <alignment horizontal="center" vertical="center" wrapText="1"/>
    </xf>
    <xf numFmtId="0" fontId="44" fillId="4" borderId="2" xfId="5" applyFont="1" applyFill="1" applyAlignment="1">
      <alignment horizontal="left"/>
    </xf>
    <xf numFmtId="0" fontId="44" fillId="4" borderId="0" xfId="0" applyFont="1" applyFill="1" applyAlignment="1">
      <alignment vertical="center" wrapText="1"/>
    </xf>
    <xf numFmtId="9" fontId="44" fillId="4" borderId="0" xfId="0" applyNumberFormat="1" applyFont="1" applyFill="1" applyAlignment="1">
      <alignment vertical="center" wrapText="1"/>
    </xf>
    <xf numFmtId="0" fontId="27" fillId="4" borderId="0" xfId="0" applyFont="1" applyFill="1" applyAlignment="1">
      <alignment horizontal="left" vertical="center" wrapText="1"/>
    </xf>
    <xf numFmtId="9" fontId="27" fillId="4" borderId="0" xfId="0" applyNumberFormat="1" applyFont="1" applyFill="1" applyAlignment="1">
      <alignment horizontal="left" vertical="center" wrapText="1"/>
    </xf>
    <xf numFmtId="9" fontId="10" fillId="4" borderId="2" xfId="5" applyNumberFormat="1" applyFont="1" applyFill="1" applyAlignment="1">
      <alignment horizontal="left"/>
    </xf>
    <xf numFmtId="0" fontId="10" fillId="10" borderId="2" xfId="5" applyFont="1" applyFill="1" applyAlignment="1">
      <alignment horizontal="left"/>
    </xf>
    <xf numFmtId="37" fontId="8" fillId="4" borderId="3" xfId="5" applyNumberFormat="1" applyFont="1" applyFill="1" applyBorder="1" applyAlignment="1">
      <alignment horizontal="left"/>
    </xf>
    <xf numFmtId="0" fontId="13" fillId="4" borderId="2" xfId="5" applyFont="1" applyFill="1" applyAlignment="1">
      <alignment horizontal="left"/>
    </xf>
    <xf numFmtId="0" fontId="32" fillId="4" borderId="0" xfId="0" applyFont="1" applyFill="1" applyAlignment="1">
      <alignment horizontal="left"/>
    </xf>
    <xf numFmtId="0" fontId="19" fillId="4" borderId="0" xfId="0" applyFont="1" applyFill="1" applyAlignment="1">
      <alignment horizontal="left"/>
    </xf>
    <xf numFmtId="0" fontId="11" fillId="4" borderId="0" xfId="0" applyFont="1" applyFill="1" applyAlignment="1">
      <alignment horizontal="left"/>
    </xf>
    <xf numFmtId="0" fontId="4" fillId="4" borderId="18" xfId="0" applyFont="1" applyFill="1" applyBorder="1"/>
    <xf numFmtId="0" fontId="22" fillId="4" borderId="0" xfId="0" applyFont="1" applyFill="1"/>
    <xf numFmtId="0" fontId="11" fillId="4" borderId="2" xfId="5" applyFont="1" applyFill="1"/>
    <xf numFmtId="9" fontId="4" fillId="4" borderId="2" xfId="5" applyNumberFormat="1" applyFont="1" applyFill="1" applyAlignment="1">
      <alignment vertical="center" wrapText="1"/>
    </xf>
    <xf numFmtId="0" fontId="6" fillId="4" borderId="0" xfId="0" applyFont="1" applyFill="1" applyAlignment="1">
      <alignment horizontal="left"/>
    </xf>
    <xf numFmtId="2" fontId="4" fillId="4" borderId="2" xfId="5" applyNumberFormat="1" applyFont="1" applyFill="1" applyAlignment="1">
      <alignment horizontal="left"/>
    </xf>
    <xf numFmtId="0" fontId="0" fillId="4" borderId="0" xfId="0" applyFill="1" applyAlignment="1">
      <alignment horizontal="left"/>
    </xf>
    <xf numFmtId="0" fontId="4" fillId="4" borderId="2" xfId="5" applyFont="1" applyFill="1" applyAlignment="1">
      <alignment horizontal="left" readingOrder="1"/>
    </xf>
    <xf numFmtId="0" fontId="6" fillId="4" borderId="2" xfId="5" applyFont="1" applyFill="1"/>
    <xf numFmtId="0" fontId="4" fillId="4" borderId="3" xfId="5" applyFont="1" applyFill="1" applyBorder="1" applyAlignment="1">
      <alignment horizontal="left"/>
    </xf>
    <xf numFmtId="3" fontId="4" fillId="4" borderId="2" xfId="5" applyNumberFormat="1" applyFont="1" applyFill="1" applyAlignment="1">
      <alignment horizontal="left" vertical="center" wrapText="1"/>
    </xf>
    <xf numFmtId="9" fontId="4" fillId="4" borderId="3" xfId="5" applyNumberFormat="1" applyFont="1" applyFill="1" applyBorder="1" applyAlignment="1">
      <alignment horizontal="left" vertical="center" wrapText="1"/>
    </xf>
    <xf numFmtId="0" fontId="45" fillId="4" borderId="2" xfId="5" applyFont="1" applyFill="1" applyAlignment="1">
      <alignment horizontal="left"/>
    </xf>
    <xf numFmtId="10" fontId="4" fillId="4" borderId="3" xfId="5" applyNumberFormat="1" applyFont="1" applyFill="1" applyBorder="1" applyAlignment="1">
      <alignment horizontal="left" vertical="center" wrapText="1"/>
    </xf>
    <xf numFmtId="10" fontId="4" fillId="4" borderId="2" xfId="5" applyNumberFormat="1" applyFont="1" applyFill="1" applyAlignment="1">
      <alignment horizontal="left" vertical="center" wrapText="1"/>
    </xf>
    <xf numFmtId="14" fontId="4" fillId="4" borderId="2" xfId="5" applyNumberFormat="1" applyFont="1" applyFill="1" applyAlignment="1">
      <alignment horizontal="left"/>
    </xf>
    <xf numFmtId="0" fontId="16" fillId="4" borderId="2" xfId="5" applyFont="1" applyFill="1" applyAlignment="1">
      <alignment horizontal="left"/>
    </xf>
    <xf numFmtId="0" fontId="5" fillId="4" borderId="2" xfId="5" applyFont="1" applyFill="1" applyAlignment="1">
      <alignment horizontal="left"/>
    </xf>
    <xf numFmtId="0" fontId="6" fillId="4" borderId="2" xfId="5" applyFont="1" applyFill="1" applyAlignment="1">
      <alignment horizontal="left"/>
    </xf>
    <xf numFmtId="0" fontId="0" fillId="4" borderId="2" xfId="5" applyFont="1" applyFill="1" applyAlignment="1">
      <alignment horizontal="left"/>
    </xf>
    <xf numFmtId="0" fontId="13" fillId="9" borderId="2" xfId="5" applyFont="1" applyFill="1" applyAlignment="1">
      <alignment horizontal="left"/>
    </xf>
    <xf numFmtId="0" fontId="11" fillId="9" borderId="2" xfId="5" applyFont="1" applyFill="1" applyAlignment="1">
      <alignment horizontal="left"/>
    </xf>
    <xf numFmtId="0" fontId="4" fillId="9" borderId="3" xfId="5" applyFont="1" applyFill="1" applyBorder="1" applyAlignment="1">
      <alignment horizontal="left"/>
    </xf>
    <xf numFmtId="0" fontId="8" fillId="4" borderId="0" xfId="0" applyFont="1" applyFill="1" applyAlignment="1">
      <alignment horizontal="center" vertical="center" wrapText="1"/>
    </xf>
    <xf numFmtId="0" fontId="8" fillId="4" borderId="0" xfId="0" applyFont="1" applyFill="1" applyAlignment="1">
      <alignment vertical="center" wrapText="1"/>
    </xf>
    <xf numFmtId="3" fontId="8" fillId="4" borderId="0" xfId="0" applyNumberFormat="1" applyFont="1" applyFill="1"/>
    <xf numFmtId="2" fontId="8" fillId="4" borderId="0" xfId="0" applyNumberFormat="1" applyFont="1" applyFill="1"/>
    <xf numFmtId="1" fontId="8" fillId="4" borderId="0" xfId="0" applyNumberFormat="1" applyFont="1" applyFill="1"/>
    <xf numFmtId="10" fontId="8" fillId="4" borderId="0" xfId="0" applyNumberFormat="1" applyFont="1" applyFill="1"/>
    <xf numFmtId="37" fontId="8" fillId="4" borderId="0" xfId="0" applyNumberFormat="1" applyFont="1" applyFill="1"/>
    <xf numFmtId="0" fontId="46" fillId="4" borderId="0" xfId="0" applyFont="1" applyFill="1"/>
    <xf numFmtId="0" fontId="8" fillId="4" borderId="19" xfId="5" applyFont="1" applyFill="1" applyBorder="1" applyAlignment="1">
      <alignment horizontal="left"/>
    </xf>
    <xf numFmtId="0" fontId="47" fillId="4" borderId="0" xfId="0" applyFont="1" applyFill="1" applyAlignment="1">
      <alignment vertical="center"/>
    </xf>
    <xf numFmtId="0" fontId="47" fillId="4" borderId="0" xfId="0" applyFont="1" applyFill="1"/>
    <xf numFmtId="0" fontId="4" fillId="7" borderId="2" xfId="5" applyFont="1" applyFill="1" applyAlignment="1">
      <alignment horizontal="left" vertical="center" wrapText="1"/>
    </xf>
    <xf numFmtId="0" fontId="4" fillId="7" borderId="0" xfId="0" applyFont="1" applyFill="1"/>
    <xf numFmtId="0" fontId="11" fillId="7" borderId="2" xfId="5" applyFont="1" applyFill="1"/>
    <xf numFmtId="0" fontId="13" fillId="7" borderId="2" xfId="5" applyFont="1" applyFill="1"/>
    <xf numFmtId="0" fontId="9" fillId="7" borderId="2" xfId="5" applyFont="1" applyFill="1"/>
    <xf numFmtId="0" fontId="4" fillId="7" borderId="0" xfId="0" applyFont="1" applyFill="1" applyAlignment="1">
      <alignment vertical="center" wrapText="1"/>
    </xf>
    <xf numFmtId="0" fontId="8" fillId="7" borderId="0" xfId="0" applyFont="1" applyFill="1"/>
    <xf numFmtId="0" fontId="4" fillId="7" borderId="0" xfId="0" applyFont="1" applyFill="1" applyAlignment="1">
      <alignment wrapText="1"/>
    </xf>
    <xf numFmtId="0" fontId="11" fillId="7" borderId="0" xfId="0" applyFont="1" applyFill="1"/>
    <xf numFmtId="0" fontId="4" fillId="7" borderId="0" xfId="0" applyFont="1" applyFill="1" applyAlignment="1">
      <alignment vertical="top"/>
    </xf>
    <xf numFmtId="0" fontId="11" fillId="7" borderId="0" xfId="0" applyFont="1" applyFill="1" applyAlignment="1">
      <alignment horizontal="left" vertical="center" indent="1"/>
    </xf>
    <xf numFmtId="9" fontId="4" fillId="7" borderId="0" xfId="0" applyNumberFormat="1" applyFont="1" applyFill="1"/>
    <xf numFmtId="14" fontId="4" fillId="7" borderId="2" xfId="5" applyNumberFormat="1" applyFont="1" applyFill="1" applyAlignment="1">
      <alignment horizontal="left"/>
    </xf>
    <xf numFmtId="4" fontId="4" fillId="7" borderId="2" xfId="5" applyNumberFormat="1" applyFont="1" applyFill="1" applyAlignment="1">
      <alignment horizontal="left"/>
    </xf>
    <xf numFmtId="0" fontId="4" fillId="7" borderId="2" xfId="5" applyFont="1" applyFill="1" applyAlignment="1">
      <alignment horizontal="left" wrapText="1"/>
    </xf>
    <xf numFmtId="0" fontId="4" fillId="7" borderId="2" xfId="5" quotePrefix="1" applyFont="1" applyFill="1" applyAlignment="1">
      <alignment horizontal="left" wrapText="1"/>
    </xf>
    <xf numFmtId="3" fontId="4" fillId="7" borderId="0" xfId="0" applyNumberFormat="1" applyFont="1" applyFill="1"/>
    <xf numFmtId="10" fontId="4" fillId="7" borderId="0" xfId="0" applyNumberFormat="1" applyFont="1" applyFill="1"/>
    <xf numFmtId="0" fontId="19" fillId="7" borderId="0" xfId="0" applyFont="1" applyFill="1" applyAlignment="1">
      <alignment horizontal="left"/>
    </xf>
    <xf numFmtId="0" fontId="32" fillId="7" borderId="0" xfId="0" applyFont="1" applyFill="1" applyAlignment="1">
      <alignment horizontal="left"/>
    </xf>
    <xf numFmtId="0" fontId="4" fillId="7" borderId="3" xfId="5" applyFont="1" applyFill="1" applyBorder="1" applyAlignment="1">
      <alignment horizontal="left" vertical="center" wrapText="1"/>
    </xf>
    <xf numFmtId="9" fontId="4" fillId="7" borderId="2" xfId="5" applyNumberFormat="1" applyFont="1" applyFill="1" applyAlignment="1">
      <alignment horizontal="left" vertical="center" wrapText="1"/>
    </xf>
    <xf numFmtId="9" fontId="4" fillId="7" borderId="3" xfId="5" applyNumberFormat="1" applyFont="1" applyFill="1" applyBorder="1" applyAlignment="1">
      <alignment horizontal="left" vertical="center" wrapText="1"/>
    </xf>
    <xf numFmtId="0" fontId="4" fillId="7" borderId="11" xfId="5" applyFont="1" applyFill="1" applyBorder="1" applyAlignment="1">
      <alignment horizontal="left"/>
    </xf>
    <xf numFmtId="0" fontId="4" fillId="7" borderId="15" xfId="5" applyFont="1" applyFill="1" applyBorder="1" applyAlignment="1">
      <alignment horizontal="left"/>
    </xf>
    <xf numFmtId="0" fontId="45" fillId="7" borderId="0" xfId="0" applyFont="1" applyFill="1" applyAlignment="1">
      <alignment vertical="center" wrapText="1"/>
    </xf>
    <xf numFmtId="9" fontId="45" fillId="7" borderId="2" xfId="5" applyNumberFormat="1" applyFont="1" applyFill="1" applyAlignment="1">
      <alignment horizontal="left"/>
    </xf>
    <xf numFmtId="0" fontId="45" fillId="7" borderId="2" xfId="5" applyNumberFormat="1" applyFont="1" applyFill="1" applyAlignment="1">
      <alignment horizontal="left"/>
    </xf>
    <xf numFmtId="0" fontId="45" fillId="7" borderId="2" xfId="5" applyFont="1" applyFill="1" applyAlignment="1">
      <alignment horizontal="left"/>
    </xf>
    <xf numFmtId="0" fontId="11" fillId="7" borderId="0" xfId="0" applyFont="1" applyFill="1" applyAlignment="1">
      <alignment horizontal="left"/>
    </xf>
    <xf numFmtId="0" fontId="4" fillId="7" borderId="0" xfId="0" applyFont="1" applyFill="1" applyAlignment="1">
      <alignment horizontal="left" vertical="center" indent="1"/>
    </xf>
    <xf numFmtId="0" fontId="4" fillId="7" borderId="0" xfId="0" applyFont="1" applyFill="1" applyAlignment="1">
      <alignment horizontal="left" vertical="center" wrapText="1"/>
    </xf>
    <xf numFmtId="0" fontId="22" fillId="7" borderId="0" xfId="0" applyFont="1" applyFill="1" applyAlignment="1">
      <alignment horizontal="left" vertical="center" indent="1"/>
    </xf>
    <xf numFmtId="0" fontId="38" fillId="7" borderId="2" xfId="5" applyFont="1" applyFill="1" applyAlignment="1">
      <alignment horizontal="left" vertical="center" readingOrder="1"/>
    </xf>
    <xf numFmtId="0" fontId="42" fillId="7" borderId="0" xfId="0" applyFont="1" applyFill="1" applyAlignment="1">
      <alignment horizontal="left" vertical="center" wrapText="1"/>
    </xf>
    <xf numFmtId="0" fontId="38" fillId="7" borderId="2" xfId="5" applyFont="1" applyFill="1" applyAlignment="1">
      <alignment horizontal="left" vertical="center" indent="1" readingOrder="1"/>
    </xf>
    <xf numFmtId="2" fontId="4" fillId="7" borderId="2" xfId="5" applyNumberFormat="1" applyFont="1" applyFill="1" applyAlignment="1">
      <alignment horizontal="left"/>
    </xf>
    <xf numFmtId="0" fontId="4" fillId="18" borderId="6" xfId="0" applyFont="1" applyFill="1" applyBorder="1" applyAlignment="1">
      <alignment horizontal="left"/>
    </xf>
    <xf numFmtId="0" fontId="4" fillId="19" borderId="8" xfId="0" applyFont="1" applyFill="1" applyBorder="1" applyAlignment="1">
      <alignment horizontal="left"/>
    </xf>
    <xf numFmtId="0" fontId="18" fillId="4" borderId="9" xfId="0" applyFont="1" applyFill="1" applyBorder="1" applyAlignment="1">
      <alignment horizontal="left"/>
    </xf>
    <xf numFmtId="172" fontId="8" fillId="4" borderId="2" xfId="5" applyNumberFormat="1" applyFont="1" applyFill="1" applyAlignment="1">
      <alignment horizontal="left"/>
    </xf>
    <xf numFmtId="0" fontId="0" fillId="20" borderId="0" xfId="0" applyFill="1"/>
    <xf numFmtId="0" fontId="18" fillId="4" borderId="0" xfId="0" applyFont="1" applyFill="1" applyAlignment="1">
      <alignment horizontal="center" vertical="center" wrapText="1"/>
    </xf>
    <xf numFmtId="0" fontId="4" fillId="4" borderId="0" xfId="0" applyFont="1" applyFill="1" applyAlignment="1">
      <alignment horizontal="center" vertical="center" wrapText="1"/>
    </xf>
    <xf numFmtId="2" fontId="18" fillId="4" borderId="0" xfId="0" applyNumberFormat="1" applyFont="1" applyFill="1" applyAlignment="1">
      <alignment horizontal="center" vertical="center" wrapText="1"/>
    </xf>
    <xf numFmtId="2" fontId="4" fillId="13" borderId="0" xfId="0" applyNumberFormat="1" applyFont="1" applyFill="1"/>
    <xf numFmtId="0" fontId="41" fillId="4" borderId="2" xfId="5" applyFont="1" applyFill="1"/>
    <xf numFmtId="10" fontId="18" fillId="4" borderId="2" xfId="5" applyNumberFormat="1" applyFont="1" applyFill="1"/>
    <xf numFmtId="0" fontId="4" fillId="7" borderId="19" xfId="5" applyFont="1" applyFill="1" applyBorder="1"/>
    <xf numFmtId="0" fontId="33" fillId="4" borderId="2" xfId="5" applyFont="1" applyFill="1"/>
    <xf numFmtId="0" fontId="10" fillId="4" borderId="0" xfId="1" applyFont="1" applyFill="1"/>
    <xf numFmtId="2" fontId="10" fillId="4" borderId="2" xfId="5" applyNumberFormat="1" applyFont="1" applyFill="1" applyAlignment="1">
      <alignment horizontal="left"/>
    </xf>
    <xf numFmtId="0" fontId="48" fillId="4" borderId="0" xfId="0" applyFont="1" applyFill="1"/>
    <xf numFmtId="0" fontId="21" fillId="4" borderId="0" xfId="0" applyFont="1" applyFill="1"/>
    <xf numFmtId="0" fontId="49" fillId="7" borderId="0" xfId="0" applyFont="1" applyFill="1"/>
    <xf numFmtId="10" fontId="18" fillId="4" borderId="0" xfId="0" applyNumberFormat="1" applyFont="1" applyFill="1" applyAlignment="1">
      <alignment horizontal="left"/>
    </xf>
    <xf numFmtId="0" fontId="0" fillId="7" borderId="0" xfId="0" applyFill="1"/>
    <xf numFmtId="0" fontId="8" fillId="7" borderId="2" xfId="5" applyFont="1" applyFill="1"/>
    <xf numFmtId="11" fontId="4" fillId="7" borderId="0" xfId="0" applyNumberFormat="1" applyFont="1" applyFill="1"/>
    <xf numFmtId="0" fontId="15" fillId="7" borderId="2" xfId="5" applyFont="1" applyFill="1" applyAlignment="1">
      <alignment wrapText="1"/>
    </xf>
    <xf numFmtId="0" fontId="11" fillId="5" borderId="0" xfId="0" applyFont="1" applyFill="1" applyAlignment="1">
      <alignment horizontal="left"/>
    </xf>
    <xf numFmtId="0" fontId="0" fillId="5" borderId="0" xfId="0" applyFill="1" applyAlignment="1">
      <alignment horizontal="left"/>
    </xf>
    <xf numFmtId="0" fontId="42" fillId="4" borderId="0" xfId="0" applyFont="1" applyFill="1"/>
    <xf numFmtId="0" fontId="42" fillId="4" borderId="0" xfId="0" applyFont="1" applyFill="1" applyAlignment="1">
      <alignment horizontal="left" vertical="center" indent="1"/>
    </xf>
    <xf numFmtId="0" fontId="6" fillId="7" borderId="0" xfId="0" applyFont="1" applyFill="1"/>
    <xf numFmtId="0" fontId="33" fillId="13" borderId="0" xfId="0" applyFont="1" applyFill="1"/>
    <xf numFmtId="0" fontId="6" fillId="5" borderId="2" xfId="5" applyFont="1" applyFill="1"/>
    <xf numFmtId="9" fontId="8" fillId="4" borderId="0" xfId="0" applyNumberFormat="1" applyFont="1" applyFill="1" applyAlignment="1">
      <alignment vertical="center" wrapText="1"/>
    </xf>
    <xf numFmtId="2" fontId="4" fillId="5" borderId="2" xfId="5" applyNumberFormat="1" applyFont="1" applyFill="1"/>
    <xf numFmtId="9" fontId="18" fillId="4" borderId="0" xfId="0" applyNumberFormat="1" applyFont="1" applyFill="1" applyAlignment="1">
      <alignment vertical="center" wrapText="1"/>
    </xf>
    <xf numFmtId="0" fontId="18" fillId="4" borderId="0" xfId="0" applyFont="1" applyFill="1" applyAlignment="1">
      <alignment vertical="center" wrapText="1"/>
    </xf>
    <xf numFmtId="0" fontId="0" fillId="5" borderId="0" xfId="0" applyFill="1"/>
    <xf numFmtId="2" fontId="31" fillId="4" borderId="0" xfId="0" applyNumberFormat="1" applyFont="1" applyFill="1" applyAlignment="1">
      <alignment horizontal="left"/>
    </xf>
    <xf numFmtId="0" fontId="6" fillId="5" borderId="0" xfId="0" applyFont="1" applyFill="1"/>
    <xf numFmtId="0" fontId="50" fillId="13" borderId="2" xfId="5" applyFont="1" applyFill="1"/>
    <xf numFmtId="0" fontId="51" fillId="13" borderId="2" xfId="5" applyFont="1" applyFill="1"/>
    <xf numFmtId="9" fontId="4" fillId="7" borderId="2" xfId="5" applyNumberFormat="1" applyFont="1" applyFill="1"/>
    <xf numFmtId="10" fontId="4" fillId="7" borderId="2" xfId="5" applyNumberFormat="1" applyFont="1" applyFill="1"/>
    <xf numFmtId="2" fontId="4" fillId="4" borderId="0" xfId="0" applyNumberFormat="1" applyFont="1" applyFill="1" applyAlignment="1">
      <alignment horizontal="center" vertical="center" wrapText="1"/>
    </xf>
    <xf numFmtId="2" fontId="4" fillId="4" borderId="0" xfId="0" applyNumberFormat="1" applyFont="1" applyFill="1"/>
    <xf numFmtId="1" fontId="4" fillId="9" borderId="0" xfId="0" applyNumberFormat="1" applyFont="1" applyFill="1" applyAlignment="1">
      <alignment vertical="center" wrapText="1"/>
    </xf>
    <xf numFmtId="2" fontId="4" fillId="9" borderId="0" xfId="0" applyNumberFormat="1" applyFont="1" applyFill="1" applyAlignment="1">
      <alignment vertical="center" wrapText="1"/>
    </xf>
    <xf numFmtId="1" fontId="4" fillId="6" borderId="0" xfId="0" applyNumberFormat="1" applyFont="1" applyFill="1" applyAlignment="1">
      <alignment vertical="center" wrapText="1"/>
    </xf>
    <xf numFmtId="2" fontId="4" fillId="6" borderId="0" xfId="0" applyNumberFormat="1" applyFont="1" applyFill="1" applyAlignment="1">
      <alignment vertical="center" wrapText="1"/>
    </xf>
    <xf numFmtId="10" fontId="4" fillId="17" borderId="0" xfId="0" applyNumberFormat="1" applyFont="1" applyFill="1" applyAlignment="1">
      <alignment vertical="center" wrapText="1"/>
    </xf>
    <xf numFmtId="0" fontId="13" fillId="7" borderId="2" xfId="5" applyNumberFormat="1" applyFont="1" applyFill="1" applyAlignment="1">
      <alignment horizontal="left"/>
    </xf>
    <xf numFmtId="1" fontId="20" fillId="4" borderId="2" xfId="5" applyNumberFormat="1" applyFont="1" applyFill="1" applyAlignment="1">
      <alignment horizontal="left"/>
    </xf>
    <xf numFmtId="0" fontId="13" fillId="13" borderId="2" xfId="5" applyFont="1" applyFill="1"/>
    <xf numFmtId="0" fontId="13" fillId="13" borderId="0" xfId="1" applyFont="1" applyFill="1"/>
    <xf numFmtId="0" fontId="13" fillId="13" borderId="3" xfId="5" applyFont="1" applyFill="1" applyBorder="1"/>
    <xf numFmtId="0" fontId="10" fillId="13" borderId="2" xfId="5" applyFont="1" applyFill="1"/>
    <xf numFmtId="2" fontId="13" fillId="13" borderId="2" xfId="5" applyNumberFormat="1" applyFont="1" applyFill="1"/>
    <xf numFmtId="10" fontId="13" fillId="13" borderId="2" xfId="5" applyNumberFormat="1" applyFont="1" applyFill="1"/>
    <xf numFmtId="0" fontId="13" fillId="13" borderId="2" xfId="5" applyFont="1" applyFill="1" applyAlignment="1">
      <alignment horizontal="left"/>
    </xf>
    <xf numFmtId="0" fontId="15" fillId="13" borderId="2" xfId="5" applyFont="1" applyFill="1"/>
    <xf numFmtId="10" fontId="13" fillId="13" borderId="2" xfId="5" applyNumberFormat="1" applyFont="1" applyFill="1" applyAlignment="1">
      <alignment horizontal="left"/>
    </xf>
    <xf numFmtId="0" fontId="43" fillId="7" borderId="0" xfId="0" applyFont="1" applyFill="1" applyAlignment="1">
      <alignment vertical="center" wrapText="1"/>
    </xf>
    <xf numFmtId="0" fontId="4" fillId="9" borderId="0" xfId="0" applyFont="1" applyFill="1"/>
    <xf numFmtId="0" fontId="4" fillId="9" borderId="0" xfId="0" applyFont="1" applyFill="1" applyAlignment="1">
      <alignment horizontal="left"/>
    </xf>
    <xf numFmtId="0" fontId="32" fillId="9" borderId="0" xfId="0" applyFont="1" applyFill="1" applyAlignment="1">
      <alignment horizontal="left"/>
    </xf>
    <xf numFmtId="0" fontId="32" fillId="5" borderId="0" xfId="0" applyFont="1" applyFill="1" applyAlignment="1">
      <alignment horizontal="left"/>
    </xf>
    <xf numFmtId="0" fontId="45" fillId="5" borderId="2" xfId="5" applyFont="1" applyFill="1" applyAlignment="1">
      <alignment horizontal="left"/>
    </xf>
    <xf numFmtId="0" fontId="45" fillId="17" borderId="2" xfId="5" applyFont="1" applyFill="1" applyAlignment="1">
      <alignment horizontal="left"/>
    </xf>
    <xf numFmtId="0" fontId="45" fillId="9" borderId="2" xfId="5" applyFont="1" applyFill="1" applyAlignment="1">
      <alignment horizontal="left"/>
    </xf>
    <xf numFmtId="0" fontId="18" fillId="9" borderId="2" xfId="5" applyNumberFormat="1" applyFont="1" applyFill="1" applyAlignment="1">
      <alignment horizontal="left"/>
    </xf>
    <xf numFmtId="6" fontId="4" fillId="7" borderId="0" xfId="0" applyNumberFormat="1" applyFont="1" applyFill="1"/>
    <xf numFmtId="9" fontId="4" fillId="4" borderId="2" xfId="5" applyNumberFormat="1" applyFont="1" applyFill="1" applyAlignment="1">
      <alignment horizontal="left"/>
    </xf>
    <xf numFmtId="0" fontId="4" fillId="5" borderId="0" xfId="0" applyFont="1" applyFill="1" applyAlignment="1">
      <alignment horizontal="left" vertical="center" indent="1"/>
    </xf>
    <xf numFmtId="0" fontId="37" fillId="6" borderId="2" xfId="5" applyFont="1" applyFill="1"/>
    <xf numFmtId="1" fontId="8" fillId="6" borderId="0" xfId="0" applyNumberFormat="1" applyFont="1" applyFill="1" applyAlignment="1">
      <alignment horizontal="left"/>
    </xf>
    <xf numFmtId="0" fontId="4" fillId="6" borderId="0" xfId="0" applyFont="1" applyFill="1"/>
    <xf numFmtId="173" fontId="4" fillId="6" borderId="0" xfId="9" applyNumberFormat="1" applyFont="1" applyFill="1" applyAlignment="1">
      <alignment horizontal="left" vertical="top"/>
    </xf>
    <xf numFmtId="173" fontId="4" fillId="6" borderId="0" xfId="0" applyNumberFormat="1" applyFont="1" applyFill="1" applyAlignment="1">
      <alignment horizontal="left" vertical="top"/>
    </xf>
    <xf numFmtId="10" fontId="4" fillId="9" borderId="0" xfId="0" applyNumberFormat="1" applyFont="1" applyFill="1" applyAlignment="1">
      <alignment horizontal="left"/>
    </xf>
    <xf numFmtId="173" fontId="4" fillId="6" borderId="0" xfId="0" applyNumberFormat="1" applyFont="1" applyFill="1" applyAlignment="1">
      <alignment horizontal="left"/>
    </xf>
    <xf numFmtId="6" fontId="4" fillId="6" borderId="0" xfId="0" applyNumberFormat="1" applyFont="1" applyFill="1" applyAlignment="1">
      <alignment horizontal="left"/>
    </xf>
    <xf numFmtId="6" fontId="18" fillId="6" borderId="2" xfId="5" applyNumberFormat="1" applyFont="1" applyFill="1" applyAlignment="1">
      <alignment horizontal="left"/>
    </xf>
    <xf numFmtId="10" fontId="18" fillId="9" borderId="2" xfId="5" applyNumberFormat="1" applyFont="1" applyFill="1" applyAlignment="1">
      <alignment horizontal="left"/>
    </xf>
    <xf numFmtId="10" fontId="4" fillId="9" borderId="0" xfId="0" applyNumberFormat="1" applyFont="1" applyFill="1" applyAlignment="1">
      <alignment horizontal="right"/>
    </xf>
    <xf numFmtId="0" fontId="49" fillId="6" borderId="0" xfId="0" applyFont="1" applyFill="1"/>
    <xf numFmtId="14" fontId="48" fillId="4" borderId="0" xfId="0" applyNumberFormat="1" applyFont="1" applyFill="1"/>
    <xf numFmtId="0" fontId="17" fillId="4" borderId="0" xfId="0" applyFont="1" applyFill="1" applyAlignment="1">
      <alignment horizontal="left"/>
    </xf>
    <xf numFmtId="0" fontId="49" fillId="6" borderId="0" xfId="0" applyFont="1" applyFill="1" applyAlignment="1">
      <alignment horizontal="left"/>
    </xf>
    <xf numFmtId="174" fontId="4" fillId="9" borderId="0" xfId="0" applyNumberFormat="1" applyFont="1" applyFill="1" applyAlignment="1">
      <alignment horizontal="left"/>
    </xf>
    <xf numFmtId="0" fontId="4" fillId="4" borderId="0" xfId="0" applyFont="1" applyFill="1" applyAlignment="1">
      <alignment vertical="top"/>
    </xf>
    <xf numFmtId="174" fontId="4" fillId="9" borderId="0" xfId="0" applyNumberFormat="1" applyFont="1" applyFill="1" applyAlignment="1">
      <alignment horizontal="right"/>
    </xf>
    <xf numFmtId="10" fontId="4" fillId="7" borderId="0" xfId="0" applyNumberFormat="1" applyFont="1" applyFill="1" applyAlignment="1">
      <alignment horizontal="left"/>
    </xf>
    <xf numFmtId="174" fontId="4" fillId="7" borderId="0" xfId="0" applyNumberFormat="1" applyFont="1" applyFill="1" applyAlignment="1">
      <alignment horizontal="left"/>
    </xf>
    <xf numFmtId="0" fontId="0" fillId="4" borderId="2" xfId="5" applyFont="1" applyFill="1"/>
    <xf numFmtId="0" fontId="42" fillId="9" borderId="2" xfId="5" applyFont="1" applyFill="1"/>
    <xf numFmtId="10" fontId="10" fillId="4" borderId="2" xfId="5" applyNumberFormat="1" applyFont="1" applyFill="1"/>
    <xf numFmtId="1" fontId="13" fillId="7" borderId="2" xfId="5" applyNumberFormat="1" applyFont="1" applyFill="1"/>
    <xf numFmtId="37" fontId="13" fillId="7" borderId="2" xfId="5" applyNumberFormat="1" applyFont="1" applyFill="1"/>
    <xf numFmtId="2" fontId="13" fillId="7" borderId="2" xfId="5" applyNumberFormat="1" applyFont="1" applyFill="1"/>
    <xf numFmtId="9" fontId="13" fillId="7" borderId="2" xfId="5" applyNumberFormat="1" applyFont="1" applyFill="1" applyAlignment="1">
      <alignment horizontal="right"/>
    </xf>
    <xf numFmtId="10" fontId="10" fillId="13" borderId="2" xfId="5" applyNumberFormat="1" applyFont="1" applyFill="1"/>
    <xf numFmtId="0" fontId="4" fillId="7" borderId="2" xfId="7" applyFont="1" applyFill="1" applyBorder="1"/>
    <xf numFmtId="173" fontId="4" fillId="7" borderId="0" xfId="0" applyNumberFormat="1" applyFont="1" applyFill="1"/>
    <xf numFmtId="1" fontId="4" fillId="7" borderId="0" xfId="0" applyNumberFormat="1" applyFont="1" applyFill="1"/>
    <xf numFmtId="10" fontId="0" fillId="4" borderId="0" xfId="0" applyNumberFormat="1" applyFill="1"/>
    <xf numFmtId="174" fontId="8" fillId="4" borderId="0" xfId="0" applyNumberFormat="1" applyFont="1" applyFill="1" applyAlignment="1">
      <alignment horizontal="left"/>
    </xf>
    <xf numFmtId="0" fontId="11" fillId="5" borderId="0" xfId="0" applyFont="1" applyFill="1"/>
    <xf numFmtId="9" fontId="4" fillId="13" borderId="0" xfId="0" applyNumberFormat="1" applyFont="1" applyFill="1"/>
    <xf numFmtId="1" fontId="4" fillId="9" borderId="2" xfId="5" applyNumberFormat="1" applyFont="1" applyFill="1" applyAlignment="1">
      <alignment horizontal="left"/>
    </xf>
    <xf numFmtId="1" fontId="9" fillId="6" borderId="2" xfId="5" applyNumberFormat="1" applyFont="1" applyFill="1" applyAlignment="1">
      <alignment horizontal="left" vertical="top" wrapText="1"/>
    </xf>
    <xf numFmtId="1" fontId="9" fillId="6" borderId="2" xfId="5" applyNumberFormat="1" applyFont="1" applyFill="1" applyAlignment="1">
      <alignment horizontal="left" vertical="top"/>
    </xf>
    <xf numFmtId="0" fontId="11" fillId="4" borderId="2" xfId="5" applyFont="1" applyFill="1" applyAlignment="1">
      <alignment horizontal="left"/>
    </xf>
    <xf numFmtId="0" fontId="4" fillId="17" borderId="0" xfId="0" applyFont="1" applyFill="1" applyAlignment="1">
      <alignment vertical="center" wrapText="1"/>
    </xf>
    <xf numFmtId="9" fontId="4" fillId="5" borderId="15" xfId="5" applyNumberFormat="1" applyFont="1" applyFill="1" applyBorder="1" applyAlignment="1">
      <alignment horizontal="left"/>
    </xf>
    <xf numFmtId="9" fontId="4" fillId="5" borderId="3" xfId="5" applyNumberFormat="1" applyFont="1" applyFill="1" applyBorder="1" applyAlignment="1">
      <alignment horizontal="left"/>
    </xf>
    <xf numFmtId="37" fontId="9" fillId="13" borderId="2" xfId="5" applyNumberFormat="1" applyFont="1" applyFill="1" applyAlignment="1">
      <alignment horizontal="left" vertical="top"/>
    </xf>
    <xf numFmtId="37" fontId="0" fillId="20" borderId="0" xfId="0" applyNumberFormat="1" applyFill="1"/>
    <xf numFmtId="2" fontId="4" fillId="6" borderId="0" xfId="0" applyNumberFormat="1" applyFont="1" applyFill="1" applyAlignment="1">
      <alignment horizontal="left"/>
    </xf>
    <xf numFmtId="1" fontId="8" fillId="4" borderId="0" xfId="0" applyNumberFormat="1" applyFont="1" applyFill="1" applyAlignment="1">
      <alignment horizontal="left"/>
    </xf>
    <xf numFmtId="6" fontId="15" fillId="6" borderId="2" xfId="5" applyNumberFormat="1" applyFont="1" applyFill="1" applyAlignment="1">
      <alignment horizontal="left"/>
    </xf>
    <xf numFmtId="1" fontId="15" fillId="6" borderId="2" xfId="5" applyNumberFormat="1" applyFont="1" applyFill="1" applyAlignment="1">
      <alignment horizontal="left"/>
    </xf>
    <xf numFmtId="174" fontId="15" fillId="9" borderId="2" xfId="5" applyNumberFormat="1" applyFont="1" applyFill="1" applyAlignment="1">
      <alignment horizontal="left"/>
    </xf>
    <xf numFmtId="4" fontId="4" fillId="4" borderId="2" xfId="5" applyNumberFormat="1" applyFont="1" applyFill="1" applyAlignment="1">
      <alignment horizontal="left"/>
    </xf>
    <xf numFmtId="4" fontId="4" fillId="13" borderId="2" xfId="5" applyNumberFormat="1" applyFont="1" applyFill="1" applyAlignment="1">
      <alignment horizontal="left"/>
    </xf>
    <xf numFmtId="0" fontId="8" fillId="13" borderId="2" xfId="5" applyFont="1" applyFill="1" applyAlignment="1">
      <alignment horizontal="left"/>
    </xf>
    <xf numFmtId="0" fontId="52" fillId="4" borderId="10" xfId="0" applyFont="1" applyFill="1" applyBorder="1" applyAlignment="1">
      <alignment horizontal="centerContinuous"/>
    </xf>
    <xf numFmtId="0" fontId="8" fillId="4" borderId="9" xfId="0" applyFont="1" applyFill="1" applyBorder="1"/>
    <xf numFmtId="0" fontId="52" fillId="4" borderId="10" xfId="0" applyFont="1" applyFill="1" applyBorder="1" applyAlignment="1">
      <alignment horizontal="center"/>
    </xf>
    <xf numFmtId="0" fontId="34" fillId="4" borderId="0" xfId="0" applyFont="1" applyFill="1"/>
    <xf numFmtId="6" fontId="4" fillId="6" borderId="2" xfId="5" applyNumberFormat="1" applyFont="1" applyFill="1" applyAlignment="1">
      <alignment horizontal="left"/>
    </xf>
    <xf numFmtId="0" fontId="4" fillId="6" borderId="2" xfId="5" applyNumberFormat="1" applyFont="1" applyFill="1" applyAlignment="1">
      <alignment horizontal="left"/>
    </xf>
    <xf numFmtId="168" fontId="4" fillId="6" borderId="2" xfId="5" applyNumberFormat="1" applyFont="1" applyFill="1" applyAlignment="1">
      <alignment horizontal="left"/>
    </xf>
    <xf numFmtId="0" fontId="4" fillId="9" borderId="12" xfId="5" applyFont="1" applyFill="1" applyBorder="1" applyAlignment="1">
      <alignment horizontal="left"/>
    </xf>
    <xf numFmtId="168" fontId="4" fillId="6" borderId="12" xfId="5" applyNumberFormat="1" applyFont="1" applyFill="1" applyBorder="1" applyAlignment="1">
      <alignment horizontal="left"/>
    </xf>
    <xf numFmtId="10" fontId="4" fillId="9" borderId="16" xfId="5" applyNumberFormat="1" applyFont="1" applyFill="1" applyBorder="1" applyAlignment="1">
      <alignment horizontal="left"/>
    </xf>
    <xf numFmtId="1" fontId="32" fillId="6" borderId="0" xfId="0" applyNumberFormat="1" applyFont="1" applyFill="1" applyAlignment="1">
      <alignment horizontal="left"/>
    </xf>
    <xf numFmtId="0" fontId="32" fillId="6" borderId="0" xfId="0" applyFont="1" applyFill="1" applyAlignment="1">
      <alignment horizontal="left"/>
    </xf>
    <xf numFmtId="10" fontId="32" fillId="9" borderId="0" xfId="0" applyNumberFormat="1" applyFont="1" applyFill="1" applyAlignment="1">
      <alignment horizontal="left"/>
    </xf>
    <xf numFmtId="0" fontId="19" fillId="9" borderId="0" xfId="0" applyFont="1" applyFill="1" applyAlignment="1">
      <alignment horizontal="left"/>
    </xf>
    <xf numFmtId="1" fontId="19" fillId="6" borderId="0" xfId="0" applyNumberFormat="1" applyFont="1" applyFill="1" applyAlignment="1">
      <alignment horizontal="left"/>
    </xf>
    <xf numFmtId="10" fontId="19" fillId="9" borderId="0" xfId="0" applyNumberFormat="1" applyFont="1" applyFill="1" applyAlignment="1">
      <alignment horizontal="left"/>
    </xf>
    <xf numFmtId="1" fontId="4" fillId="9" borderId="0" xfId="0" applyNumberFormat="1" applyFont="1" applyFill="1" applyAlignment="1">
      <alignment horizontal="left"/>
    </xf>
    <xf numFmtId="0" fontId="8" fillId="13" borderId="0" xfId="0" applyFont="1" applyFill="1"/>
    <xf numFmtId="1" fontId="4" fillId="9" borderId="0" xfId="0" applyNumberFormat="1" applyFont="1" applyFill="1"/>
    <xf numFmtId="1" fontId="4" fillId="6" borderId="0" xfId="0" applyNumberFormat="1" applyFont="1" applyFill="1"/>
    <xf numFmtId="37" fontId="4" fillId="9" borderId="2" xfId="5" applyNumberFormat="1" applyFont="1" applyFill="1"/>
    <xf numFmtId="37" fontId="4" fillId="9" borderId="0" xfId="0" applyNumberFormat="1" applyFont="1" applyFill="1"/>
    <xf numFmtId="37" fontId="4" fillId="6" borderId="2" xfId="5" applyNumberFormat="1" applyFont="1" applyFill="1"/>
    <xf numFmtId="37" fontId="4" fillId="6" borderId="0" xfId="0" applyNumberFormat="1" applyFont="1" applyFill="1"/>
    <xf numFmtId="0" fontId="18" fillId="13" borderId="0" xfId="0" applyFont="1" applyFill="1"/>
    <xf numFmtId="37" fontId="18" fillId="13" borderId="0" xfId="0" applyNumberFormat="1" applyFont="1" applyFill="1"/>
    <xf numFmtId="9" fontId="11" fillId="7" borderId="0" xfId="0" applyNumberFormat="1" applyFont="1" applyFill="1"/>
    <xf numFmtId="9" fontId="18" fillId="4" borderId="2" xfId="5" applyNumberFormat="1" applyFont="1" applyFill="1"/>
    <xf numFmtId="10" fontId="9" fillId="9" borderId="2" xfId="5" applyNumberFormat="1" applyFont="1" applyFill="1" applyAlignment="1">
      <alignment horizontal="left" vertical="top"/>
    </xf>
    <xf numFmtId="10" fontId="9" fillId="6" borderId="2" xfId="5" applyNumberFormat="1" applyFont="1" applyFill="1" applyAlignment="1">
      <alignment horizontal="left" vertical="top"/>
    </xf>
    <xf numFmtId="9" fontId="18" fillId="13" borderId="0" xfId="0" applyNumberFormat="1" applyFont="1" applyFill="1"/>
    <xf numFmtId="9" fontId="18" fillId="5" borderId="0" xfId="0" applyNumberFormat="1" applyFont="1" applyFill="1"/>
    <xf numFmtId="0" fontId="18" fillId="5" borderId="0" xfId="0" applyFont="1" applyFill="1"/>
    <xf numFmtId="0" fontId="4" fillId="7" borderId="0" xfId="0" applyFont="1" applyFill="1" applyAlignment="1">
      <alignment horizontal="right"/>
    </xf>
    <xf numFmtId="0" fontId="4" fillId="5" borderId="2" xfId="5" applyFont="1" applyFill="1" applyAlignment="1">
      <alignment wrapText="1"/>
    </xf>
    <xf numFmtId="0" fontId="53" fillId="7" borderId="0" xfId="0" applyFont="1" applyFill="1"/>
    <xf numFmtId="0" fontId="53" fillId="7" borderId="0" xfId="0" applyFont="1" applyFill="1" applyAlignment="1">
      <alignment vertical="center"/>
    </xf>
    <xf numFmtId="173" fontId="4" fillId="6" borderId="0" xfId="0" applyNumberFormat="1" applyFont="1" applyFill="1"/>
    <xf numFmtId="10" fontId="4" fillId="9" borderId="0" xfId="0" applyNumberFormat="1" applyFont="1" applyFill="1"/>
    <xf numFmtId="0" fontId="49" fillId="4" borderId="0" xfId="0" applyFont="1" applyFill="1" applyAlignment="1">
      <alignment vertical="center"/>
    </xf>
    <xf numFmtId="0" fontId="4" fillId="4" borderId="0" xfId="0" applyFont="1" applyFill="1" applyAlignment="1">
      <alignment horizontal="left" vertical="center" indent="1"/>
    </xf>
    <xf numFmtId="0" fontId="54" fillId="4" borderId="0" xfId="0" applyFont="1" applyFill="1" applyAlignment="1">
      <alignment vertical="center"/>
    </xf>
    <xf numFmtId="0" fontId="55" fillId="7" borderId="2" xfId="5" applyFont="1" applyFill="1"/>
    <xf numFmtId="0" fontId="43" fillId="9" borderId="2" xfId="5" applyFont="1" applyFill="1" applyAlignment="1">
      <alignment horizontal="left"/>
    </xf>
    <xf numFmtId="0" fontId="55" fillId="9" borderId="2" xfId="5" applyFont="1" applyFill="1"/>
    <xf numFmtId="0" fontId="43" fillId="7" borderId="0" xfId="0" applyFont="1" applyFill="1"/>
    <xf numFmtId="10" fontId="43" fillId="9" borderId="0" xfId="0" applyNumberFormat="1" applyFont="1" applyFill="1" applyAlignment="1">
      <alignment horizontal="left"/>
    </xf>
    <xf numFmtId="0" fontId="13" fillId="6" borderId="2" xfId="5" applyFont="1" applyFill="1"/>
    <xf numFmtId="0" fontId="13" fillId="9" borderId="2" xfId="5" applyFont="1" applyFill="1"/>
    <xf numFmtId="0" fontId="13" fillId="6" borderId="3" xfId="5" applyFont="1" applyFill="1" applyBorder="1"/>
    <xf numFmtId="0" fontId="4" fillId="4" borderId="0" xfId="0" applyFont="1" applyFill="1"/>
    <xf numFmtId="2" fontId="4" fillId="5" borderId="0" xfId="0" applyNumberFormat="1" applyFont="1" applyFill="1"/>
    <xf numFmtId="0" fontId="20" fillId="4" borderId="2" xfId="5" applyFont="1" applyFill="1" applyBorder="1"/>
    <xf numFmtId="175" fontId="20" fillId="4" borderId="2" xfId="8" applyNumberFormat="1" applyFont="1" applyFill="1" applyBorder="1" applyAlignment="1">
      <alignment horizontal="center" vertical="top"/>
    </xf>
    <xf numFmtId="175" fontId="20" fillId="4" borderId="2" xfId="8" applyNumberFormat="1" applyFont="1" applyFill="1" applyBorder="1" applyAlignment="1">
      <alignment horizontal="left" vertical="top"/>
    </xf>
    <xf numFmtId="0" fontId="4" fillId="4" borderId="0" xfId="0" applyFont="1" applyFill="1"/>
    <xf numFmtId="0" fontId="56" fillId="7" borderId="2" xfId="7" applyFont="1" applyFill="1" applyBorder="1"/>
    <xf numFmtId="10" fontId="4" fillId="5" borderId="0" xfId="0" applyNumberFormat="1" applyFont="1" applyFill="1"/>
    <xf numFmtId="17" fontId="4" fillId="5" borderId="0" xfId="0" applyNumberFormat="1" applyFont="1" applyFill="1"/>
    <xf numFmtId="9" fontId="4" fillId="5" borderId="0" xfId="0" applyNumberFormat="1" applyFont="1" applyFill="1"/>
    <xf numFmtId="0" fontId="4" fillId="5" borderId="0" xfId="0" applyFont="1" applyFill="1" applyAlignment="1">
      <alignment horizontal="center" vertical="center" wrapText="1"/>
    </xf>
    <xf numFmtId="0" fontId="4" fillId="5" borderId="0" xfId="0" applyFont="1" applyFill="1" applyAlignment="1">
      <alignment vertical="center" wrapText="1"/>
    </xf>
    <xf numFmtId="10" fontId="18" fillId="4" borderId="0" xfId="0" applyNumberFormat="1" applyFont="1" applyFill="1" applyAlignment="1">
      <alignment vertical="center" wrapText="1"/>
    </xf>
    <xf numFmtId="0" fontId="4" fillId="4" borderId="0" xfId="0" applyFont="1" applyFill="1" applyAlignment="1">
      <alignment vertical="center" wrapText="1"/>
    </xf>
    <xf numFmtId="2" fontId="18" fillId="4" borderId="2" xfId="5" applyNumberFormat="1" applyFont="1" applyFill="1"/>
    <xf numFmtId="10" fontId="15" fillId="7" borderId="2" xfId="5" applyNumberFormat="1" applyFont="1" applyFill="1" applyAlignment="1">
      <alignment horizontal="left"/>
    </xf>
    <xf numFmtId="1" fontId="15" fillId="7" borderId="2" xfId="5" applyNumberFormat="1" applyFont="1" applyFill="1" applyAlignment="1">
      <alignment horizontal="left"/>
    </xf>
    <xf numFmtId="10" fontId="13" fillId="7" borderId="2" xfId="5" applyNumberFormat="1" applyFont="1" applyFill="1"/>
    <xf numFmtId="0" fontId="13" fillId="7" borderId="0" xfId="1" applyFont="1" applyFill="1"/>
    <xf numFmtId="165" fontId="15" fillId="7" borderId="2" xfId="5" applyNumberFormat="1" applyFont="1" applyFill="1" applyAlignment="1">
      <alignment horizontal="left"/>
    </xf>
    <xf numFmtId="165" fontId="15" fillId="7" borderId="2" xfId="8" applyFont="1" applyFill="1" applyBorder="1" applyAlignment="1">
      <alignment horizontal="left"/>
    </xf>
    <xf numFmtId="175" fontId="15" fillId="7" borderId="2" xfId="8" applyNumberFormat="1" applyFont="1" applyFill="1" applyBorder="1" applyAlignment="1">
      <alignment horizontal="left"/>
    </xf>
    <xf numFmtId="2" fontId="15" fillId="7" borderId="2" xfId="5" applyNumberFormat="1" applyFont="1" applyFill="1" applyAlignment="1">
      <alignment horizontal="left"/>
    </xf>
    <xf numFmtId="1" fontId="15" fillId="7" borderId="2" xfId="5" applyNumberFormat="1" applyFont="1" applyFill="1"/>
    <xf numFmtId="6" fontId="15" fillId="7" borderId="2" xfId="5" applyNumberFormat="1" applyFont="1" applyFill="1" applyAlignment="1">
      <alignment horizontal="right"/>
    </xf>
    <xf numFmtId="1" fontId="15" fillId="7" borderId="2" xfId="5" applyNumberFormat="1" applyFont="1" applyFill="1" applyAlignment="1">
      <alignment horizontal="right"/>
    </xf>
    <xf numFmtId="10" fontId="15" fillId="7" borderId="2" xfId="5" applyNumberFormat="1" applyFont="1" applyFill="1" applyAlignment="1">
      <alignment horizontal="right"/>
    </xf>
    <xf numFmtId="10" fontId="13" fillId="7" borderId="0" xfId="1" applyNumberFormat="1" applyFont="1" applyFill="1"/>
    <xf numFmtId="6" fontId="13" fillId="7" borderId="0" xfId="1" applyNumberFormat="1" applyFont="1" applyFill="1"/>
    <xf numFmtId="0" fontId="20" fillId="4" borderId="0" xfId="1" applyFont="1" applyFill="1"/>
    <xf numFmtId="0" fontId="37" fillId="7" borderId="2" xfId="5" applyFont="1" applyFill="1"/>
    <xf numFmtId="174" fontId="13" fillId="7" borderId="0" xfId="1" applyNumberFormat="1" applyFont="1" applyFill="1" applyAlignment="1">
      <alignment horizontal="right"/>
    </xf>
    <xf numFmtId="10" fontId="15" fillId="13" borderId="2" xfId="5" applyNumberFormat="1" applyFont="1" applyFill="1" applyAlignment="1">
      <alignment horizontal="left"/>
    </xf>
    <xf numFmtId="0" fontId="4" fillId="7" borderId="18" xfId="0" applyFont="1" applyFill="1" applyBorder="1" applyAlignment="1">
      <alignment vertical="top" wrapText="1"/>
    </xf>
    <xf numFmtId="0" fontId="4" fillId="7" borderId="18" xfId="0" applyFont="1" applyFill="1" applyBorder="1"/>
    <xf numFmtId="0" fontId="4" fillId="7" borderId="18" xfId="0" applyFont="1" applyFill="1" applyBorder="1" applyAlignment="1">
      <alignment horizontal="left" vertical="top" wrapText="1"/>
    </xf>
    <xf numFmtId="0" fontId="26" fillId="14" borderId="0" xfId="0" applyFont="1" applyFill="1" applyAlignment="1">
      <alignment horizontal="center" vertical="center" wrapText="1"/>
    </xf>
    <xf numFmtId="0" fontId="4" fillId="4" borderId="0" xfId="0" applyFont="1" applyFill="1"/>
    <xf numFmtId="0" fontId="7" fillId="4" borderId="2" xfId="5" applyFont="1" applyFill="1" applyAlignment="1">
      <alignment horizontal="left" vertical="center" readingOrder="1"/>
    </xf>
    <xf numFmtId="0" fontId="8" fillId="13" borderId="2" xfId="5" applyFont="1" applyFill="1"/>
    <xf numFmtId="0" fontId="18" fillId="13" borderId="2" xfId="5" applyFont="1" applyFill="1"/>
    <xf numFmtId="0" fontId="18" fillId="15" borderId="7" xfId="0" applyFont="1" applyFill="1" applyBorder="1" applyAlignment="1">
      <alignment horizontal="left"/>
    </xf>
    <xf numFmtId="0" fontId="18" fillId="16" borderId="4" xfId="0" applyFont="1" applyFill="1" applyBorder="1" applyAlignment="1">
      <alignment horizontal="left"/>
    </xf>
  </cellXfs>
  <cellStyles count="10">
    <cellStyle name="Calculation 2" xfId="4" xr:uid="{F01BBD40-0701-4E05-8AFE-D96A1CF9EEE5}"/>
    <cellStyle name="Comma" xfId="8" builtinId="3"/>
    <cellStyle name="Currency" xfId="9" builtinId="4"/>
    <cellStyle name="Currency 2" xfId="3" xr:uid="{0A8B4605-99FE-46C8-B5F1-93BAEBBB3D3A}"/>
    <cellStyle name="Hyperlink" xfId="7" builtinId="8"/>
    <cellStyle name="Normal" xfId="0" builtinId="0"/>
    <cellStyle name="Normal 3" xfId="1" xr:uid="{1A5E00A7-9058-48D7-AFBF-A9E27695900B}"/>
    <cellStyle name="Note" xfId="5" builtinId="10"/>
    <cellStyle name="Percent" xfId="6" builtinId="5"/>
    <cellStyle name="Percent 2" xfId="2" xr:uid="{07893B8C-3F48-47F8-B3E1-D002FBEFC4BB}"/>
  </cellStyles>
  <dxfs count="503">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border>
    </dxf>
    <dxf>
      <font>
        <b/>
        <i val="0"/>
        <strike val="0"/>
        <condense val="0"/>
        <extend val="0"/>
        <outline val="0"/>
        <shadow val="0"/>
        <u val="none"/>
        <vertAlign val="baseline"/>
        <sz val="11"/>
        <color theme="1"/>
        <name val="Bold"/>
        <scheme val="none"/>
      </font>
      <numFmt numFmtId="2" formatCode="0.00"/>
      <alignment horizontal="left" textRotation="0" indent="0" justifyLastLine="0" shrinkToFit="0" readingOrder="0"/>
      <border outline="0">
        <left style="thin">
          <color rgb="FFB2B2B2"/>
        </lef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right style="thin">
          <color rgb="FFB2B2B2"/>
        </right>
      </border>
    </dxf>
    <dxf>
      <font>
        <b/>
        <i val="0"/>
        <strike val="0"/>
        <condense val="0"/>
        <extend val="0"/>
        <outline val="0"/>
        <shadow val="0"/>
        <u val="none"/>
        <vertAlign val="baseline"/>
        <sz val="11"/>
        <color theme="1"/>
        <name val="Bold"/>
        <scheme val="none"/>
      </font>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2"/>
        <name val="Bold"/>
        <scheme val="none"/>
      </font>
      <numFmt numFmtId="2" formatCode="0.00"/>
      <fill>
        <patternFill patternType="solid">
          <fgColor indexed="64"/>
          <bgColor theme="1"/>
        </patternFill>
      </fill>
      <alignment horizontal="left" textRotation="0" indent="0" justifyLastLine="0" shrinkToFit="0" readingOrder="0"/>
      <border outline="0">
        <right style="thin">
          <color rgb="FFB2B2B2"/>
        </right>
      </border>
    </dxf>
    <dxf>
      <font>
        <b/>
        <i val="0"/>
        <strike val="0"/>
        <condense val="0"/>
        <extend val="0"/>
        <outline val="0"/>
        <shadow val="0"/>
        <u val="none"/>
        <vertAlign val="baseline"/>
        <sz val="11"/>
        <color theme="1"/>
        <name val="Bold"/>
        <scheme val="none"/>
      </font>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vertical="bottom" textRotation="0" wrapText="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vertical="bottom" textRotation="0" wrapText="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vertical="bottom" textRotation="0" wrapText="0" indent="0" justifyLastLine="0" shrinkToFit="0" readingOrder="0"/>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vertical="bottom" textRotation="0" wrapText="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vertical="bottom" textRotation="0" wrapText="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border outline="0">
        <left style="thin">
          <color rgb="FFB2B2B2"/>
        </left>
      </border>
    </dxf>
    <dxf>
      <font>
        <strike val="0"/>
        <outline val="0"/>
        <shadow val="0"/>
        <u val="none"/>
        <vertAlign val="baseline"/>
        <name val="Bold"/>
        <scheme val="none"/>
      </font>
      <fill>
        <patternFill patternType="solid">
          <fgColor indexed="64"/>
          <bgColor theme="1"/>
        </patternFill>
      </fill>
      <alignment horizontal="left" vertical="bottom" textRotation="0" wrapText="0" indent="0" justifyLastLine="0" shrinkToFit="0" readingOrder="0"/>
      <border outline="0">
        <left style="thin">
          <color rgb="FFB2B2B2"/>
        </left>
      </border>
    </dxf>
    <dxf>
      <font>
        <strike val="0"/>
        <outline val="0"/>
        <shadow val="0"/>
        <u val="none"/>
        <vertAlign val="baseline"/>
        <name val="Bold"/>
        <scheme val="none"/>
      </font>
      <fill>
        <patternFill patternType="solid">
          <fgColor indexed="64"/>
          <bgColor theme="1"/>
        </patternFill>
      </fill>
      <alignment horizontal="left" vertical="bottom" textRotation="0" wrapText="0" indent="0" justifyLastLine="0" shrinkToFit="0" readingOrder="0"/>
      <border outline="0">
        <right style="thin">
          <color rgb="FFB2B2B2"/>
        </right>
      </border>
    </dxf>
    <dxf>
      <font>
        <strike val="0"/>
        <outline val="0"/>
        <shadow val="0"/>
        <u val="none"/>
        <vertAlign val="baseline"/>
        <name val="Bold"/>
        <scheme val="none"/>
      </font>
      <alignment horizontal="left" vertical="bottom" textRotation="0" wrapText="0" indent="0" justifyLastLine="0" shrinkToFit="0" readingOrder="0"/>
      <border outline="0">
        <right style="thin">
          <color rgb="FFB2B2B2"/>
        </right>
      </border>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strike val="0"/>
        <outline val="0"/>
        <shadow val="0"/>
        <u val="none"/>
        <vertAlign val="baseline"/>
        <name val="Bold"/>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i val="0"/>
        <strike val="0"/>
        <condense val="0"/>
        <extend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alignment horizontal="left" textRotation="0" justifyLastLine="0" shrinkToFit="0" readingOrder="0"/>
      <border outline="0">
        <left style="thin">
          <color rgb="FFB2B2B2"/>
        </lef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numFmt numFmtId="0" formatCode="General"/>
      <fill>
        <patternFill patternType="solid">
          <fgColor indexed="64"/>
          <bgColor theme="1"/>
        </patternFill>
      </fill>
      <alignment horizontal="left" textRotation="0" justifyLastLine="0" shrinkToFit="0" readingOrder="0"/>
      <border outline="0">
        <right style="thin">
          <color rgb="FFB2B2B2"/>
        </right>
      </border>
    </dxf>
    <dxf>
      <font>
        <b/>
        <i val="0"/>
        <strike val="0"/>
        <condense val="0"/>
        <extend val="0"/>
        <outline val="0"/>
        <shadow val="0"/>
        <u val="none"/>
        <vertAlign val="baseline"/>
        <sz val="11"/>
        <color theme="0"/>
        <name val="Bold"/>
        <scheme val="none"/>
      </font>
      <numFmt numFmtId="14"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14" formatCode="0.00%"/>
      <fill>
        <patternFill patternType="solid">
          <fgColor indexed="64"/>
          <bgColor theme="1"/>
        </patternFill>
      </fill>
      <alignment horizontal="left" vertical="bottom"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14"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14" formatCode="0.00%"/>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14"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14" formatCode="0.00%"/>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2"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2" formatCode="0.00"/>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2"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2" formatCode="0.00"/>
      <fill>
        <patternFill patternType="solid">
          <fgColor indexed="64"/>
          <bgColor theme="1"/>
        </patternFill>
      </fill>
      <alignment horizontal="left" vertical="bottom"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2"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2" formatCode="0.00"/>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2" formatCode="0.0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numFmt numFmtId="2" formatCode="0.00"/>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alignment horizontal="left" textRotation="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F0"/>
        </patternFill>
      </fill>
      <alignment horizontal="left" textRotation="0" justifyLastLine="0" shrinkToFit="0" readingOrder="0"/>
      <border outline="0">
        <right style="thin">
          <color rgb="FFB2B2B2"/>
        </right>
      </border>
    </dxf>
    <dxf>
      <font>
        <b/>
        <strike val="0"/>
        <outline val="0"/>
        <shadow val="0"/>
        <u val="none"/>
        <vertAlign val="baseline"/>
        <sz val="11"/>
        <name val="Bold"/>
        <scheme val="none"/>
      </font>
      <alignment horizontal="left" textRotation="0" justifyLastLine="0" shrinkToFit="0" readingOrder="0"/>
    </dxf>
    <dxf>
      <font>
        <b/>
        <strike val="0"/>
        <outline val="0"/>
        <shadow val="0"/>
        <u val="none"/>
        <vertAlign val="baseline"/>
        <sz val="11"/>
        <color theme="1"/>
        <name val="Bold"/>
        <scheme val="none"/>
      </font>
      <alignment horizontal="left" textRotation="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border outline="0">
        <left style="thin">
          <color rgb="FFB2B2B2"/>
        </left>
      </border>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left" textRotation="0" indent="0" justifyLastLine="0" shrinkToFit="0" readingOrder="0"/>
      <border diagonalUp="0" diagonalDown="0" outline="0">
        <left/>
        <right style="thin">
          <color rgb="FFB2B2B2"/>
        </right>
        <top style="thin">
          <color rgb="FFB2B2B2"/>
        </top>
        <bottom style="thin">
          <color rgb="FFB2B2B2"/>
        </bottom>
      </border>
    </dxf>
    <dxf>
      <border outline="0">
        <top style="thin">
          <color rgb="FFB2B2B2"/>
        </top>
      </border>
    </dxf>
    <dxf>
      <border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alignment horizontal="left" textRotation="0" indent="0" justifyLastLine="0" shrinkToFit="0" readingOrder="0"/>
    </dxf>
    <dxf>
      <border outline="0">
        <bottom style="thin">
          <color rgb="FFB2B2B2"/>
        </bottom>
      </border>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0"/>
        <name val="Bold"/>
        <scheme val="none"/>
      </font>
      <fill>
        <patternFill patternType="solid">
          <fgColor indexed="64"/>
          <bgColor theme="1"/>
        </patternFill>
      </fill>
      <alignment horizontal="left" textRotation="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00B0F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0"/>
        <name val="Bold"/>
        <scheme val="none"/>
      </font>
      <numFmt numFmtId="13" formatCode="0%"/>
      <fill>
        <patternFill patternType="solid">
          <fgColor indexed="64"/>
          <bgColor theme="1"/>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color theme="0"/>
        <name val="Bold"/>
        <scheme val="none"/>
      </font>
      <numFmt numFmtId="13" formatCode="0%"/>
      <fill>
        <patternFill patternType="solid">
          <fgColor indexed="64"/>
          <bgColor theme="1"/>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0"/>
        <name val="Bold"/>
        <scheme val="none"/>
      </font>
      <numFmt numFmtId="13" formatCode="0%"/>
      <fill>
        <patternFill patternType="solid">
          <fgColor indexed="64"/>
          <bgColor theme="1"/>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0"/>
        <name val="Bold"/>
        <scheme val="none"/>
      </font>
      <numFmt numFmtId="13" formatCode="0%"/>
      <fill>
        <patternFill patternType="solid">
          <fgColor indexed="64"/>
          <bgColor theme="1"/>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left" vertical="center" textRotation="0" wrapText="1" indent="0" justifyLastLine="0" shrinkToFit="0" readingOrder="0"/>
    </dxf>
    <dxf>
      <font>
        <b/>
        <strike val="0"/>
        <outline val="0"/>
        <shadow val="0"/>
        <u val="none"/>
        <vertAlign val="baseline"/>
        <sz val="11"/>
        <color theme="1"/>
        <name val="Bold"/>
        <scheme val="none"/>
      </font>
      <numFmt numFmtId="13" formatCode="0%"/>
      <alignment horizontal="left" vertical="center" textRotation="0" wrapText="1" indent="0" justifyLastLine="0" shrinkToFit="0" readingOrder="0"/>
    </dxf>
    <dxf>
      <font>
        <b/>
        <strike val="0"/>
        <outline val="0"/>
        <shadow val="0"/>
        <u val="none"/>
        <vertAlign val="baseline"/>
        <sz val="11"/>
        <color theme="1"/>
        <name val="Bold"/>
        <scheme val="none"/>
      </font>
      <numFmt numFmtId="13" formatCode="0%"/>
      <alignment horizontal="left" vertical="center" textRotation="0" wrapText="1" indent="0" justifyLastLine="0" shrinkToFit="0" readingOrder="0"/>
    </dxf>
    <dxf>
      <font>
        <b/>
        <strike val="0"/>
        <outline val="0"/>
        <shadow val="0"/>
        <u val="none"/>
        <vertAlign val="baseline"/>
        <sz val="11"/>
        <color theme="1"/>
        <name val="Bold"/>
        <scheme val="none"/>
      </font>
      <numFmt numFmtId="13" formatCode="0%"/>
      <alignment horizontal="left" vertical="center" textRotation="0" wrapText="1" indent="0" justifyLastLine="0" shrinkToFit="0" readingOrder="0"/>
    </dxf>
    <dxf>
      <font>
        <b/>
        <strike val="0"/>
        <outline val="0"/>
        <shadow val="0"/>
        <u val="none"/>
        <vertAlign val="baseline"/>
        <sz val="11"/>
        <color theme="1"/>
        <name val="Bold"/>
        <scheme val="none"/>
      </font>
      <numFmt numFmtId="14" formatCode="0.00%"/>
      <alignment horizontal="left" vertical="center" textRotation="0" wrapText="1" indent="0" justifyLastLine="0" shrinkToFit="0" readingOrder="0"/>
    </dxf>
    <dxf>
      <font>
        <b/>
        <strike val="0"/>
        <outline val="0"/>
        <shadow val="0"/>
        <u val="none"/>
        <vertAlign val="baseline"/>
        <sz val="11"/>
        <color theme="1"/>
        <name val="Bold"/>
        <scheme val="none"/>
      </font>
      <numFmt numFmtId="13" formatCode="0%"/>
      <alignment horizontal="left" vertical="center" textRotation="0" wrapText="1" indent="0" justifyLastLine="0" shrinkToFit="0" readingOrder="0"/>
    </dxf>
    <dxf>
      <font>
        <b/>
        <strike val="0"/>
        <outline val="0"/>
        <shadow val="0"/>
        <u val="none"/>
        <vertAlign val="baseline"/>
        <sz val="11"/>
        <color theme="1"/>
        <name val="Bold"/>
        <scheme val="none"/>
      </font>
      <numFmt numFmtId="13" formatCode="0%"/>
      <alignment horizontal="left" vertical="center" textRotation="0" wrapText="1" indent="0" justifyLastLine="0" shrinkToFit="0" readingOrder="0"/>
    </dxf>
    <dxf>
      <font>
        <b/>
        <strike val="0"/>
        <outline val="0"/>
        <shadow val="0"/>
        <u val="none"/>
        <vertAlign val="baseline"/>
        <sz val="11"/>
        <color theme="1"/>
        <name val="Bold"/>
        <scheme val="none"/>
      </font>
      <numFmt numFmtId="13" formatCode="0%"/>
      <alignment horizontal="left" vertical="center" textRotation="0" wrapText="1" indent="0" justifyLastLine="0" shrinkToFit="0" readingOrder="0"/>
    </dxf>
    <dxf>
      <font>
        <b/>
        <strike val="0"/>
        <outline val="0"/>
        <shadow val="0"/>
        <u val="none"/>
        <vertAlign val="baseline"/>
        <sz val="11"/>
        <color theme="1"/>
        <name val="Bold"/>
        <scheme val="none"/>
      </font>
      <alignment horizontal="left" vertical="center" textRotation="0" wrapText="1" indent="0" justifyLastLine="0" shrinkToFit="0" readingOrder="0"/>
    </dxf>
    <dxf>
      <font>
        <b/>
        <strike val="0"/>
        <outline val="0"/>
        <shadow val="0"/>
        <u val="none"/>
        <vertAlign val="baseline"/>
        <sz val="11"/>
        <color theme="1"/>
        <name val="Bold"/>
        <scheme val="none"/>
      </font>
      <alignment horizontal="left"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left"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rgb="FF00B050"/>
        </patternFill>
      </fill>
      <alignment horizontal="left" textRotation="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00B05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left" textRotation="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00B05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left" textRotation="0" indent="0" justifyLastLine="0" shrinkToFit="0" readingOrder="0"/>
      <border outline="0">
        <left style="thin">
          <color rgb="FFB2B2B2"/>
        </left>
      </border>
    </dxf>
    <dxf>
      <font>
        <b/>
        <strike val="0"/>
        <outline val="0"/>
        <shadow val="0"/>
        <u val="none"/>
        <vertAlign val="baseline"/>
        <sz val="11"/>
        <color theme="0"/>
        <name val="Bold"/>
        <scheme val="none"/>
      </font>
      <numFmt numFmtId="10" formatCode="&quot;$&quot;#,##0_);[Red]\(&quot;$&quot;#,##0\)"/>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0"/>
        <name val="Bold"/>
        <scheme val="none"/>
      </font>
      <fill>
        <patternFill patternType="solid">
          <fgColor indexed="64"/>
          <bgColor theme="1"/>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color theme="0"/>
        <name val="Bold"/>
        <scheme val="none"/>
      </font>
      <fill>
        <patternFill patternType="solid">
          <fgColor indexed="64"/>
          <bgColor theme="1"/>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0"/>
        <name val="Bold"/>
        <scheme val="none"/>
      </font>
      <fill>
        <patternFill patternType="solid">
          <fgColor indexed="64"/>
          <bgColor theme="1"/>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0"/>
        <name val="Bold"/>
        <scheme val="none"/>
      </font>
      <numFmt numFmtId="13" formatCode="0%"/>
      <fill>
        <patternFill patternType="solid">
          <fgColor indexed="64"/>
          <bgColor theme="1"/>
        </patternFill>
      </fill>
      <alignment horizontal="left" vertical="center" textRotation="0" wrapText="1" indent="0" justifyLastLine="0" shrinkToFit="0" readingOrder="0"/>
      <border outline="0">
        <right style="thin">
          <color rgb="FFB2B2B2"/>
        </right>
      </border>
    </dxf>
    <dxf>
      <font>
        <b/>
        <strike val="0"/>
        <outline val="0"/>
        <shadow val="0"/>
        <u val="none"/>
        <vertAlign val="baseline"/>
        <sz val="11"/>
        <color theme="0"/>
        <name val="Bold"/>
        <scheme val="none"/>
      </font>
      <numFmt numFmtId="13" formatCode="0%"/>
      <fill>
        <patternFill patternType="solid">
          <fgColor indexed="64"/>
          <bgColor theme="1"/>
        </patternFill>
      </fill>
      <alignment horizontal="left"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3" formatCode="0%"/>
      <fill>
        <patternFill patternType="solid">
          <fgColor indexed="64"/>
          <bgColor theme="1"/>
        </patternFill>
      </fill>
      <alignment horizontal="left" vertical="center" textRotation="0" wrapText="1" indent="0" justifyLastLine="0" shrinkToFit="0" readingOrder="0"/>
    </dxf>
    <dxf>
      <font>
        <b/>
        <strike val="0"/>
        <outline val="0"/>
        <shadow val="0"/>
        <u val="none"/>
        <vertAlign val="baseline"/>
        <sz val="11"/>
        <color theme="1"/>
        <name val="Bold"/>
        <scheme val="none"/>
      </font>
      <numFmt numFmtId="14" formatCode="0.00%"/>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0"/>
        <name val="Bold"/>
        <scheme val="none"/>
      </font>
      <fill>
        <patternFill patternType="solid">
          <fgColor indexed="64"/>
          <bgColor theme="1"/>
        </patternFill>
      </fill>
      <alignment horizontal="left" textRotation="0" indent="0" justifyLastLine="0" shrinkToFit="0" readingOrder="0"/>
      <border outline="0">
        <left style="thin">
          <color rgb="FFB2B2B2"/>
        </left>
      </border>
    </dxf>
    <dxf>
      <font>
        <b/>
        <strike val="0"/>
        <outline val="0"/>
        <shadow val="0"/>
        <u val="none"/>
        <vertAlign val="baseline"/>
        <sz val="11"/>
        <color theme="0"/>
        <name val="Bold"/>
        <scheme val="none"/>
      </font>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0"/>
        <name val="Bold"/>
        <scheme val="none"/>
      </font>
      <fill>
        <patternFill patternType="solid">
          <fgColor indexed="64"/>
          <bgColor theme="1"/>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1"/>
        <name val="Bold"/>
        <scheme val="none"/>
      </font>
      <numFmt numFmtId="2" formatCode="0.00"/>
      <alignment horizontal="left" textRotation="0" indent="0" justifyLastLine="0" shrinkToFit="0" readingOrder="0"/>
    </dxf>
    <dxf>
      <font>
        <b/>
        <i val="0"/>
        <strike val="0"/>
        <condense val="0"/>
        <extend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FF0000"/>
        </patternFill>
      </fill>
      <alignment horizontal="left" textRotation="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alignment horizontal="left" textRotation="0" indent="0" justifyLastLine="0" shrinkToFit="0" readingOrder="0"/>
      <border outline="0">
        <left style="thin">
          <color rgb="FFB2B2B2"/>
        </left>
      </border>
    </dxf>
    <dxf>
      <font>
        <b/>
        <strike val="0"/>
        <outline val="0"/>
        <shadow val="0"/>
        <u val="none"/>
        <vertAlign val="baseline"/>
        <sz val="11"/>
        <color theme="0"/>
        <name val="Bold"/>
        <scheme val="none"/>
      </font>
      <numFmt numFmtId="168" formatCode="&quot;$&quot;#,##0.00"/>
      <fill>
        <patternFill patternType="solid">
          <fgColor indexed="64"/>
          <bgColor theme="1"/>
        </patternFill>
      </fill>
      <alignment horizontal="left" textRotation="0"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00B0F0"/>
        </patternFill>
      </fill>
      <alignment horizontal="left" textRotation="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textRotation="0" indent="0" justifyLastLine="0" shrinkToFit="0" readingOrder="0"/>
    </dxf>
    <dxf>
      <font>
        <b/>
        <strike val="0"/>
        <outline val="0"/>
        <shadow val="0"/>
        <u val="none"/>
        <vertAlign val="baseline"/>
        <sz val="11"/>
        <color theme="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numFmt numFmtId="14" formatCode="0.00%"/>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numFmt numFmtId="14" formatCode="0.00%"/>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F0"/>
        </patternFill>
      </fill>
      <alignment horizontal="left" vertical="bottom" textRotation="0" wrapText="0" indent="0" justifyLastLine="0" shrinkToFit="0" readingOrder="0"/>
      <border outline="0">
        <right style="thin">
          <color rgb="FFB2B2B2"/>
        </right>
      </border>
    </dxf>
    <dxf>
      <font>
        <b/>
        <strike val="0"/>
        <outline val="0"/>
        <shadow val="0"/>
        <u val="none"/>
        <vertAlign val="baseline"/>
        <sz val="11"/>
        <name val="Bold"/>
        <scheme val="none"/>
      </font>
      <fill>
        <patternFill patternType="solid">
          <fgColor indexed="64"/>
          <bgColor rgb="FF00B050"/>
        </patternFill>
      </fill>
      <alignment horizontal="left" vertical="bottom" textRotation="0" indent="0" justifyLastLine="0" shrinkToFit="0" readingOrder="0"/>
    </dxf>
    <dxf>
      <font>
        <b/>
        <strike val="0"/>
        <outline val="0"/>
        <shadow val="0"/>
        <u val="none"/>
        <vertAlign val="baseline"/>
        <sz val="11"/>
        <name val="Bold"/>
        <scheme val="none"/>
      </font>
      <alignment horizontal="left" vertical="bottom" textRotation="0" indent="0" justifyLastLine="0" shrinkToFit="0" readingOrder="0"/>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color theme="2"/>
        <name val="Bold"/>
        <scheme val="none"/>
      </font>
      <fill>
        <patternFill patternType="solid">
          <fgColor indexed="64"/>
          <bgColor theme="1"/>
        </patternFill>
      </fill>
      <alignment horizontal="left" vertical="bottom"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left" vertical="bottom"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left" vertical="bottom"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F0"/>
        </patternFill>
      </fill>
      <alignment horizontal="left" vertical="bottom"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left" vertical="bottom" textRotation="0" indent="0" justifyLastLine="0" shrinkToFit="0" readingOrder="0"/>
      <border outline="0">
        <right style="thin">
          <color rgb="FFB2B2B2"/>
        </right>
      </border>
    </dxf>
    <dxf>
      <font>
        <b/>
        <strike val="0"/>
        <outline val="0"/>
        <shadow val="0"/>
        <u val="none"/>
        <vertAlign val="baseline"/>
        <sz val="11"/>
        <name val="Bold"/>
        <scheme val="none"/>
      </font>
      <fill>
        <patternFill patternType="solid">
          <fgColor indexed="64"/>
          <bgColor rgb="FF00B050"/>
        </patternFill>
      </fill>
      <alignment horizontal="left" vertical="bottom" textRotation="0" indent="0" justifyLastLine="0" shrinkToFit="0" readingOrder="0"/>
    </dxf>
    <dxf>
      <font>
        <b/>
        <i val="0"/>
        <strike val="0"/>
        <condense val="0"/>
        <extend val="0"/>
        <outline val="0"/>
        <shadow val="0"/>
        <u val="none"/>
        <vertAlign val="baseline"/>
        <sz val="11"/>
        <color theme="1"/>
        <name val="Bold"/>
        <scheme val="none"/>
      </font>
      <alignment horizontal="left" vertical="bottom" textRotation="0" wrapText="0" indent="0" justifyLastLine="0" shrinkToFit="0" readingOrder="0"/>
    </dxf>
    <dxf>
      <font>
        <b/>
        <strike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outline="0">
        <left style="thin">
          <color rgb="FFB2B2B2"/>
        </left>
      </border>
    </dxf>
    <dxf>
      <font>
        <b/>
        <strike val="0"/>
        <outline val="0"/>
        <shadow val="0"/>
        <u val="none"/>
        <vertAlign val="baseline"/>
        <sz val="11"/>
        <color theme="0"/>
        <name val="Bold"/>
        <scheme val="none"/>
      </font>
      <fill>
        <patternFill patternType="solid">
          <fgColor indexed="64"/>
          <bgColor theme="1"/>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4" formatCode="#,##0.00"/>
      <fill>
        <patternFill patternType="solid">
          <fgColor indexed="64"/>
          <bgColor rgb="FF00B0F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76" formatCode="dd/mm/yyyy"/>
      <fill>
        <patternFill patternType="solid">
          <fgColor indexed="64"/>
          <bgColor rgb="FF00B0F0"/>
        </patternFill>
      </fill>
      <alignment horizontal="left" vertical="bottom" textRotation="0" wrapText="0" indent="0" justifyLastLine="0" shrinkToFit="0" readingOrder="0"/>
      <border outline="0">
        <right style="thin">
          <color rgb="FFB2B2B2"/>
        </right>
      </border>
    </dxf>
    <dxf>
      <font>
        <b/>
        <strike val="0"/>
        <outline val="0"/>
        <shadow val="0"/>
        <u val="none"/>
        <vertAlign val="baseline"/>
        <sz val="11"/>
        <color theme="1"/>
        <name val="Bold"/>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general" vertical="center" textRotation="0" wrapText="1" indent="0" justifyLastLine="0" shrinkToFit="0" readingOrder="0"/>
    </dxf>
    <dxf>
      <font>
        <b/>
        <strike val="0"/>
        <outline val="0"/>
        <shadow val="0"/>
        <u val="none"/>
        <vertAlign val="baseline"/>
        <sz val="11"/>
        <color theme="2"/>
        <name val="Bold"/>
        <scheme val="none"/>
      </font>
      <fill>
        <patternFill patternType="solid">
          <fgColor indexed="64"/>
          <bgColor theme="1"/>
        </patternFill>
      </fill>
      <alignment horizontal="left" vertical="bottom" textRotation="0" wrapText="0" indent="0" justifyLastLine="0" shrinkToFit="0" readingOrder="0"/>
      <border outline="0">
        <left style="thin">
          <color rgb="FFB2B2B2"/>
        </left>
      </border>
    </dxf>
    <dxf>
      <font>
        <b/>
        <strike val="0"/>
        <outline val="0"/>
        <shadow val="0"/>
        <u val="none"/>
        <vertAlign val="baseline"/>
        <color theme="1"/>
        <name val="Bold"/>
        <scheme val="none"/>
      </font>
      <fill>
        <patternFill patternType="solid">
          <fgColor indexed="64"/>
          <bgColor rgb="FF00B0F0"/>
        </patternFill>
      </fill>
      <alignment horizontal="left" vertical="bottom" textRotation="0" wrapText="0" indent="0" justifyLastLine="0" shrinkToFit="0" readingOrder="0"/>
      <border outline="0">
        <right style="thin">
          <color rgb="FFB2B2B2"/>
        </right>
      </border>
    </dxf>
    <dxf>
      <border outline="0">
        <bottom style="thin">
          <color theme="5" tint="0.39997558519241921"/>
        </bottom>
      </border>
    </dxf>
    <dxf>
      <font>
        <b/>
        <strike val="0"/>
        <outline val="0"/>
        <shadow val="0"/>
        <u val="none"/>
        <vertAlign val="baseline"/>
        <color theme="1"/>
        <name val="Bold"/>
        <scheme val="none"/>
      </font>
      <alignment horizontal="left" vertical="bottom" textRotation="0" wrapText="0" indent="0" justifyLastLine="0" shrinkToFit="0" readingOrder="0"/>
    </dxf>
    <dxf>
      <font>
        <b/>
        <strike val="0"/>
        <outline val="0"/>
        <shadow val="0"/>
        <u val="none"/>
        <vertAlign val="baseline"/>
        <color theme="1"/>
        <name val="Bold"/>
        <scheme val="none"/>
      </font>
      <fill>
        <patternFill patternType="solid">
          <fgColor indexed="64"/>
          <bgColor theme="1"/>
        </patternFill>
      </fill>
      <alignment horizontal="left" vertical="bottom" textRotation="0" wrapText="0" indent="0" justifyLastLine="0" shrinkToFit="0" readingOrder="0"/>
    </dxf>
    <dxf>
      <font>
        <b/>
        <strike val="0"/>
        <outline val="0"/>
        <shadow val="0"/>
        <u val="none"/>
        <vertAlign val="baseline"/>
        <sz val="11"/>
        <color theme="2"/>
        <name val="Bold"/>
        <scheme val="none"/>
      </font>
      <numFmt numFmtId="0" formatCode="General"/>
      <fill>
        <patternFill patternType="solid">
          <fgColor indexed="64"/>
          <bgColor theme="1"/>
        </patternFill>
      </fill>
      <alignment horizontal="left" vertical="bottom" textRotation="0" wrapText="0" indent="0" justifyLastLine="0" shrinkToFit="0" readingOrder="0"/>
      <border outline="0">
        <left style="thin">
          <color rgb="FFB2B2B2"/>
        </left>
      </border>
    </dxf>
    <dxf>
      <font>
        <b/>
        <strike val="0"/>
        <outline val="0"/>
        <shadow val="0"/>
        <u val="none"/>
        <vertAlign val="baseline"/>
        <color theme="1"/>
        <name val="Bold"/>
        <scheme val="none"/>
      </font>
      <fill>
        <patternFill patternType="solid">
          <fgColor indexed="64"/>
          <bgColor rgb="FF00B0F0"/>
        </patternFill>
      </fill>
      <alignment horizontal="left" vertical="bottom" textRotation="0" wrapText="0" indent="0" justifyLastLine="0" shrinkToFit="0" readingOrder="0"/>
      <border outline="0">
        <right style="thin">
          <color rgb="FFB2B2B2"/>
        </right>
      </border>
    </dxf>
    <dxf>
      <font>
        <b/>
        <strike val="0"/>
        <outline val="0"/>
        <shadow val="0"/>
        <u val="none"/>
        <vertAlign val="baseline"/>
        <color theme="1"/>
        <name val="Bold"/>
        <scheme val="none"/>
      </font>
      <alignment horizontal="left" vertical="bottom" textRotation="0" wrapText="0" indent="0" justifyLastLine="0" shrinkToFit="0" readingOrder="0"/>
    </dxf>
    <dxf>
      <font>
        <b/>
        <strike val="0"/>
        <outline val="0"/>
        <shadow val="0"/>
        <u val="none"/>
        <vertAlign val="baseline"/>
        <color theme="1"/>
        <name val="Bold"/>
        <scheme val="none"/>
      </font>
      <fill>
        <patternFill patternType="solid">
          <fgColor indexed="64"/>
          <bgColor theme="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50"/>
        </patternFill>
      </fill>
      <border outline="0">
        <left style="thin">
          <color rgb="FFB2B2B2"/>
        </left>
      </border>
    </dxf>
    <dxf>
      <font>
        <b/>
        <i val="0"/>
        <strike val="0"/>
        <condense val="0"/>
        <extend val="0"/>
        <outline val="0"/>
        <shadow val="0"/>
        <u val="none"/>
        <vertAlign val="baseline"/>
        <sz val="11"/>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1"/>
        <color theme="1"/>
        <name val="Bold"/>
        <scheme val="none"/>
      </font>
      <fill>
        <patternFill patternType="solid">
          <fgColor indexed="64"/>
          <bgColor theme="1"/>
        </patternFill>
      </fill>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1"/>
        <color theme="1"/>
        <name val="Bold"/>
        <scheme val="none"/>
      </font>
      <fill>
        <patternFill patternType="solid">
          <fgColor indexed="64"/>
          <bgColor rgb="FF00B0F0"/>
        </patternFill>
      </fill>
      <border outline="0">
        <right style="thin">
          <color rgb="FFB2B2B2"/>
        </right>
      </border>
    </dxf>
    <dxf>
      <font>
        <b/>
      </font>
    </dxf>
    <dxf>
      <font>
        <b/>
        <strike val="0"/>
        <outline val="0"/>
        <shadow val="0"/>
        <u val="none"/>
        <vertAlign val="baseline"/>
        <sz val="11"/>
        <color theme="1"/>
        <name val="Bold"/>
        <scheme val="none"/>
      </font>
    </dxf>
    <dxf>
      <font>
        <b/>
        <strike val="0"/>
        <outline val="0"/>
        <shadow val="0"/>
        <u val="none"/>
        <vertAlign val="baseline"/>
        <sz val="11"/>
        <color theme="1"/>
        <name val="Bold"/>
        <scheme val="none"/>
      </font>
      <fill>
        <patternFill patternType="solid">
          <fgColor indexed="64"/>
          <bgColor theme="1"/>
        </patternFill>
      </fill>
    </dxf>
    <dxf>
      <font>
        <b/>
        <i val="0"/>
        <strike val="0"/>
        <condense val="0"/>
        <extend val="0"/>
        <outline val="0"/>
        <shadow val="0"/>
        <u val="none"/>
        <vertAlign val="baseline"/>
        <sz val="10"/>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0"/>
        <color theme="1"/>
        <name val="Bold"/>
        <scheme val="none"/>
      </font>
      <fill>
        <patternFill patternType="solid">
          <fgColor indexed="64"/>
          <bgColor rgb="FF00B050"/>
        </patternFill>
      </fill>
      <border outline="0">
        <left style="thin">
          <color rgb="FFB2B2B2"/>
        </left>
      </border>
    </dxf>
    <dxf>
      <font>
        <b/>
        <i val="0"/>
        <strike val="0"/>
        <condense val="0"/>
        <extend val="0"/>
        <outline val="0"/>
        <shadow val="0"/>
        <u val="none"/>
        <vertAlign val="baseline"/>
        <sz val="10"/>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0"/>
        <color theme="1"/>
        <name val="Bold"/>
        <scheme val="none"/>
      </font>
      <numFmt numFmtId="3" formatCode="#,##0"/>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0"/>
        <color theme="1"/>
        <name val="Bold"/>
        <scheme val="none"/>
      </font>
      <numFmt numFmtId="3" formatCode="#,##0"/>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0"/>
        <color theme="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theme="1"/>
        <name val="Bold"/>
        <scheme val="none"/>
      </font>
      <numFmt numFmtId="3" formatCode="#,##0"/>
      <fill>
        <patternFill patternType="solid">
          <fgColor indexed="64"/>
          <bgColor theme="1"/>
        </patternFill>
      </fill>
      <alignment horizontal="left"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0"/>
        <color theme="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theme="1"/>
        <name val="Bold"/>
        <scheme val="none"/>
      </font>
      <fill>
        <patternFill patternType="solid">
          <fgColor indexed="64"/>
          <bgColor theme="1"/>
        </patternFill>
      </fill>
      <border diagonalUp="0" diagonalDown="0" outline="0">
        <left style="thin">
          <color rgb="FFB2B2B2"/>
        </left>
        <right style="thin">
          <color rgb="FFB2B2B2"/>
        </right>
        <top style="thin">
          <color rgb="FFB2B2B2"/>
        </top>
        <bottom style="thin">
          <color rgb="FFB2B2B2"/>
        </bottom>
      </border>
    </dxf>
    <dxf>
      <font>
        <b/>
        <strike val="0"/>
        <outline val="0"/>
        <shadow val="0"/>
        <u val="none"/>
        <vertAlign val="baseline"/>
        <sz val="10"/>
        <color theme="1"/>
        <name val="Bold"/>
        <scheme val="none"/>
      </font>
      <fill>
        <patternFill patternType="solid">
          <fgColor indexed="64"/>
          <bgColor rgb="FF00B0F0"/>
        </patternFill>
      </fill>
      <border outline="0">
        <right style="thin">
          <color rgb="FFB2B2B2"/>
        </right>
      </border>
    </dxf>
    <dxf>
      <font>
        <b/>
        <strike val="0"/>
        <outline val="0"/>
        <shadow val="0"/>
        <u val="none"/>
        <vertAlign val="baseline"/>
        <color theme="1"/>
        <name val="Bold"/>
        <scheme val="none"/>
      </font>
      <fill>
        <patternFill patternType="solid">
          <fgColor indexed="64"/>
          <bgColor theme="1"/>
        </patternFill>
      </fill>
    </dxf>
    <dxf>
      <font>
        <b/>
        <strike val="0"/>
        <outline val="0"/>
        <shadow val="0"/>
        <u val="none"/>
        <vertAlign val="baseline"/>
        <sz val="10"/>
        <color theme="1"/>
        <name val="Bold"/>
        <scheme val="none"/>
      </font>
    </dxf>
    <dxf>
      <font>
        <b/>
        <strike val="0"/>
        <outline val="0"/>
        <shadow val="0"/>
        <u val="none"/>
        <vertAlign val="baseline"/>
        <sz val="10"/>
        <color theme="1"/>
        <name val="Bold"/>
        <scheme val="none"/>
      </font>
      <fill>
        <patternFill patternType="solid">
          <fgColor indexed="64"/>
          <bgColor theme="1"/>
        </patternFill>
      </fill>
    </dxf>
    <dxf>
      <font>
        <b/>
        <i val="0"/>
        <strike val="0"/>
        <condense val="0"/>
        <extend val="0"/>
        <outline val="0"/>
        <shadow val="0"/>
        <u val="none"/>
        <vertAlign val="baseline"/>
        <sz val="11"/>
        <color theme="0"/>
        <name val="Bold"/>
        <scheme val="none"/>
      </font>
      <numFmt numFmtId="3" formatCode="#,##0"/>
      <fill>
        <patternFill patternType="solid">
          <fgColor indexed="64"/>
          <bgColor theme="1"/>
        </patternFill>
      </fill>
      <alignment horizontal="left" vertical="center" textRotation="0" wrapText="1" indent="0" justifyLastLine="0" shrinkToFit="0" readingOrder="0"/>
      <border diagonalUp="0" diagonalDown="0"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numFmt numFmtId="3" formatCode="#,##0"/>
      <fill>
        <patternFill patternType="solid">
          <fgColor indexed="64"/>
          <bgColor rgb="FF00B050"/>
        </patternFill>
      </fill>
      <alignment horizontal="general" vertical="center" textRotation="0" wrapText="1" indent="0" justifyLastLine="0" shrinkToFit="0" readingOrder="0"/>
      <border diagonalUp="0" diagonalDown="0" outline="0">
        <left style="thin">
          <color rgb="FFB2B2B2"/>
        </left>
        <right/>
        <top style="thin">
          <color rgb="FFB2B2B2"/>
        </top>
        <bottom style="thin">
          <color rgb="FFB2B2B2"/>
        </bottom>
      </border>
    </dxf>
    <dxf>
      <font>
        <b/>
        <i val="0"/>
        <strike val="0"/>
        <condense val="0"/>
        <extend val="0"/>
        <outline val="0"/>
        <shadow val="0"/>
        <u val="none"/>
        <vertAlign val="baseline"/>
        <sz val="11"/>
        <color theme="0"/>
        <name val="Bold"/>
        <scheme val="none"/>
      </font>
      <numFmt numFmtId="3" formatCode="#,##0"/>
      <fill>
        <patternFill patternType="solid">
          <fgColor indexed="64"/>
          <bgColor theme="1"/>
        </patternFill>
      </fill>
      <alignment horizontal="left" vertical="center" textRotation="0" wrapText="1" indent="0" justifyLastLine="0" shrinkToFit="0" readingOrder="0"/>
      <border diagonalUp="0" diagonalDown="0"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numFmt numFmtId="3" formatCode="#,##0"/>
      <fill>
        <patternFill patternType="solid">
          <fgColor indexed="64"/>
          <bgColor rgb="FF00B050"/>
        </patternFill>
      </fill>
      <alignment horizontal="general" vertical="center" textRotation="0" wrapText="1" indent="0" justifyLastLine="0" shrinkToFit="0" readingOrder="0"/>
      <border outline="0">
        <right style="thin">
          <color rgb="FFB2B2B2"/>
        </right>
      </border>
    </dxf>
    <dxf>
      <font>
        <b/>
        <i val="0"/>
        <strike val="0"/>
        <condense val="0"/>
        <extend val="0"/>
        <outline val="0"/>
        <shadow val="0"/>
        <u val="none"/>
        <vertAlign val="baseline"/>
        <sz val="11"/>
        <color theme="0"/>
        <name val="Bold"/>
        <scheme val="none"/>
      </font>
      <numFmt numFmtId="3" formatCode="#,##0"/>
      <fill>
        <patternFill patternType="solid">
          <fgColor indexed="64"/>
          <bgColor theme="1"/>
        </patternFill>
      </fill>
      <alignment horizontal="left" vertical="center" textRotation="0" wrapText="1" indent="0" justifyLastLine="0" shrinkToFit="0" readingOrder="0"/>
      <border diagonalUp="0" diagonalDown="0"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numFmt numFmtId="3" formatCode="#,##0"/>
      <fill>
        <patternFill patternType="solid">
          <fgColor indexed="64"/>
          <bgColor rgb="FF00B050"/>
        </patternFill>
      </fill>
      <alignment horizontal="general" vertical="center" textRotation="0" wrapText="1" indent="0" justifyLastLine="0" shrinkToFit="0" readingOrder="0"/>
      <border outline="0">
        <right style="thin">
          <color rgb="FFB2B2B2"/>
        </right>
      </border>
    </dxf>
    <dxf>
      <font>
        <b/>
        <i val="0"/>
        <strike val="0"/>
        <condense val="0"/>
        <extend val="0"/>
        <outline val="0"/>
        <shadow val="0"/>
        <u val="none"/>
        <vertAlign val="baseline"/>
        <sz val="11"/>
        <color theme="0"/>
        <name val="Bold"/>
        <scheme val="none"/>
      </font>
      <numFmt numFmtId="3" formatCode="#,##0"/>
      <fill>
        <patternFill patternType="solid">
          <fgColor indexed="64"/>
          <bgColor theme="1"/>
        </patternFill>
      </fill>
      <alignment horizontal="left" vertical="center" textRotation="0" wrapText="1" indent="0" justifyLastLine="0" shrinkToFit="0" readingOrder="0"/>
      <border diagonalUp="0" diagonalDown="0"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numFmt numFmtId="3" formatCode="#,##0"/>
      <fill>
        <patternFill patternType="solid">
          <fgColor indexed="64"/>
          <bgColor rgb="FF00B050"/>
        </patternFill>
      </fill>
      <alignment horizontal="general" vertical="center" textRotation="0" wrapText="1" indent="0" justifyLastLine="0" shrinkToFit="0" readingOrder="0"/>
      <border outline="0">
        <right style="thin">
          <color rgb="FFB2B2B2"/>
        </right>
      </border>
    </dxf>
    <dxf>
      <font>
        <b/>
        <i val="0"/>
        <strike val="0"/>
        <condense val="0"/>
        <extend val="0"/>
        <outline val="0"/>
        <shadow val="0"/>
        <u val="none"/>
        <vertAlign val="baseline"/>
        <sz val="11"/>
        <color theme="0"/>
        <name val="Bold"/>
        <scheme val="none"/>
      </font>
      <numFmt numFmtId="3" formatCode="#,##0"/>
      <fill>
        <patternFill patternType="solid">
          <fgColor indexed="64"/>
          <bgColor theme="1"/>
        </patternFill>
      </fill>
      <alignment horizontal="left" vertical="center" textRotation="0" wrapText="1" indent="0" justifyLastLine="0" shrinkToFit="0" readingOrder="0"/>
      <border diagonalUp="0" diagonalDown="0"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numFmt numFmtId="3" formatCode="#,##0"/>
      <fill>
        <patternFill patternType="solid">
          <fgColor indexed="64"/>
          <bgColor rgb="FF00B050"/>
        </patternFill>
      </fill>
      <alignment horizontal="general" vertical="center"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0"/>
        <name val="Bold"/>
        <scheme val="none"/>
      </font>
      <fill>
        <patternFill patternType="solid">
          <fgColor indexed="64"/>
          <bgColor theme="1"/>
        </patternFill>
      </fill>
      <alignment horizontal="general" vertical="center" textRotation="0" wrapText="1" indent="0" justifyLastLine="0" shrinkToFit="0" readingOrder="0"/>
      <border diagonalUp="0" diagonalDown="0"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diagonalUp="0" diagonalDown="0" outline="0">
        <left/>
        <right style="thin">
          <color rgb="FFB2B2B2"/>
        </right>
        <top style="thin">
          <color rgb="FFB2B2B2"/>
        </top>
        <bottom style="thin">
          <color rgb="FFB2B2B2"/>
        </bottom>
      </border>
    </dxf>
    <dxf>
      <font>
        <b/>
        <strike val="0"/>
        <outline val="0"/>
        <shadow val="0"/>
        <u val="none"/>
        <vertAlign val="baseline"/>
        <sz val="11"/>
        <color theme="0"/>
        <name val="Bold"/>
        <scheme val="none"/>
      </font>
      <fill>
        <patternFill patternType="solid">
          <fgColor indexed="64"/>
          <bgColor theme="1"/>
        </patternFill>
      </fill>
    </dxf>
    <dxf>
      <border outline="0">
        <left style="thin">
          <color rgb="FFB2B2B2"/>
        </left>
        <right style="thin">
          <color rgb="FFB2B2B2"/>
        </right>
        <top style="thin">
          <color rgb="FFB2B2B2"/>
        </top>
        <bottom style="thin">
          <color rgb="FFB2B2B2"/>
        </bottom>
      </border>
    </dxf>
    <dxf>
      <font>
        <b/>
        <i val="0"/>
        <strike val="0"/>
        <condense val="0"/>
        <extend val="0"/>
        <outline val="0"/>
        <shadow val="0"/>
        <u val="none"/>
        <vertAlign val="baseline"/>
        <sz val="11"/>
        <color theme="1"/>
        <name val="Bold"/>
        <scheme val="none"/>
      </font>
      <alignment horizontal="general" vertical="center" textRotation="0" wrapText="1" indent="0" justifyLastLine="0" shrinkToFit="0" readingOrder="0"/>
    </dxf>
    <dxf>
      <border outline="0">
        <bottom style="thin">
          <color rgb="FFB2B2B2"/>
        </bottom>
      </border>
    </dxf>
    <dxf>
      <font>
        <b/>
        <i val="0"/>
        <strike val="0"/>
        <condense val="0"/>
        <extend val="0"/>
        <outline val="0"/>
        <shadow val="0"/>
        <u val="none"/>
        <vertAlign val="baseline"/>
        <sz val="11"/>
        <color theme="0"/>
        <name val="Bold"/>
        <scheme val="none"/>
      </font>
      <fill>
        <patternFill patternType="solid">
          <fgColor indexed="64"/>
          <bgColor theme="1"/>
        </patternFill>
      </fill>
      <border diagonalUp="0" diagonalDown="0" outline="0">
        <left style="thin">
          <color rgb="FFB2B2B2"/>
        </left>
        <right style="thin">
          <color rgb="FFB2B2B2"/>
        </right>
        <top/>
        <bottom/>
      </border>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dxf>
    <dxf>
      <font>
        <b/>
        <strike val="0"/>
        <outline val="0"/>
        <shadow val="0"/>
        <u val="none"/>
        <vertAlign val="baseline"/>
        <sz val="11"/>
        <name val="Bold"/>
        <scheme val="none"/>
      </font>
      <fill>
        <patternFill patternType="solid">
          <fgColor indexed="64"/>
          <bgColor rgb="FF00B0F0"/>
        </patternFill>
      </fill>
      <alignment horizontal="left" vertical="bottom" textRotation="0" wrapText="0" indent="0" justifyLastLine="0" shrinkToFit="0" readingOrder="0"/>
      <border outline="0">
        <right style="thin">
          <color rgb="FFB2B2B2"/>
        </right>
      </border>
    </dxf>
    <dxf>
      <font>
        <b/>
        <strike val="0"/>
        <outline val="0"/>
        <shadow val="0"/>
        <u val="none"/>
        <vertAlign val="baseline"/>
        <sz val="11"/>
        <name val="Bold"/>
        <scheme val="none"/>
      </font>
      <alignment horizontal="left" textRotation="0" indent="0" justifyLastLine="0" shrinkToFit="0" readingOrder="0"/>
    </dxf>
    <dxf>
      <font>
        <b/>
        <strike val="0"/>
        <outline val="0"/>
        <shadow val="0"/>
        <u val="none"/>
        <vertAlign val="baseline"/>
        <sz val="1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name val="Bold"/>
        <scheme val="none"/>
      </font>
      <numFmt numFmtId="13" formatCode="0%"/>
      <fill>
        <patternFill patternType="solid">
          <fgColor indexed="64"/>
          <bgColor rgb="FF00B050"/>
        </patternFill>
      </fill>
      <alignment horizontal="left" vertical="bottom" textRotation="0" wrapText="0" indent="0" justifyLastLine="0" shrinkToFit="0" readingOrder="0"/>
      <border outline="0">
        <left style="thin">
          <color rgb="FFB2B2B2"/>
        </left>
      </border>
    </dxf>
    <dxf>
      <font>
        <b/>
        <strike val="0"/>
        <outline val="0"/>
        <shadow val="0"/>
        <u val="none"/>
        <vertAlign val="baseline"/>
        <sz val="11"/>
        <name val="Bold"/>
        <scheme val="none"/>
      </font>
      <numFmt numFmtId="13" formatCode="0%"/>
      <fill>
        <patternFill patternType="solid">
          <fgColor indexed="64"/>
          <bgColor rgb="FF00B05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numFmt numFmtId="13" formatCode="0%"/>
      <fill>
        <patternFill patternType="solid">
          <fgColor indexed="64"/>
          <bgColor rgb="FF00B05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numFmt numFmtId="13" formatCode="0%"/>
      <fill>
        <patternFill patternType="solid">
          <fgColor indexed="64"/>
          <bgColor rgb="FF00B050"/>
        </patternFill>
      </fill>
      <alignment horizontal="left" vertical="bottom" textRotation="0" wrapText="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numFmt numFmtId="13" formatCode="0%"/>
      <fill>
        <patternFill patternType="solid">
          <fgColor indexed="64"/>
          <bgColor rgb="FF00B050"/>
        </patternFill>
      </fill>
      <alignment horizontal="left" vertical="bottom" textRotation="0" wrapText="0" indent="0" justifyLastLine="0" shrinkToFit="0" readingOrder="0"/>
      <border outline="0">
        <left/>
        <right style="thin">
          <color rgb="FFB2B2B2"/>
        </right>
      </border>
    </dxf>
    <dxf>
      <font>
        <b/>
        <strike val="0"/>
        <outline val="0"/>
        <shadow val="0"/>
        <u val="none"/>
        <vertAlign val="baseline"/>
        <sz val="11"/>
        <name val="Bold"/>
        <scheme val="none"/>
      </font>
      <fill>
        <patternFill patternType="solid">
          <fgColor indexed="64"/>
          <bgColor rgb="FF00B0F0"/>
        </patternFill>
      </fill>
      <border outline="0">
        <right style="thin">
          <color rgb="FFB2B2B2"/>
        </right>
      </border>
    </dxf>
    <dxf>
      <font>
        <b/>
        <strike val="0"/>
        <outline val="0"/>
        <shadow val="0"/>
        <u val="none"/>
        <vertAlign val="baseline"/>
        <sz val="11"/>
        <name val="Bold"/>
        <scheme val="none"/>
      </font>
    </dxf>
    <dxf>
      <font>
        <b/>
        <strike val="0"/>
        <outline val="0"/>
        <shadow val="0"/>
        <u val="none"/>
        <vertAlign val="baseline"/>
        <sz val="11"/>
        <name val="Bold"/>
        <scheme val="none"/>
      </font>
      <fill>
        <patternFill patternType="solid">
          <fgColor indexed="64"/>
          <bgColor theme="1"/>
        </patternFill>
      </fill>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dxf>
    <dxf>
      <font>
        <b/>
        <strike val="0"/>
        <outline val="0"/>
        <shadow val="0"/>
        <u val="none"/>
        <vertAlign val="baseline"/>
        <sz val="11"/>
        <name val="Bold"/>
        <scheme val="none"/>
      </font>
      <fill>
        <patternFill patternType="solid">
          <fgColor indexed="64"/>
          <bgColor rgb="FF00B0F0"/>
        </patternFill>
      </fill>
      <alignment horizontal="left" textRotation="0" indent="0" justifyLastLine="0" shrinkToFit="0" readingOrder="0"/>
      <border outline="0">
        <right style="thin">
          <color rgb="FFB2B2B2"/>
        </right>
      </border>
    </dxf>
    <dxf>
      <font>
        <b/>
        <strike val="0"/>
        <outline val="0"/>
        <shadow val="0"/>
        <u val="none"/>
        <vertAlign val="baseline"/>
        <sz val="11"/>
        <name val="Bold"/>
        <scheme val="none"/>
      </font>
      <alignment horizontal="left" textRotation="0" indent="0" justifyLastLine="0" shrinkToFit="0" readingOrder="0"/>
    </dxf>
    <dxf>
      <font>
        <b/>
        <strike val="0"/>
        <outline val="0"/>
        <shadow val="0"/>
        <u val="none"/>
        <vertAlign val="baseline"/>
        <sz val="11"/>
        <name val="Bold"/>
        <scheme val="none"/>
      </font>
      <fill>
        <patternFill patternType="solid">
          <fgColor indexed="64"/>
          <bgColor theme="1"/>
        </patternFill>
      </fill>
      <alignment horizontal="left" textRotation="0" indent="0" justifyLastLine="0" shrinkToFit="0" readingOrder="0"/>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border outline="0">
        <left style="thin">
          <color rgb="FFB2B2B2"/>
        </left>
      </border>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right style="thin">
          <color rgb="FFB2B2B2"/>
        </right>
      </border>
    </dxf>
    <dxf>
      <font>
        <b/>
        <strike val="0"/>
        <outline val="0"/>
        <shadow val="0"/>
        <u val="none"/>
        <vertAlign val="baseline"/>
        <sz val="11"/>
        <name val="Bold"/>
        <scheme val="none"/>
      </font>
      <fill>
        <patternFill patternType="solid">
          <fgColor indexed="64"/>
          <bgColor rgb="FF00B0F0"/>
        </patternFill>
      </fill>
      <border outline="0">
        <right style="thin">
          <color rgb="FFB2B2B2"/>
        </right>
      </border>
    </dxf>
    <dxf>
      <border outline="0">
        <top style="thin">
          <color theme="0"/>
        </top>
      </border>
    </dxf>
    <dxf>
      <border outline="0">
        <top style="thin">
          <color theme="0"/>
        </top>
      </border>
    </dxf>
    <dxf>
      <font>
        <b/>
        <strike val="0"/>
        <outline val="0"/>
        <shadow val="0"/>
        <u val="none"/>
        <vertAlign val="baseline"/>
        <sz val="11"/>
        <name val="Bold"/>
        <scheme val="none"/>
      </font>
    </dxf>
    <dxf>
      <border outline="0">
        <bottom style="thin">
          <color theme="0"/>
        </bottom>
      </border>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name val="Bold"/>
        <scheme val="none"/>
      </font>
      <numFmt numFmtId="2" formatCode="0.00"/>
      <fill>
        <patternFill patternType="solid">
          <fgColor indexed="64"/>
          <bgColor rgb="FF00B050"/>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name val="Bold"/>
        <scheme val="none"/>
      </font>
      <fill>
        <patternFill patternType="solid">
          <fgColor indexed="64"/>
          <bgColor rgb="FF00B050"/>
        </patternFill>
      </fill>
      <alignment horizontal="left" vertical="center" textRotation="0" wrapText="1" indent="0" justifyLastLine="0" shrinkToFit="0" readingOrder="0"/>
      <border outline="0">
        <left/>
        <right style="thin">
          <color rgb="FFB2B2B2"/>
        </right>
      </border>
    </dxf>
    <dxf>
      <font>
        <b/>
        <strike val="0"/>
        <outline val="0"/>
        <shadow val="0"/>
        <u val="none"/>
        <vertAlign val="baseline"/>
        <sz val="1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name val="Bold"/>
        <scheme val="none"/>
      </font>
      <numFmt numFmtId="0" formatCode="General"/>
      <fill>
        <patternFill patternType="solid">
          <fgColor indexed="64"/>
          <bgColor rgb="FF00B050"/>
        </patternFill>
      </fill>
      <alignment horizontal="left" vertical="center" textRotation="0" wrapText="1" indent="0" justifyLastLine="0" shrinkToFit="0" readingOrder="0"/>
    </dxf>
    <dxf>
      <font>
        <b/>
        <strike val="0"/>
        <outline val="0"/>
        <shadow val="0"/>
        <u val="none"/>
        <vertAlign val="baseline"/>
        <sz val="1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Bold"/>
        <scheme val="none"/>
      </font>
      <numFmt numFmtId="2" formatCode="0.00"/>
      <fill>
        <patternFill patternType="solid">
          <fgColor indexed="64"/>
          <bgColor rgb="FF00B050"/>
        </patternFill>
      </fill>
      <alignment horizontal="left" textRotation="0" indent="0" justifyLastLine="0" shrinkToFit="0" readingOrder="0"/>
      <border outline="0">
        <left style="thin">
          <color rgb="FFB2B2B2"/>
        </left>
      </border>
    </dxf>
    <dxf>
      <font>
        <b/>
        <i val="0"/>
        <strike val="0"/>
        <condense val="0"/>
        <extend val="0"/>
        <outline val="0"/>
        <shadow val="0"/>
        <u val="none"/>
        <vertAlign val="baseline"/>
        <sz val="11"/>
        <color theme="1"/>
        <name val="Bold"/>
        <scheme val="none"/>
      </font>
      <numFmt numFmtId="2" formatCode="0.00"/>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2"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theme="1"/>
        <name val="Bold"/>
        <scheme val="none"/>
      </font>
      <numFmt numFmtId="13" formatCode="0%"/>
      <fill>
        <patternFill patternType="solid">
          <fgColor indexed="64"/>
          <bgColor rgb="FFFF0000"/>
        </patternFill>
      </fill>
      <alignment horizontal="left" vertical="center" textRotation="0" wrapText="1" indent="0" justifyLastLine="0" shrinkToFit="0" readingOrder="0"/>
      <border outline="0">
        <left/>
        <right style="thin">
          <color rgb="FFB2B2B2"/>
        </right>
      </border>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i val="0"/>
        <strike val="0"/>
        <condense val="0"/>
        <extend val="0"/>
        <outline val="0"/>
        <shadow val="0"/>
        <u val="none"/>
        <vertAlign val="baseline"/>
        <sz val="11"/>
        <color theme="1"/>
        <name val="Bold"/>
        <scheme val="none"/>
      </font>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color theme="1"/>
        <name val="Bold"/>
        <scheme val="none"/>
      </font>
      <numFmt numFmtId="0" formatCode="General"/>
      <fill>
        <patternFill patternType="solid">
          <fgColor indexed="64"/>
          <bgColor rgb="FF00B050"/>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color theme="1"/>
        <name val="Bold"/>
        <scheme val="none"/>
      </font>
      <numFmt numFmtId="0" formatCode="General"/>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0" formatCode="General"/>
      <fill>
        <patternFill patternType="solid">
          <fgColor indexed="64"/>
          <bgColor rgb="FFFF0000"/>
        </patternFill>
      </fill>
      <alignment horizontal="left" vertical="center" textRotation="0" wrapText="1" indent="0" justifyLastLine="0" shrinkToFit="0" readingOrder="0"/>
      <border outline="0">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numFmt numFmtId="14" formatCode="0.00%"/>
      <fill>
        <patternFill patternType="solid">
          <fgColor indexed="64"/>
          <bgColor rgb="FFFF0000"/>
        </patternFill>
      </fill>
      <alignment horizontal="left" vertical="center" textRotation="0" wrapText="1" indent="0" justifyLastLine="0" shrinkToFit="0" readingOrder="0"/>
      <border outline="0">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left"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theme="1"/>
        </patternFill>
      </fill>
    </dxf>
    <dxf>
      <font>
        <b/>
        <strike val="0"/>
        <outline val="0"/>
        <shadow val="0"/>
        <u val="none"/>
        <vertAlign val="baseline"/>
        <sz val="11"/>
        <color theme="1"/>
        <name val="Bold"/>
        <scheme val="none"/>
      </font>
      <fill>
        <patternFill patternType="solid">
          <fgColor indexed="64"/>
          <bgColor rgb="FF00B050"/>
        </patternFill>
      </fill>
      <alignment horizontal="general" vertical="center" textRotation="0" wrapText="1" indent="0" justifyLastLine="0" shrinkToFit="0" readingOrder="0"/>
      <border outline="0">
        <left style="thin">
          <color rgb="FFB2B2B2"/>
        </left>
      </border>
    </dxf>
    <dxf>
      <font>
        <b/>
        <strike val="0"/>
        <outline val="0"/>
        <shadow val="0"/>
        <u val="none"/>
        <vertAlign val="baseline"/>
        <sz val="11"/>
        <color theme="1"/>
        <name val="Bold"/>
        <scheme val="none"/>
      </font>
      <fill>
        <patternFill patternType="solid">
          <fgColor indexed="64"/>
          <bgColor rgb="FF00B05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5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FF0000"/>
        </patternFill>
      </fill>
      <alignment horizontal="general" vertical="center" textRotation="0" wrapText="1" indent="0" justifyLastLine="0" shrinkToFit="0" readingOrder="0"/>
      <border outline="0">
        <left style="thin">
          <color rgb="FFB2B2B2"/>
        </left>
        <right style="thin">
          <color rgb="FFB2B2B2"/>
        </right>
      </border>
    </dxf>
    <dxf>
      <font>
        <b/>
        <strike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border outline="0">
        <right style="thin">
          <color rgb="FFB2B2B2"/>
        </right>
      </border>
    </dxf>
    <dxf>
      <font>
        <b/>
        <strike val="0"/>
        <outline val="0"/>
        <shadow val="0"/>
        <u val="none"/>
        <vertAlign val="baseline"/>
        <sz val="11"/>
        <color theme="1"/>
        <name val="Bold"/>
        <scheme val="none"/>
      </font>
      <alignment horizontal="general" vertical="center" textRotation="0" wrapText="1" indent="0" justifyLastLine="0" shrinkToFit="0" readingOrder="0"/>
    </dxf>
    <dxf>
      <font>
        <b/>
        <strike val="0"/>
        <outline val="0"/>
        <shadow val="0"/>
        <u val="none"/>
        <vertAlign val="baseline"/>
        <sz val="11"/>
        <color theme="1"/>
        <name val="Bold"/>
        <scheme val="none"/>
      </font>
      <fill>
        <patternFill patternType="solid">
          <fgColor indexed="64"/>
          <bgColor theme="1"/>
        </patternFill>
      </fill>
    </dxf>
    <dxf>
      <font>
        <b/>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border outline="0">
        <left style="thin">
          <color rgb="FFB2B2B2"/>
        </left>
      </border>
    </dxf>
    <dxf>
      <font>
        <b/>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177" formatCode="#,##0;\-#,##0"/>
      <fill>
        <patternFill patternType="solid">
          <fgColor indexed="64"/>
          <bgColor rgb="FFFF000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177" formatCode="#,##0;\-#,##0"/>
      <fill>
        <patternFill patternType="solid">
          <fgColor indexed="64"/>
          <bgColor rgb="FFFF000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177" formatCode="#,##0;\-#,##0"/>
      <fill>
        <patternFill patternType="solid">
          <fgColor indexed="64"/>
          <bgColor rgb="FFFF000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177" formatCode="#,##0;\-#,##0"/>
      <fill>
        <patternFill patternType="solid">
          <fgColor indexed="64"/>
          <bgColor rgb="FFFF0000"/>
        </patternFill>
      </fill>
      <alignment horizontal="right" vertical="top" textRotation="0" wrapText="0"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177" formatCode="#,##0;\-#,##0"/>
      <fill>
        <patternFill patternType="solid">
          <fgColor indexed="64"/>
          <bgColor rgb="FFFF0000"/>
        </patternFill>
      </fill>
      <alignment horizontal="right" vertical="top" textRotation="0" wrapText="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F0"/>
        </patternFill>
      </fill>
      <border outline="0">
        <right style="thin">
          <color rgb="FFB2B2B2"/>
        </right>
      </border>
    </dxf>
    <dxf>
      <font>
        <b/>
        <i val="0"/>
        <strike val="0"/>
        <condense val="0"/>
        <extend val="0"/>
        <outline val="0"/>
        <shadow val="0"/>
        <u val="none"/>
        <vertAlign val="baseline"/>
        <sz val="11"/>
        <color auto="1"/>
        <name val="Bold"/>
        <scheme val="none"/>
      </font>
      <alignment horizontal="right" vertical="top" textRotation="0" wrapText="0" indent="0" justifyLastLine="0" shrinkToFit="0" readingOrder="0"/>
    </dxf>
    <dxf>
      <font>
        <b/>
        <i val="0"/>
        <strike val="0"/>
        <condense val="0"/>
        <extend val="0"/>
        <outline val="0"/>
        <shadow val="0"/>
        <u val="none"/>
        <vertAlign val="baseline"/>
        <sz val="10"/>
        <color auto="1"/>
        <name val="Bold"/>
        <scheme val="none"/>
      </font>
      <fill>
        <patternFill patternType="solid">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border outline="0">
        <left style="thin">
          <color rgb="FFB2B2B2"/>
        </left>
      </border>
    </dxf>
    <dxf>
      <font>
        <b/>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numFmt numFmtId="2" formatCode="0.00"/>
      <fill>
        <patternFill patternType="solid">
          <fgColor indexed="64"/>
          <bgColor rgb="FF00B050"/>
        </patternFill>
      </fill>
      <alignment horizontal="general" vertical="top"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fill>
        <patternFill patternType="solid">
          <fgColor indexed="64"/>
          <bgColor rgb="FFFF0000"/>
        </patternFill>
      </fill>
      <alignment horizontal="general" vertical="top"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fill>
        <patternFill patternType="solid">
          <fgColor indexed="64"/>
          <bgColor rgb="FFFF0000"/>
        </patternFill>
      </fill>
      <alignment horizontal="general" vertical="top" textRotation="0" wrapText="1" indent="0" justifyLastLine="0" shrinkToFit="0" readingOrder="0"/>
      <border outline="0">
        <left style="thin">
          <color rgb="FFB2B2B2"/>
        </left>
        <right style="thin">
          <color rgb="FFB2B2B2"/>
        </right>
      </border>
    </dxf>
    <dxf>
      <font>
        <b/>
        <i val="0"/>
        <strike val="0"/>
        <condense val="0"/>
        <extend val="0"/>
        <outline val="0"/>
        <shadow val="0"/>
        <u val="none"/>
        <vertAlign val="baseline"/>
        <sz val="11"/>
        <color auto="1"/>
        <name val="Bold"/>
        <scheme val="none"/>
      </font>
      <fill>
        <patternFill patternType="solid">
          <fgColor indexed="64"/>
          <bgColor rgb="FFFF0000"/>
        </patternFill>
      </fill>
      <alignment horizontal="general" vertical="top" textRotation="0" wrapText="1"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F0"/>
        </patternFill>
      </fill>
      <border outline="0">
        <right style="thin">
          <color rgb="FFB2B2B2"/>
        </right>
      </border>
    </dxf>
    <dxf>
      <font>
        <b/>
        <i val="0"/>
        <strike val="0"/>
        <condense val="0"/>
        <extend val="0"/>
        <outline val="0"/>
        <shadow val="0"/>
        <u val="none"/>
        <vertAlign val="baseline"/>
        <sz val="11"/>
        <color auto="1"/>
        <name val="Bold"/>
        <scheme val="none"/>
      </font>
      <alignment horizontal="general" vertical="top" textRotation="0" wrapText="1" indent="0" justifyLastLine="0" shrinkToFit="0" readingOrder="0"/>
    </dxf>
    <dxf>
      <font>
        <b/>
        <i val="0"/>
        <strike val="0"/>
        <condense val="0"/>
        <extend val="0"/>
        <outline val="0"/>
        <shadow val="0"/>
        <u val="none"/>
        <vertAlign val="baseline"/>
        <sz val="11"/>
        <color auto="1"/>
        <name val="Bold"/>
        <scheme val="none"/>
      </font>
      <fill>
        <patternFill patternType="solid">
          <fgColor indexed="64"/>
          <bgColor theme="1"/>
        </patternFill>
      </fill>
      <alignment horizontal="center" vertical="center" textRotation="0" wrapText="1" indent="0" justifyLastLine="0" shrinkToFit="0" readingOrder="0"/>
    </dxf>
    <dxf>
      <font>
        <b/>
        <strike val="0"/>
        <outline val="0"/>
        <shadow val="0"/>
        <u val="none"/>
        <vertAlign val="baseline"/>
        <sz val="11"/>
        <name val="Bold"/>
        <scheme val="none"/>
      </font>
      <numFmt numFmtId="0" formatCode="General"/>
      <fill>
        <patternFill patternType="solid">
          <fgColor indexed="64"/>
          <bgColor rgb="FF00B050"/>
        </patternFill>
      </fill>
      <alignment horizontal="left" textRotation="0" indent="0" justifyLastLine="0" shrinkToFit="0" readingOrder="0"/>
      <border outline="0">
        <left style="thin">
          <color rgb="FFB2B2B2"/>
        </left>
      </border>
    </dxf>
    <dxf>
      <font>
        <b/>
        <strike val="0"/>
        <outline val="0"/>
        <shadow val="0"/>
        <u val="none"/>
        <vertAlign val="baseline"/>
        <sz val="11"/>
        <name val="Bold"/>
        <scheme val="none"/>
      </font>
      <numFmt numFmtId="0" formatCode="General"/>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numFmt numFmtId="2" formatCode="0.00"/>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numFmt numFmtId="2" formatCode="0.00"/>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numFmt numFmtId="13" formatCode="0%"/>
      <fill>
        <patternFill patternType="solid">
          <fgColor indexed="64"/>
          <bgColor rgb="FF00B05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FF0000"/>
        </patternFill>
      </fill>
      <alignment horizontal="left" textRotation="0" indent="0" justifyLastLine="0" shrinkToFit="0" readingOrder="0"/>
      <border outline="0">
        <left style="thin">
          <color rgb="FFB2B2B2"/>
        </left>
        <right style="thin">
          <color rgb="FFB2B2B2"/>
        </right>
      </border>
    </dxf>
    <dxf>
      <font>
        <b/>
        <strike val="0"/>
        <outline val="0"/>
        <shadow val="0"/>
        <u val="none"/>
        <vertAlign val="baseline"/>
        <sz val="11"/>
        <name val="Bold"/>
        <scheme val="none"/>
      </font>
      <fill>
        <patternFill patternType="solid">
          <fgColor indexed="64"/>
          <bgColor rgb="FF00B0F0"/>
        </patternFill>
      </fill>
      <border outline="0">
        <right style="thin">
          <color rgb="FFB2B2B2"/>
        </right>
      </border>
    </dxf>
    <dxf>
      <font>
        <b/>
        <strike val="0"/>
        <outline val="0"/>
        <shadow val="0"/>
        <u val="none"/>
        <vertAlign val="baseline"/>
        <sz val="11"/>
        <name val="Bold"/>
        <scheme val="none"/>
      </font>
    </dxf>
    <dxf>
      <font>
        <b/>
        <strike val="0"/>
        <outline val="0"/>
        <shadow val="0"/>
        <u val="none"/>
        <vertAlign val="baseline"/>
        <name val="Bold"/>
        <scheme val="none"/>
      </font>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4" formatCode="0.00%"/>
      <fill>
        <patternFill patternType="solid">
          <fgColor indexed="64"/>
          <bgColor rgb="FF92D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name val="Bold"/>
        <scheme val="none"/>
      </font>
      <fill>
        <patternFill patternType="solid">
          <fgColor indexed="64"/>
          <bgColor rgb="FF00B0F0"/>
        </patternFill>
      </fill>
      <alignment horizontal="general" vertical="center" textRotation="0" wrapText="1" indent="0" justifyLastLine="0" shrinkToFit="0" readingOrder="0"/>
    </dxf>
    <dxf>
      <font>
        <b/>
        <strike val="0"/>
        <outline val="0"/>
        <shadow val="0"/>
        <u val="none"/>
        <vertAlign val="baseline"/>
        <sz val="1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4" formatCode="0.00%"/>
      <fill>
        <patternFill patternType="solid">
          <fgColor indexed="64"/>
          <bgColor rgb="FF92D05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strike val="0"/>
        <outline val="0"/>
        <shadow val="0"/>
        <u val="none"/>
        <vertAlign val="baseline"/>
        <sz val="11"/>
        <name val="Bold"/>
        <scheme val="none"/>
      </font>
      <fill>
        <patternFill patternType="solid">
          <fgColor indexed="64"/>
          <bgColor rgb="FF00B0F0"/>
        </patternFill>
      </fill>
      <alignment horizontal="general" vertical="center" textRotation="0" wrapText="1" indent="0" justifyLastLine="0" shrinkToFit="0" readingOrder="0"/>
    </dxf>
    <dxf>
      <font>
        <b/>
        <strike val="0"/>
        <outline val="0"/>
        <shadow val="0"/>
        <u val="none"/>
        <vertAlign val="baseline"/>
        <sz val="1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00B05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4" formatCode="0.00%"/>
      <fill>
        <patternFill patternType="solid">
          <fgColor indexed="64"/>
          <bgColor rgb="FF92D05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 formatCode="0"/>
      <fill>
        <patternFill patternType="solid">
          <fgColor indexed="64"/>
          <bgColor rgb="FFFF000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fill>
        <patternFill patternType="solid">
          <fgColor indexed="64"/>
          <bgColor rgb="FF00B0F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50"/>
        </patternFill>
      </fill>
      <border outline="0">
        <left style="thin">
          <color rgb="FFB2B2B2"/>
        </left>
        <right style="thin">
          <color rgb="FFB2B2B2"/>
        </right>
      </border>
    </dxf>
    <dxf>
      <font>
        <b/>
        <i val="0"/>
        <strike val="0"/>
        <condense val="0"/>
        <extend val="0"/>
        <outline val="0"/>
        <shadow val="0"/>
        <u val="none"/>
        <vertAlign val="baseline"/>
        <sz val="10"/>
        <color auto="1"/>
        <name val="Bold"/>
        <scheme val="none"/>
      </font>
      <fill>
        <patternFill patternType="solid">
          <fgColor indexed="64"/>
          <bgColor rgb="FF00B0F0"/>
        </patternFill>
      </fill>
      <border outline="0">
        <right style="thin">
          <color rgb="FFB2B2B2"/>
        </right>
      </border>
    </dxf>
    <dxf>
      <font>
        <b/>
        <i val="0"/>
        <strike val="0"/>
        <condense val="0"/>
        <extend val="0"/>
        <outline val="0"/>
        <shadow val="0"/>
        <u val="none"/>
        <vertAlign val="baseline"/>
        <sz val="10"/>
        <color auto="1"/>
        <name val="Bold"/>
        <scheme val="none"/>
      </font>
    </dxf>
    <dxf>
      <font>
        <b/>
        <i val="0"/>
        <strike val="0"/>
        <condense val="0"/>
        <extend val="0"/>
        <outline val="0"/>
        <shadow val="0"/>
        <u val="none"/>
        <vertAlign val="baseline"/>
        <sz val="10"/>
        <color auto="1"/>
        <name val="Bold"/>
        <scheme val="none"/>
      </font>
    </dxf>
  </dxfs>
  <tableStyles count="0" defaultTableStyle="TableStyleMedium2" defaultPivotStyle="PivotStyleLight16"/>
  <colors>
    <mruColors>
      <color rgb="FFDDDDDD"/>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Strong Growth Driven by Digital Payments Expansion</a:t>
            </a:r>
            <a:endParaRPr lang="en-IN">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lineChart>
        <c:grouping val="standard"/>
        <c:varyColors val="0"/>
        <c:ser>
          <c:idx val="0"/>
          <c:order val="0"/>
          <c:tx>
            <c:strRef>
              <c:f>Summary!$D$9</c:f>
              <c:strCache>
                <c:ptCount val="1"/>
                <c:pt idx="0">
                  <c:v>Revenue (2020-2029</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Summary!$D$10:$D$19</c:f>
              <c:numCache>
                <c:formatCode>_ * #,##0_ ;_ * \-#,##0_ ;_ * "-"??_ ;_ @_ </c:formatCode>
                <c:ptCount val="10"/>
                <c:pt idx="0">
                  <c:v>15301</c:v>
                </c:pt>
                <c:pt idx="1">
                  <c:v>18884</c:v>
                </c:pt>
                <c:pt idx="2">
                  <c:v>22237</c:v>
                </c:pt>
                <c:pt idx="3">
                  <c:v>25098</c:v>
                </c:pt>
                <c:pt idx="4">
                  <c:v>28167</c:v>
                </c:pt>
                <c:pt idx="5">
                  <c:v>31547.040000000005</c:v>
                </c:pt>
                <c:pt idx="6">
                  <c:v>35648.155200000001</c:v>
                </c:pt>
                <c:pt idx="7">
                  <c:v>39925.933824000007</c:v>
                </c:pt>
                <c:pt idx="8">
                  <c:v>44317.78654464001</c:v>
                </c:pt>
                <c:pt idx="9">
                  <c:v>48749.565199104014</c:v>
                </c:pt>
              </c:numCache>
            </c:numRef>
          </c:val>
          <c:smooth val="0"/>
          <c:extLst>
            <c:ext xmlns:c16="http://schemas.microsoft.com/office/drawing/2014/chart" uri="{C3380CC4-5D6E-409C-BE32-E72D297353CC}">
              <c16:uniqueId val="{00000000-124B-4D5A-BD16-E4B5FDBB6C3B}"/>
            </c:ext>
          </c:extLst>
        </c:ser>
        <c:ser>
          <c:idx val="1"/>
          <c:order val="1"/>
          <c:tx>
            <c:strRef>
              <c:f>Summary!$E$9</c:f>
              <c:strCache>
                <c:ptCount val="1"/>
                <c:pt idx="0">
                  <c:v>EPS (2020-2029)</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0"/>
              <c:layout>
                <c:manualLayout>
                  <c:x val="-1.4114327177609713E-2"/>
                  <c:y val="-3.47695147548403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71-4009-AF5D-72401D3B0058}"/>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Summary!$E$10:$E$19</c:f>
              <c:numCache>
                <c:formatCode>_ * #,##0.00_ ;_ * \-#,##0.00_ ;_ * "-"??_ ;_ @_ </c:formatCode>
                <c:ptCount val="10"/>
                <c:pt idx="0">
                  <c:v>6.4</c:v>
                </c:pt>
                <c:pt idx="1">
                  <c:v>8.7899999999999991</c:v>
                </c:pt>
                <c:pt idx="2">
                  <c:v>10.26</c:v>
                </c:pt>
                <c:pt idx="3">
                  <c:v>11.86</c:v>
                </c:pt>
                <c:pt idx="4">
                  <c:v>13.91</c:v>
                </c:pt>
                <c:pt idx="5">
                  <c:v>16.11343042471043</c:v>
                </c:pt>
                <c:pt idx="6">
                  <c:v>18.941557114805768</c:v>
                </c:pt>
                <c:pt idx="7">
                  <c:v>21.862616578896503</c:v>
                </c:pt>
                <c:pt idx="8">
                  <c:v>25.001704480714007</c:v>
                </c:pt>
                <c:pt idx="9">
                  <c:v>28.327589779329557</c:v>
                </c:pt>
              </c:numCache>
            </c:numRef>
          </c:val>
          <c:smooth val="0"/>
          <c:extLst>
            <c:ext xmlns:c16="http://schemas.microsoft.com/office/drawing/2014/chart" uri="{C3380CC4-5D6E-409C-BE32-E72D297353CC}">
              <c16:uniqueId val="{00000001-124B-4D5A-BD16-E4B5FDBB6C3B}"/>
            </c:ext>
          </c:extLst>
        </c:ser>
        <c:ser>
          <c:idx val="2"/>
          <c:order val="2"/>
          <c:tx>
            <c:strRef>
              <c:f>Summary!$E$2</c:f>
              <c:strCache>
                <c:ptCount val="1"/>
                <c:pt idx="0">
                  <c:v>Net Profit Margin (2020-2024)</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Lit>
              <c:formatCode>General</c:formatCode>
              <c:ptCount val="1"/>
              <c:pt idx="0">
                <c:v>1</c:v>
              </c:pt>
            </c:numLit>
          </c:val>
          <c:smooth val="0"/>
          <c:extLst>
            <c:ext xmlns:c16="http://schemas.microsoft.com/office/drawing/2014/chart" uri="{C3380CC4-5D6E-409C-BE32-E72D297353CC}">
              <c16:uniqueId val="{00000008-124B-4D5A-BD16-E4B5FDBB6C3B}"/>
            </c:ext>
          </c:extLst>
        </c:ser>
        <c:ser>
          <c:idx val="3"/>
          <c:order val="3"/>
          <c:tx>
            <c:strRef>
              <c:f>Summary!$D$21</c:f>
              <c:strCache>
                <c:ptCount val="1"/>
                <c:pt idx="0">
                  <c:v>Operating Margin (2020-2024)</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Lit>
              <c:formatCode>General</c:formatCode>
              <c:ptCount val="1"/>
              <c:pt idx="0">
                <c:v>1</c:v>
              </c:pt>
            </c:numLit>
          </c:val>
          <c:smooth val="0"/>
          <c:extLst>
            <c:ext xmlns:c16="http://schemas.microsoft.com/office/drawing/2014/chart" uri="{C3380CC4-5D6E-409C-BE32-E72D297353CC}">
              <c16:uniqueId val="{0000000A-124B-4D5A-BD16-E4B5FDBB6C3B}"/>
            </c:ext>
          </c:extLst>
        </c:ser>
        <c:ser>
          <c:idx val="4"/>
          <c:order val="4"/>
          <c:tx>
            <c:strRef>
              <c:f>Summary!$E$21</c:f>
              <c:strCache>
                <c:ptCount val="1"/>
                <c:pt idx="0">
                  <c:v>ROE (2020-2024)</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Lit>
              <c:formatCode>General</c:formatCode>
              <c:ptCount val="1"/>
              <c:pt idx="0">
                <c:v>1</c:v>
              </c:pt>
            </c:numLit>
          </c:val>
          <c:smooth val="0"/>
          <c:extLst>
            <c:ext xmlns:c16="http://schemas.microsoft.com/office/drawing/2014/chart" uri="{C3380CC4-5D6E-409C-BE32-E72D297353CC}">
              <c16:uniqueId val="{0000000C-124B-4D5A-BD16-E4B5FDBB6C3B}"/>
            </c:ext>
          </c:extLst>
        </c:ser>
        <c:ser>
          <c:idx val="5"/>
          <c:order val="5"/>
          <c:spPr>
            <a:ln w="34925" cap="rnd">
              <a:solidFill>
                <a:schemeClr val="accent6"/>
              </a:solidFill>
              <a:round/>
            </a:ln>
            <a:effectLst>
              <a:outerShdw blurRad="57150" dist="19050" dir="5400000" algn="ctr" rotWithShape="0">
                <a:srgbClr val="000000">
                  <a:alpha val="63000"/>
                </a:srgbClr>
              </a:outerShdw>
            </a:effectLst>
          </c:spPr>
          <c:marker>
            <c:symbol val="none"/>
          </c:marker>
          <c:dLbls>
            <c:delete val="1"/>
          </c:dLbls>
          <c:val>
            <c:numLit>
              <c:formatCode>General</c:formatCode>
              <c:ptCount val="1"/>
              <c:pt idx="0">
                <c:v>1</c:v>
              </c:pt>
            </c:numLit>
          </c:val>
          <c:smooth val="0"/>
          <c:extLst>
            <c:ext xmlns:c16="http://schemas.microsoft.com/office/drawing/2014/chart" uri="{C3380CC4-5D6E-409C-BE32-E72D297353CC}">
              <c16:uniqueId val="{0000000E-124B-4D5A-BD16-E4B5FDBB6C3B}"/>
            </c:ext>
          </c:extLst>
        </c:ser>
        <c:ser>
          <c:idx val="6"/>
          <c:order val="6"/>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dLbls>
            <c:delete val="1"/>
          </c:dLbls>
          <c:val>
            <c:numLit>
              <c:formatCode>General</c:formatCode>
              <c:ptCount val="1"/>
              <c:pt idx="0">
                <c:v>1</c:v>
              </c:pt>
            </c:numLit>
          </c:val>
          <c:smooth val="0"/>
          <c:extLst>
            <c:ext xmlns:c16="http://schemas.microsoft.com/office/drawing/2014/chart" uri="{C3380CC4-5D6E-409C-BE32-E72D297353CC}">
              <c16:uniqueId val="{00000010-124B-4D5A-BD16-E4B5FDBB6C3B}"/>
            </c:ext>
          </c:extLst>
        </c:ser>
        <c:dLbls>
          <c:dLblPos val="t"/>
          <c:showLegendKey val="0"/>
          <c:showVal val="1"/>
          <c:showCatName val="0"/>
          <c:showSerName val="0"/>
          <c:showPercent val="0"/>
          <c:showBubbleSize val="0"/>
        </c:dLbls>
        <c:smooth val="0"/>
        <c:axId val="883245064"/>
        <c:axId val="883245424"/>
      </c:lineChart>
      <c:catAx>
        <c:axId val="883245064"/>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83245424"/>
        <c:crosses val="autoZero"/>
        <c:auto val="1"/>
        <c:lblAlgn val="ctr"/>
        <c:lblOffset val="100"/>
        <c:noMultiLvlLbl val="0"/>
      </c:catAx>
      <c:valAx>
        <c:axId val="883245424"/>
        <c:scaling>
          <c:orientation val="minMax"/>
        </c:scaling>
        <c:delete val="0"/>
        <c:axPos val="l"/>
        <c:numFmt formatCode="_ * #,##0_ ;_ * \-#,##0_ ;_ * &quot;-&quot;??_ ;_ @_ "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83245064"/>
        <c:crosses val="autoZero"/>
        <c:crossBetween val="between"/>
      </c:valAx>
      <c:spPr>
        <a:noFill/>
        <a:ln w="25400">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High Margins Reflect Asset-Light Business Model</a:t>
            </a:r>
            <a:endParaRPr lang="en-IN" b="1">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tx>
            <c:strRef>
              <c:f>Summary!$E$2</c:f>
              <c:strCache>
                <c:ptCount val="1"/>
                <c:pt idx="0">
                  <c:v>Net Profit Margin (2020-2024)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Summary!$E$3:$E$7</c:f>
              <c:numCache>
                <c:formatCode>0.00%</c:formatCode>
                <c:ptCount val="5"/>
                <c:pt idx="0">
                  <c:v>0.41899222273054049</c:v>
                </c:pt>
                <c:pt idx="1">
                  <c:v>0.46001906375767848</c:v>
                </c:pt>
                <c:pt idx="2">
                  <c:v>0.44655304222691911</c:v>
                </c:pt>
                <c:pt idx="3">
                  <c:v>0.44605147820543467</c:v>
                </c:pt>
                <c:pt idx="4">
                  <c:v>0.45705967976710332</c:v>
                </c:pt>
              </c:numCache>
            </c:numRef>
          </c:val>
          <c:extLst>
            <c:ext xmlns:c16="http://schemas.microsoft.com/office/drawing/2014/chart" uri="{C3380CC4-5D6E-409C-BE32-E72D297353CC}">
              <c16:uniqueId val="{00000000-00C5-4768-AA0E-501FCFF885BF}"/>
            </c:ext>
          </c:extLst>
        </c:ser>
        <c:ser>
          <c:idx val="1"/>
          <c:order val="1"/>
          <c:tx>
            <c:strRef>
              <c:f>Summary!$D$21</c:f>
              <c:strCache>
                <c:ptCount val="1"/>
                <c:pt idx="0">
                  <c:v>Operating Margin (2020-2024)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Summary!$D$22:$D$26</c:f>
              <c:numCache>
                <c:formatCode>0.00%</c:formatCode>
                <c:ptCount val="5"/>
                <c:pt idx="0">
                  <c:v>0.52813541598588332</c:v>
                </c:pt>
                <c:pt idx="1">
                  <c:v>0.53389112476170308</c:v>
                </c:pt>
                <c:pt idx="2">
                  <c:v>0.55151324369294419</c:v>
                </c:pt>
                <c:pt idx="3">
                  <c:v>0.55813212208144081</c:v>
                </c:pt>
                <c:pt idx="4">
                  <c:v>0.55320055383959954</c:v>
                </c:pt>
              </c:numCache>
            </c:numRef>
          </c:val>
          <c:extLst>
            <c:ext xmlns:c16="http://schemas.microsoft.com/office/drawing/2014/chart" uri="{C3380CC4-5D6E-409C-BE32-E72D297353CC}">
              <c16:uniqueId val="{00000001-00C5-4768-AA0E-501FCFF885BF}"/>
            </c:ext>
          </c:extLst>
        </c:ser>
        <c:ser>
          <c:idx val="2"/>
          <c:order val="2"/>
          <c:tx>
            <c:strRef>
              <c:f>Summary!$E$21</c:f>
              <c:strCache>
                <c:ptCount val="1"/>
                <c:pt idx="0">
                  <c:v>ROE (2020-2024)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Summary!$E$22:$E$26</c:f>
              <c:numCache>
                <c:formatCode>0.00%</c:formatCode>
                <c:ptCount val="5"/>
                <c:pt idx="0">
                  <c:v>0.98813193588162762</c:v>
                </c:pt>
                <c:pt idx="1">
                  <c:v>1.1766219693891371</c:v>
                </c:pt>
                <c:pt idx="2">
                  <c:v>1.5623033354310887</c:v>
                </c:pt>
                <c:pt idx="3">
                  <c:v>1.6050179211469533</c:v>
                </c:pt>
                <c:pt idx="4">
                  <c:v>1.9760552570990022</c:v>
                </c:pt>
              </c:numCache>
            </c:numRef>
          </c:val>
          <c:extLst>
            <c:ext xmlns:c16="http://schemas.microsoft.com/office/drawing/2014/chart" uri="{C3380CC4-5D6E-409C-BE32-E72D297353CC}">
              <c16:uniqueId val="{00000002-00C5-4768-AA0E-501FCFF885BF}"/>
            </c:ext>
          </c:extLst>
        </c:ser>
        <c:dLbls>
          <c:dLblPos val="outEnd"/>
          <c:showLegendKey val="0"/>
          <c:showVal val="1"/>
          <c:showCatName val="0"/>
          <c:showSerName val="0"/>
          <c:showPercent val="0"/>
          <c:showBubbleSize val="0"/>
        </c:dLbls>
        <c:gapWidth val="100"/>
        <c:overlap val="-24"/>
        <c:axId val="802825104"/>
        <c:axId val="802825464"/>
      </c:barChart>
      <c:catAx>
        <c:axId val="802825104"/>
        <c:scaling>
          <c:orientation val="minMax"/>
        </c:scaling>
        <c:delete val="0"/>
        <c:axPos val="b"/>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02825464"/>
        <c:crosses val="autoZero"/>
        <c:auto val="1"/>
        <c:lblAlgn val="ctr"/>
        <c:lblOffset val="100"/>
        <c:noMultiLvlLbl val="0"/>
      </c:catAx>
      <c:valAx>
        <c:axId val="802825464"/>
        <c:scaling>
          <c:orientation val="minMax"/>
        </c:scaling>
        <c:delete val="0"/>
        <c:axPos val="l"/>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Bold"/>
                <a:ea typeface="+mn-ea"/>
                <a:cs typeface="+mn-cs"/>
              </a:defRPr>
            </a:pPr>
            <a:endParaRPr lang="en-US"/>
          </a:p>
        </c:txPr>
        <c:crossAx val="802825104"/>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Consistent Cash Generation Supports Valuation</a:t>
            </a:r>
            <a:endParaRPr lang="en-IN">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areaChart>
        <c:grouping val="standard"/>
        <c:varyColors val="0"/>
        <c:ser>
          <c:idx val="0"/>
          <c:order val="0"/>
          <c:tx>
            <c:strRef>
              <c:f>Summary!$C$36</c:f>
              <c:strCache>
                <c:ptCount val="1"/>
                <c:pt idx="0">
                  <c:v>FCF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Summary!$C$37:$C$41</c:f>
              <c:numCache>
                <c:formatCode>General</c:formatCode>
                <c:ptCount val="5"/>
                <c:pt idx="0">
                  <c:v>2025</c:v>
                </c:pt>
                <c:pt idx="1">
                  <c:v>2026</c:v>
                </c:pt>
                <c:pt idx="2">
                  <c:v>2027</c:v>
                </c:pt>
                <c:pt idx="3">
                  <c:v>2028</c:v>
                </c:pt>
                <c:pt idx="4">
                  <c:v>2029</c:v>
                </c:pt>
              </c:numCache>
            </c:numRef>
          </c:val>
          <c:extLst>
            <c:ext xmlns:c16="http://schemas.microsoft.com/office/drawing/2014/chart" uri="{C3380CC4-5D6E-409C-BE32-E72D297353CC}">
              <c16:uniqueId val="{00000000-4078-4184-B764-3FE1174D4886}"/>
            </c:ext>
          </c:extLst>
        </c:ser>
        <c:ser>
          <c:idx val="1"/>
          <c:order val="1"/>
          <c:tx>
            <c:strRef>
              <c:f>Summary!$D$36</c:f>
              <c:strCache>
                <c:ptCount val="1"/>
                <c:pt idx="0">
                  <c:v>Value</c:v>
                </c:pt>
              </c:strCache>
            </c:strRef>
          </c:tx>
          <c:spPr>
            <a:solidFill>
              <a:srgbClr val="00B050"/>
            </a:solidFill>
            <a:ln>
              <a:noFill/>
            </a:ln>
            <a:effectLst>
              <a:outerShdw blurRad="57150" dist="19050" dir="5400000" algn="ctr" rotWithShape="0">
                <a:srgbClr val="000000">
                  <a:alpha val="63000"/>
                </a:srgbClr>
              </a:outerShdw>
            </a:effectLst>
          </c:spP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Summary!$D$37:$D$41</c:f>
              <c:numCache>
                <c:formatCode>0</c:formatCode>
                <c:ptCount val="5"/>
                <c:pt idx="0">
                  <c:v>18784.948275775998</c:v>
                </c:pt>
                <c:pt idx="1">
                  <c:v>19435.741645375994</c:v>
                </c:pt>
                <c:pt idx="2">
                  <c:v>21798.440108364801</c:v>
                </c:pt>
                <c:pt idx="3">
                  <c:v>24283.100438018817</c:v>
                </c:pt>
                <c:pt idx="4">
                  <c:v>26858.748557578921</c:v>
                </c:pt>
              </c:numCache>
            </c:numRef>
          </c:val>
          <c:extLst>
            <c:ext xmlns:c16="http://schemas.microsoft.com/office/drawing/2014/chart" uri="{C3380CC4-5D6E-409C-BE32-E72D297353CC}">
              <c16:uniqueId val="{00000001-4078-4184-B764-3FE1174D4886}"/>
            </c:ext>
          </c:extLst>
        </c:ser>
        <c:dLbls>
          <c:showLegendKey val="0"/>
          <c:showVal val="1"/>
          <c:showCatName val="0"/>
          <c:showSerName val="0"/>
          <c:showPercent val="0"/>
          <c:showBubbleSize val="0"/>
        </c:dLbls>
        <c:axId val="897604040"/>
        <c:axId val="897602240"/>
      </c:areaChart>
      <c:catAx>
        <c:axId val="897604040"/>
        <c:scaling>
          <c:orientation val="minMax"/>
        </c:scaling>
        <c:delete val="0"/>
        <c:axPos val="b"/>
        <c:majorTickMark val="out"/>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97602240"/>
        <c:crosses val="autoZero"/>
        <c:auto val="1"/>
        <c:lblAlgn val="ctr"/>
        <c:lblOffset val="100"/>
        <c:noMultiLvlLbl val="0"/>
      </c:catAx>
      <c:valAx>
        <c:axId val="897602240"/>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97604040"/>
        <c:crosses val="autoZero"/>
        <c:crossBetween val="midCat"/>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17% Downside → SELL Recommendation</a:t>
            </a:r>
            <a:endParaRPr lang="en-US" baseline="0">
              <a:solidFill>
                <a:schemeClr val="bg1"/>
              </a:solidFill>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bar"/>
        <c:grouping val="clustered"/>
        <c:varyColors val="0"/>
        <c:ser>
          <c:idx val="0"/>
          <c:order val="0"/>
          <c:tx>
            <c:strRef>
              <c:f>Summary!$E$28</c:f>
              <c:strCache>
                <c:ptCount val="1"/>
                <c:pt idx="0">
                  <c:v>Final Investment Recommendation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8D-4BF2-AA5D-19F87F9662F7}"/>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Summary!$D$29:$D$34</c:f>
              <c:strCache>
                <c:ptCount val="6"/>
                <c:pt idx="0">
                  <c:v>Market Price</c:v>
                </c:pt>
                <c:pt idx="1">
                  <c:v>DCF</c:v>
                </c:pt>
                <c:pt idx="2">
                  <c:v>FCFF</c:v>
                </c:pt>
                <c:pt idx="3">
                  <c:v>DDM</c:v>
                </c:pt>
                <c:pt idx="4">
                  <c:v>Relative Valuation</c:v>
                </c:pt>
                <c:pt idx="5">
                  <c:v>Final Target Price</c:v>
                </c:pt>
              </c:strCache>
            </c:strRef>
          </c:cat>
          <c:val>
            <c:numRef>
              <c:f>Summary!$E$29:$E$34</c:f>
              <c:numCache>
                <c:formatCode>0</c:formatCode>
                <c:ptCount val="6"/>
                <c:pt idx="0">
                  <c:v>450</c:v>
                </c:pt>
                <c:pt idx="1">
                  <c:v>386.11179448578162</c:v>
                </c:pt>
                <c:pt idx="2">
                  <c:v>118.33343868546643</c:v>
                </c:pt>
                <c:pt idx="3" formatCode="0.00">
                  <c:v>0</c:v>
                </c:pt>
                <c:pt idx="4">
                  <c:v>170.93902702702704</c:v>
                </c:pt>
                <c:pt idx="5">
                  <c:v>389.90639339738749</c:v>
                </c:pt>
              </c:numCache>
            </c:numRef>
          </c:val>
          <c:extLst>
            <c:ext xmlns:c16="http://schemas.microsoft.com/office/drawing/2014/chart" uri="{C3380CC4-5D6E-409C-BE32-E72D297353CC}">
              <c16:uniqueId val="{00000000-809C-481B-B6C5-A3707BA5FEB6}"/>
            </c:ext>
          </c:extLst>
        </c:ser>
        <c:dLbls>
          <c:showLegendKey val="0"/>
          <c:showVal val="0"/>
          <c:showCatName val="0"/>
          <c:showSerName val="0"/>
          <c:showPercent val="0"/>
          <c:showBubbleSize val="0"/>
        </c:dLbls>
        <c:gapWidth val="115"/>
        <c:overlap val="-20"/>
        <c:axId val="924156904"/>
        <c:axId val="924152944"/>
      </c:barChart>
      <c:catAx>
        <c:axId val="924156904"/>
        <c:scaling>
          <c:orientation val="minMax"/>
        </c:scaling>
        <c:delete val="0"/>
        <c:axPos val="l"/>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924152944"/>
        <c:crosses val="autoZero"/>
        <c:auto val="1"/>
        <c:lblAlgn val="ctr"/>
        <c:lblOffset val="100"/>
        <c:noMultiLvlLbl val="0"/>
      </c:catAx>
      <c:valAx>
        <c:axId val="924152944"/>
        <c:scaling>
          <c:orientation val="minMax"/>
        </c:scaling>
        <c:delete val="0"/>
        <c:axPos val="b"/>
        <c:numFmt formatCode="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924156904"/>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Valuation Indicates Overpricing</a:t>
            </a:r>
            <a:endParaRPr lang="en-IN">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1"/>
          <c:order val="0"/>
          <c:tx>
            <c:strRef>
              <c:f>Summary!$D$51</c:f>
              <c:strCache>
                <c:ptCount val="1"/>
                <c:pt idx="0">
                  <c:v>Low Value</c:v>
                </c:pt>
              </c:strCache>
            </c:strRef>
          </c:tx>
          <c:spPr>
            <a:solidFill>
              <a:srgbClr val="00B050"/>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Summary!$C$52:$C$55</c:f>
              <c:strCache>
                <c:ptCount val="4"/>
                <c:pt idx="0">
                  <c:v>DDM</c:v>
                </c:pt>
                <c:pt idx="1">
                  <c:v>DCF</c:v>
                </c:pt>
                <c:pt idx="2">
                  <c:v>FCFF</c:v>
                </c:pt>
                <c:pt idx="3">
                  <c:v>Relative Valuation</c:v>
                </c:pt>
              </c:strCache>
            </c:strRef>
          </c:cat>
          <c:val>
            <c:numRef>
              <c:f>Summary!$D$52:$D$55</c:f>
              <c:numCache>
                <c:formatCode>_ * #,##0_ ;_ * \-#,##0_ ;_ * "-"??_ ;_ @_ </c:formatCode>
                <c:ptCount val="4"/>
                <c:pt idx="0">
                  <c:v>60</c:v>
                </c:pt>
                <c:pt idx="1">
                  <c:v>120</c:v>
                </c:pt>
                <c:pt idx="2">
                  <c:v>140</c:v>
                </c:pt>
                <c:pt idx="3">
                  <c:v>55</c:v>
                </c:pt>
              </c:numCache>
            </c:numRef>
          </c:val>
          <c:extLst>
            <c:ext xmlns:c16="http://schemas.microsoft.com/office/drawing/2014/chart" uri="{C3380CC4-5D6E-409C-BE32-E72D297353CC}">
              <c16:uniqueId val="{00000001-BA2C-47E7-B4BC-2E12F15A369D}"/>
            </c:ext>
          </c:extLst>
        </c:ser>
        <c:ser>
          <c:idx val="0"/>
          <c:order val="1"/>
          <c:tx>
            <c:strRef>
              <c:f>Summary!$E$51</c:f>
              <c:strCache>
                <c:ptCount val="1"/>
                <c:pt idx="0">
                  <c:v>Range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Summary!$C$52:$C$55</c:f>
              <c:strCache>
                <c:ptCount val="4"/>
                <c:pt idx="0">
                  <c:v>DDM</c:v>
                </c:pt>
                <c:pt idx="1">
                  <c:v>DCF</c:v>
                </c:pt>
                <c:pt idx="2">
                  <c:v>FCFF</c:v>
                </c:pt>
                <c:pt idx="3">
                  <c:v>Relative Valuation</c:v>
                </c:pt>
              </c:strCache>
            </c:strRef>
          </c:cat>
          <c:val>
            <c:numRef>
              <c:f>Summary!$E$52:$E$55</c:f>
              <c:numCache>
                <c:formatCode>_ * #,##0.00_ ;_ * \-#,##0.00_ ;_ * "-"??_ ;_ @_ </c:formatCode>
                <c:ptCount val="4"/>
                <c:pt idx="0">
                  <c:v>10</c:v>
                </c:pt>
                <c:pt idx="1">
                  <c:v>40</c:v>
                </c:pt>
                <c:pt idx="2">
                  <c:v>40</c:v>
                </c:pt>
                <c:pt idx="3">
                  <c:v>20</c:v>
                </c:pt>
              </c:numCache>
            </c:numRef>
          </c:val>
          <c:extLst>
            <c:ext xmlns:c16="http://schemas.microsoft.com/office/drawing/2014/chart" uri="{C3380CC4-5D6E-409C-BE32-E72D297353CC}">
              <c16:uniqueId val="{00000002-BA2C-47E7-B4BC-2E12F15A369D}"/>
            </c:ext>
          </c:extLst>
        </c:ser>
        <c:dLbls>
          <c:dLblPos val="ctr"/>
          <c:showLegendKey val="0"/>
          <c:showVal val="1"/>
          <c:showCatName val="0"/>
          <c:showSerName val="0"/>
          <c:showPercent val="0"/>
          <c:showBubbleSize val="0"/>
        </c:dLbls>
        <c:gapWidth val="150"/>
        <c:axId val="697851872"/>
        <c:axId val="697859072"/>
      </c:barChart>
      <c:lineChart>
        <c:grouping val="standard"/>
        <c:varyColors val="0"/>
        <c:ser>
          <c:idx val="3"/>
          <c:order val="3"/>
          <c:tx>
            <c:strRef>
              <c:f>Summary!$C$51</c:f>
              <c:strCache>
                <c:ptCount val="1"/>
                <c:pt idx="0">
                  <c:v>Method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Lit>
              <c:formatCode>General</c:formatCode>
              <c:ptCount val="1"/>
              <c:pt idx="0">
                <c:v>1</c:v>
              </c:pt>
            </c:numLit>
          </c:val>
          <c:smooth val="0"/>
          <c:extLst>
            <c:ext xmlns:c16="http://schemas.microsoft.com/office/drawing/2014/chart" uri="{C3380CC4-5D6E-409C-BE32-E72D297353CC}">
              <c16:uniqueId val="{00000005-BA2C-47E7-B4BC-2E12F15A369D}"/>
            </c:ext>
          </c:extLst>
        </c:ser>
        <c:dLbls>
          <c:showLegendKey val="0"/>
          <c:showVal val="0"/>
          <c:showCatName val="0"/>
          <c:showSerName val="0"/>
          <c:showPercent val="0"/>
          <c:showBubbleSize val="0"/>
        </c:dLbls>
        <c:marker val="1"/>
        <c:smooth val="0"/>
        <c:axId val="697851872"/>
        <c:axId val="697859072"/>
      </c:lineChart>
      <c:scatterChart>
        <c:scatterStyle val="lineMarker"/>
        <c:varyColors val="0"/>
        <c:ser>
          <c:idx val="2"/>
          <c:order val="2"/>
          <c:tx>
            <c:strRef>
              <c:f>Summary!$F$51</c:f>
              <c:strCache>
                <c:ptCount val="1"/>
                <c:pt idx="0">
                  <c:v>Target Marker</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Summary!$C$52:$C$55</c:f>
              <c:strCache>
                <c:ptCount val="4"/>
                <c:pt idx="0">
                  <c:v>DDM</c:v>
                </c:pt>
                <c:pt idx="1">
                  <c:v>DCF</c:v>
                </c:pt>
                <c:pt idx="2">
                  <c:v>FCFF</c:v>
                </c:pt>
                <c:pt idx="3">
                  <c:v>Relative Valuation</c:v>
                </c:pt>
              </c:strCache>
            </c:strRef>
          </c:xVal>
          <c:yVal>
            <c:numRef>
              <c:f>Summary!$F$52:$F$55</c:f>
              <c:numCache>
                <c:formatCode>_ * #,##0_ ;_ * \-#,##0_ ;_ * "-"??_ ;_ @_ </c:formatCode>
                <c:ptCount val="4"/>
                <c:pt idx="0">
                  <c:v>389.90639339738749</c:v>
                </c:pt>
                <c:pt idx="1">
                  <c:v>389.90639339738749</c:v>
                </c:pt>
                <c:pt idx="2">
                  <c:v>389.90639339738749</c:v>
                </c:pt>
                <c:pt idx="3">
                  <c:v>389.90639339738749</c:v>
                </c:pt>
              </c:numCache>
            </c:numRef>
          </c:yVal>
          <c:smooth val="0"/>
          <c:extLst>
            <c:ext xmlns:c16="http://schemas.microsoft.com/office/drawing/2014/chart" uri="{C3380CC4-5D6E-409C-BE32-E72D297353CC}">
              <c16:uniqueId val="{00000003-BA2C-47E7-B4BC-2E12F15A369D}"/>
            </c:ext>
          </c:extLst>
        </c:ser>
        <c:dLbls>
          <c:showLegendKey val="0"/>
          <c:showVal val="0"/>
          <c:showCatName val="0"/>
          <c:showSerName val="0"/>
          <c:showPercent val="0"/>
          <c:showBubbleSize val="0"/>
        </c:dLbls>
        <c:axId val="1039423264"/>
        <c:axId val="1039423624"/>
      </c:scatterChart>
      <c:catAx>
        <c:axId val="697851872"/>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697859072"/>
        <c:crosses val="autoZero"/>
        <c:auto val="1"/>
        <c:lblAlgn val="ctr"/>
        <c:lblOffset val="100"/>
        <c:noMultiLvlLbl val="0"/>
      </c:catAx>
      <c:valAx>
        <c:axId val="697859072"/>
        <c:scaling>
          <c:orientation val="minMax"/>
        </c:scaling>
        <c:delete val="0"/>
        <c:axPos val="l"/>
        <c:numFmt formatCode="_ * #,##0_ ;_ * \-#,##0_ ;_ * &quot;-&quot;??_ ;_ @_ "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697851872"/>
        <c:crosses val="autoZero"/>
        <c:crossBetween val="between"/>
      </c:valAx>
      <c:valAx>
        <c:axId val="1039423624"/>
        <c:scaling>
          <c:orientation val="minMax"/>
        </c:scaling>
        <c:delete val="0"/>
        <c:axPos val="r"/>
        <c:numFmt formatCode="_ * #,##0_ ;_ * \-#,##0_ ;_ * &quot;-&quot;??_ ;_ @_ " sourceLinked="1"/>
        <c:majorTickMark val="out"/>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1039423264"/>
        <c:crosses val="max"/>
        <c:crossBetween val="midCat"/>
      </c:valAx>
      <c:valAx>
        <c:axId val="1039423264"/>
        <c:scaling>
          <c:orientation val="minMax"/>
        </c:scaling>
        <c:delete val="0"/>
        <c:axPos val="t"/>
        <c:majorTickMark val="out"/>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1039423624"/>
        <c:crosses val="max"/>
        <c:crossBetween val="midCat"/>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Market Price vs Intrinsic Value (Implied -13% Downside)</a:t>
            </a:r>
            <a:endParaRPr lang="en-US" sz="1600">
              <a:latin typeface="Bold"/>
            </a:endParaRPr>
          </a:p>
        </c:rich>
      </c:tx>
      <c:layout>
        <c:manualLayout>
          <c:xMode val="edge"/>
          <c:yMode val="edge"/>
          <c:x val="0.26353002580552115"/>
          <c:y val="1.5191469130666137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Summary!$A$35</c:f>
              <c:strCache>
                <c:ptCount val="1"/>
                <c:pt idx="0">
                  <c:v>Final Investment Decision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B3CE-46DA-AC77-BE1282C384D5}"/>
              </c:ext>
            </c:extLst>
          </c:dPt>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CE-46DA-AC77-BE1282C384D5}"/>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Summary!$A$36:$A$37</c:f>
              <c:strCache>
                <c:ptCount val="2"/>
                <c:pt idx="0">
                  <c:v>Current Market Price</c:v>
                </c:pt>
                <c:pt idx="1">
                  <c:v>Target Price</c:v>
                </c:pt>
              </c:strCache>
            </c:strRef>
          </c:cat>
          <c:val>
            <c:numRef>
              <c:f>Summary!$B$36:$B$37</c:f>
              <c:numCache>
                <c:formatCode>0</c:formatCode>
                <c:ptCount val="2"/>
                <c:pt idx="0" formatCode="&quot;$&quot;#,##0_);[Red]\(&quot;$&quot;#,##0\)">
                  <c:v>450</c:v>
                </c:pt>
                <c:pt idx="1">
                  <c:v>389.90639339738749</c:v>
                </c:pt>
              </c:numCache>
            </c:numRef>
          </c:val>
          <c:extLst>
            <c:ext xmlns:c16="http://schemas.microsoft.com/office/drawing/2014/chart" uri="{C3380CC4-5D6E-409C-BE32-E72D297353CC}">
              <c16:uniqueId val="{00000000-5628-4016-8A76-2BB4EBC77CC3}"/>
            </c:ext>
          </c:extLst>
        </c:ser>
        <c:dLbls>
          <c:dLblPos val="outEnd"/>
          <c:showLegendKey val="0"/>
          <c:showVal val="1"/>
          <c:showCatName val="0"/>
          <c:showSerName val="0"/>
          <c:showPercent val="0"/>
          <c:showBubbleSize val="0"/>
        </c:dLbls>
        <c:gapWidth val="100"/>
        <c:overlap val="-24"/>
        <c:axId val="1107157135"/>
        <c:axId val="1107155055"/>
      </c:barChart>
      <c:catAx>
        <c:axId val="1107157135"/>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1107155055"/>
        <c:crosses val="autoZero"/>
        <c:auto val="1"/>
        <c:lblAlgn val="ctr"/>
        <c:lblOffset val="100"/>
        <c:noMultiLvlLbl val="0"/>
      </c:catAx>
      <c:valAx>
        <c:axId val="1107155055"/>
        <c:scaling>
          <c:orientation val="minMax"/>
        </c:scaling>
        <c:delete val="0"/>
        <c:axPos val="l"/>
        <c:numFmt formatCode="&quot;$&quot;#,##0_);[Red]\(&quot;$&quot;#,##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1107157135"/>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r>
              <a:rPr lang="en-IN">
                <a:solidFill>
                  <a:schemeClr val="bg2"/>
                </a:solidFill>
                <a:latin typeface="Bold"/>
              </a:rPr>
              <a:t>EBITDA Dashboard</a:t>
            </a:r>
          </a:p>
        </c:rich>
      </c:tx>
      <c:layout>
        <c:manualLayout>
          <c:xMode val="edge"/>
          <c:yMode val="edge"/>
          <c:x val="0.39577104224857407"/>
          <c:y val="3.4883720930232558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areaChart>
        <c:grouping val="stacked"/>
        <c:varyColors val="0"/>
        <c:ser>
          <c:idx val="0"/>
          <c:order val="0"/>
          <c:tx>
            <c:strRef>
              <c:f>Summary!$F$21</c:f>
              <c:strCache>
                <c:ptCount val="1"/>
                <c:pt idx="0">
                  <c:v>EBITDA (2020-2029)</c:v>
                </c:pt>
              </c:strCache>
            </c:strRef>
          </c:tx>
          <c:spPr>
            <a:solidFill>
              <a:srgbClr val="00B050"/>
            </a:solidFill>
            <a:ln>
              <a:noFill/>
            </a:ln>
            <a:effectLst>
              <a:outerShdw blurRad="57150" dist="19050" dir="5400000" algn="ctr" rotWithShape="0">
                <a:srgbClr val="000000">
                  <a:alpha val="63000"/>
                </a:srgbClr>
              </a:outerShdw>
            </a:effectLst>
          </c:spP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Bold"/>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Summary!$F$22:$F$31</c:f>
              <c:numCache>
                <c:formatCode>General</c:formatCode>
                <c:ptCount val="10"/>
                <c:pt idx="0">
                  <c:v>8661</c:v>
                </c:pt>
                <c:pt idx="1">
                  <c:v>10808</c:v>
                </c:pt>
                <c:pt idx="2">
                  <c:v>13014</c:v>
                </c:pt>
                <c:pt idx="3">
                  <c:v>14807</c:v>
                </c:pt>
                <c:pt idx="4">
                  <c:v>16479</c:v>
                </c:pt>
                <c:pt idx="5" formatCode="0">
                  <c:v>18297.283200000002</c:v>
                </c:pt>
                <c:pt idx="6" formatCode="0">
                  <c:v>20996.763412799999</c:v>
                </c:pt>
                <c:pt idx="7" formatCode="0">
                  <c:v>23676.078757632004</c:v>
                </c:pt>
                <c:pt idx="8" formatCode="0">
                  <c:v>26457.718567150088</c:v>
                </c:pt>
                <c:pt idx="9" formatCode="0">
                  <c:v>29298.488684661512</c:v>
                </c:pt>
              </c:numCache>
            </c:numRef>
          </c:val>
          <c:extLst>
            <c:ext xmlns:c16="http://schemas.microsoft.com/office/drawing/2014/chart" uri="{C3380CC4-5D6E-409C-BE32-E72D297353CC}">
              <c16:uniqueId val="{00000000-60FF-4581-AA42-AD42D09611AE}"/>
            </c:ext>
          </c:extLst>
        </c:ser>
        <c:dLbls>
          <c:showLegendKey val="0"/>
          <c:showVal val="1"/>
          <c:showCatName val="0"/>
          <c:showSerName val="0"/>
          <c:showPercent val="0"/>
          <c:showBubbleSize val="0"/>
        </c:dLbls>
        <c:axId val="656720328"/>
        <c:axId val="656715288"/>
      </c:areaChart>
      <c:catAx>
        <c:axId val="656720328"/>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15288"/>
        <c:crosses val="autoZero"/>
        <c:auto val="1"/>
        <c:lblAlgn val="ctr"/>
        <c:lblOffset val="100"/>
        <c:noMultiLvlLbl val="0"/>
      </c:catAx>
      <c:valAx>
        <c:axId val="656715288"/>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656720328"/>
        <c:crosses val="autoZero"/>
        <c:crossBetween val="midCat"/>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-14.20% DCF Valuation</a:t>
            </a:r>
            <a:endParaRPr lang="en-US">
              <a:solidFill>
                <a:schemeClr val="bg2"/>
              </a:solidFill>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tx>
            <c:strRef>
              <c:f>Summary!$D$58</c:f>
              <c:strCache>
                <c:ptCount val="1"/>
                <c:pt idx="0">
                  <c:v>DCF  Visual  Valuation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AFB1-47D8-A3A1-7677C8074FB5}"/>
              </c:ext>
            </c:extLst>
          </c:dPt>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B1-47D8-A3A1-7677C8074FB5}"/>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Summary!$C$59:$C$60</c:f>
              <c:strCache>
                <c:ptCount val="2"/>
                <c:pt idx="0">
                  <c:v>Current  Market Price</c:v>
                </c:pt>
                <c:pt idx="1">
                  <c:v>Target Price</c:v>
                </c:pt>
              </c:strCache>
            </c:strRef>
          </c:cat>
          <c:val>
            <c:numRef>
              <c:f>Summary!$D$59:$D$60</c:f>
              <c:numCache>
                <c:formatCode>0</c:formatCode>
                <c:ptCount val="2"/>
                <c:pt idx="0" formatCode="General">
                  <c:v>450</c:v>
                </c:pt>
                <c:pt idx="1">
                  <c:v>386.11179448578162</c:v>
                </c:pt>
              </c:numCache>
            </c:numRef>
          </c:val>
          <c:extLst>
            <c:ext xmlns:c16="http://schemas.microsoft.com/office/drawing/2014/chart" uri="{C3380CC4-5D6E-409C-BE32-E72D297353CC}">
              <c16:uniqueId val="{00000000-5898-4F92-A0BD-35D280EFC671}"/>
            </c:ext>
          </c:extLst>
        </c:ser>
        <c:dLbls>
          <c:dLblPos val="outEnd"/>
          <c:showLegendKey val="0"/>
          <c:showVal val="1"/>
          <c:showCatName val="0"/>
          <c:showSerName val="0"/>
          <c:showPercent val="0"/>
          <c:showBubbleSize val="0"/>
        </c:dLbls>
        <c:gapWidth val="100"/>
        <c:overlap val="-24"/>
        <c:axId val="805553656"/>
        <c:axId val="805546096"/>
      </c:barChart>
      <c:catAx>
        <c:axId val="805553656"/>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805546096"/>
        <c:crosses val="autoZero"/>
        <c:auto val="1"/>
        <c:lblAlgn val="ctr"/>
        <c:lblOffset val="100"/>
        <c:noMultiLvlLbl val="0"/>
      </c:catAx>
      <c:valAx>
        <c:axId val="805546096"/>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805553656"/>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Strong Growth with Earnings Outpacing Revenue</a:t>
            </a:r>
            <a:endParaRPr lang="en-US">
              <a:solidFill>
                <a:schemeClr val="bg2"/>
              </a:solidFill>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bar"/>
        <c:grouping val="clustered"/>
        <c:varyColors val="0"/>
        <c:ser>
          <c:idx val="0"/>
          <c:order val="0"/>
          <c:tx>
            <c:strRef>
              <c:f>Summary!$G$58</c:f>
              <c:strCache>
                <c:ptCount val="1"/>
                <c:pt idx="0">
                  <c:v>CAGR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E9-488A-A062-CC022CE3EE35}"/>
              </c:ext>
            </c:extLst>
          </c:dPt>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10-4757-AF1B-59EE86E84612}"/>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Summary!$F$59:$F$60</c:f>
              <c:strCache>
                <c:ptCount val="2"/>
                <c:pt idx="0">
                  <c:v>Revenue</c:v>
                </c:pt>
                <c:pt idx="1">
                  <c:v>EPS</c:v>
                </c:pt>
              </c:strCache>
            </c:strRef>
          </c:cat>
          <c:val>
            <c:numRef>
              <c:f>Summary!$G$59:$G$60</c:f>
              <c:numCache>
                <c:formatCode>0.00%</c:formatCode>
                <c:ptCount val="2"/>
                <c:pt idx="0">
                  <c:v>0.16500000000000001</c:v>
                </c:pt>
                <c:pt idx="1">
                  <c:v>0.214</c:v>
                </c:pt>
              </c:numCache>
            </c:numRef>
          </c:val>
          <c:extLst>
            <c:ext xmlns:c16="http://schemas.microsoft.com/office/drawing/2014/chart" uri="{C3380CC4-5D6E-409C-BE32-E72D297353CC}">
              <c16:uniqueId val="{00000000-9A10-4757-AF1B-59EE86E84612}"/>
            </c:ext>
          </c:extLst>
        </c:ser>
        <c:dLbls>
          <c:dLblPos val="outEnd"/>
          <c:showLegendKey val="0"/>
          <c:showVal val="1"/>
          <c:showCatName val="0"/>
          <c:showSerName val="0"/>
          <c:showPercent val="0"/>
          <c:showBubbleSize val="0"/>
        </c:dLbls>
        <c:gapWidth val="115"/>
        <c:overlap val="-20"/>
        <c:axId val="450905416"/>
        <c:axId val="450904696"/>
      </c:barChart>
      <c:catAx>
        <c:axId val="450905416"/>
        <c:scaling>
          <c:orientation val="minMax"/>
        </c:scaling>
        <c:delete val="0"/>
        <c:axPos val="l"/>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450904696"/>
        <c:crosses val="autoZero"/>
        <c:auto val="1"/>
        <c:lblAlgn val="ctr"/>
        <c:lblOffset val="100"/>
        <c:noMultiLvlLbl val="0"/>
      </c:catAx>
      <c:valAx>
        <c:axId val="450904696"/>
        <c:scaling>
          <c:orientation val="minMax"/>
        </c:scaling>
        <c:delete val="0"/>
        <c:axPos val="b"/>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450905416"/>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Assumptions!$D$74</c:f>
              <c:strCache>
                <c:ptCount val="1"/>
                <c:pt idx="0">
                  <c:v>Revenue Growth Trend (2020-2029</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Assumptions!$D$75:$D$84</c:f>
              <c:numCache>
                <c:formatCode>_ * #,##0_ ;_ * \-#,##0_ ;_ * "-"??_ ;_ @_ </c:formatCode>
                <c:ptCount val="10"/>
                <c:pt idx="0">
                  <c:v>15301</c:v>
                </c:pt>
                <c:pt idx="1">
                  <c:v>18884</c:v>
                </c:pt>
                <c:pt idx="2">
                  <c:v>22237</c:v>
                </c:pt>
                <c:pt idx="3">
                  <c:v>25098</c:v>
                </c:pt>
                <c:pt idx="4">
                  <c:v>28167</c:v>
                </c:pt>
                <c:pt idx="5">
                  <c:v>31547.040000000005</c:v>
                </c:pt>
                <c:pt idx="6">
                  <c:v>35648.155200000001</c:v>
                </c:pt>
                <c:pt idx="7">
                  <c:v>39925.933824000007</c:v>
                </c:pt>
                <c:pt idx="8">
                  <c:v>44317.78654464001</c:v>
                </c:pt>
                <c:pt idx="9">
                  <c:v>48749.565199104014</c:v>
                </c:pt>
              </c:numCache>
            </c:numRef>
          </c:val>
          <c:smooth val="0"/>
          <c:extLst>
            <c:ext xmlns:c16="http://schemas.microsoft.com/office/drawing/2014/chart" uri="{C3380CC4-5D6E-409C-BE32-E72D297353CC}">
              <c16:uniqueId val="{00000000-3D53-469C-8D44-0A1BF582B0EE}"/>
            </c:ext>
          </c:extLst>
        </c:ser>
        <c:dLbls>
          <c:dLblPos val="t"/>
          <c:showLegendKey val="0"/>
          <c:showVal val="1"/>
          <c:showCatName val="0"/>
          <c:showSerName val="0"/>
          <c:showPercent val="0"/>
          <c:showBubbleSize val="0"/>
        </c:dLbls>
        <c:smooth val="0"/>
        <c:axId val="1324439791"/>
        <c:axId val="1324441871"/>
      </c:lineChart>
      <c:catAx>
        <c:axId val="1324439791"/>
        <c:scaling>
          <c:orientation val="minMax"/>
        </c:scaling>
        <c:delete val="0"/>
        <c:axPos val="b"/>
        <c:majorTickMark val="none"/>
        <c:minorTickMark val="none"/>
        <c:tickLblPos val="nextTo"/>
        <c:spPr>
          <a:solidFill>
            <a:schemeClr val="tx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441871"/>
        <c:crosses val="autoZero"/>
        <c:auto val="1"/>
        <c:lblAlgn val="ctr"/>
        <c:lblOffset val="100"/>
        <c:noMultiLvlLbl val="0"/>
      </c:catAx>
      <c:valAx>
        <c:axId val="1324441871"/>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439791"/>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a:latin typeface="Bold"/>
              </a:rPr>
              <a:t>Returns Chart</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lineChart>
        <c:grouping val="stacked"/>
        <c:varyColors val="0"/>
        <c:ser>
          <c:idx val="0"/>
          <c:order val="0"/>
          <c:tx>
            <c:strRef>
              <c:f>'Return Metrics'!$A$17:$A$18</c:f>
              <c:strCache>
                <c:ptCount val="2"/>
                <c:pt idx="0">
                  <c:v>Returns Chart</c:v>
                </c:pt>
                <c:pt idx="1">
                  <c:v>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'Return Metrics'!$A$19:$A$24</c:f>
              <c:numCache>
                <c:formatCode>General</c:formatCode>
                <c:ptCount val="6"/>
                <c:pt idx="0">
                  <c:v>2024</c:v>
                </c:pt>
                <c:pt idx="1">
                  <c:v>2025</c:v>
                </c:pt>
                <c:pt idx="2">
                  <c:v>2026</c:v>
                </c:pt>
                <c:pt idx="3">
                  <c:v>2027</c:v>
                </c:pt>
                <c:pt idx="4">
                  <c:v>2028</c:v>
                </c:pt>
                <c:pt idx="5">
                  <c:v>2029</c:v>
                </c:pt>
              </c:numCache>
            </c:numRef>
          </c:cat>
          <c:val>
            <c:numRef>
              <c:f>'Return Metrics'!$A$19:$A$24</c:f>
              <c:numCache>
                <c:formatCode>General</c:formatCode>
                <c:ptCount val="6"/>
                <c:pt idx="0">
                  <c:v>2024</c:v>
                </c:pt>
                <c:pt idx="1">
                  <c:v>2025</c:v>
                </c:pt>
                <c:pt idx="2">
                  <c:v>2026</c:v>
                </c:pt>
                <c:pt idx="3">
                  <c:v>2027</c:v>
                </c:pt>
                <c:pt idx="4">
                  <c:v>2028</c:v>
                </c:pt>
                <c:pt idx="5">
                  <c:v>2029</c:v>
                </c:pt>
              </c:numCache>
            </c:numRef>
          </c:val>
          <c:smooth val="0"/>
          <c:extLst>
            <c:ext xmlns:c16="http://schemas.microsoft.com/office/drawing/2014/chart" uri="{C3380CC4-5D6E-409C-BE32-E72D297353CC}">
              <c16:uniqueId val="{00000000-316A-477A-86A8-4E65152C1AE8}"/>
            </c:ext>
          </c:extLst>
        </c:ser>
        <c:ser>
          <c:idx val="1"/>
          <c:order val="1"/>
          <c:tx>
            <c:strRef>
              <c:f>'Return Metrics'!$B$17:$B$18</c:f>
              <c:strCache>
                <c:ptCount val="2"/>
                <c:pt idx="0">
                  <c:v>Returns Chart</c:v>
                </c:pt>
                <c:pt idx="1">
                  <c:v>ROIC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'Return Metrics'!$A$19:$A$24</c:f>
              <c:numCache>
                <c:formatCode>General</c:formatCode>
                <c:ptCount val="6"/>
                <c:pt idx="0">
                  <c:v>2024</c:v>
                </c:pt>
                <c:pt idx="1">
                  <c:v>2025</c:v>
                </c:pt>
                <c:pt idx="2">
                  <c:v>2026</c:v>
                </c:pt>
                <c:pt idx="3">
                  <c:v>2027</c:v>
                </c:pt>
                <c:pt idx="4">
                  <c:v>2028</c:v>
                </c:pt>
                <c:pt idx="5">
                  <c:v>2029</c:v>
                </c:pt>
              </c:numCache>
            </c:numRef>
          </c:cat>
          <c:val>
            <c:numRef>
              <c:f>'Return Metrics'!$B$19:$B$24</c:f>
              <c:numCache>
                <c:formatCode>0%</c:formatCode>
                <c:ptCount val="6"/>
                <c:pt idx="0">
                  <c:v>0.42114868560764501</c:v>
                </c:pt>
                <c:pt idx="1">
                  <c:v>0.46895757521155773</c:v>
                </c:pt>
                <c:pt idx="2" formatCode="0.00%">
                  <c:v>0.46333498131328432</c:v>
                </c:pt>
                <c:pt idx="3" formatCode="0.00%">
                  <c:v>0.49545443112000465</c:v>
                </c:pt>
                <c:pt idx="4" formatCode="0.00%">
                  <c:v>0.5051635405623881</c:v>
                </c:pt>
                <c:pt idx="5" formatCode="0.00%">
                  <c:v>0.51207113266582127</c:v>
                </c:pt>
              </c:numCache>
            </c:numRef>
          </c:val>
          <c:smooth val="0"/>
          <c:extLst>
            <c:ext xmlns:c16="http://schemas.microsoft.com/office/drawing/2014/chart" uri="{C3380CC4-5D6E-409C-BE32-E72D297353CC}">
              <c16:uniqueId val="{00000001-316A-477A-86A8-4E65152C1AE8}"/>
            </c:ext>
          </c:extLst>
        </c:ser>
        <c:ser>
          <c:idx val="2"/>
          <c:order val="2"/>
          <c:tx>
            <c:strRef>
              <c:f>'Return Metrics'!$C$17:$C$18</c:f>
              <c:strCache>
                <c:ptCount val="2"/>
                <c:pt idx="0">
                  <c:v>Returns Chart</c:v>
                </c:pt>
                <c:pt idx="1">
                  <c:v>ROE</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'Return Metrics'!$A$19:$A$24</c:f>
              <c:numCache>
                <c:formatCode>General</c:formatCode>
                <c:ptCount val="6"/>
                <c:pt idx="0">
                  <c:v>2024</c:v>
                </c:pt>
                <c:pt idx="1">
                  <c:v>2025</c:v>
                </c:pt>
                <c:pt idx="2">
                  <c:v>2026</c:v>
                </c:pt>
                <c:pt idx="3">
                  <c:v>2027</c:v>
                </c:pt>
                <c:pt idx="4">
                  <c:v>2028</c:v>
                </c:pt>
                <c:pt idx="5">
                  <c:v>2029</c:v>
                </c:pt>
              </c:numCache>
            </c:numRef>
          </c:cat>
          <c:val>
            <c:numRef>
              <c:f>'Return Metrics'!$C$19:$C$24</c:f>
              <c:numCache>
                <c:formatCode>0%</c:formatCode>
                <c:ptCount val="6"/>
                <c:pt idx="0">
                  <c:v>1.9760552570990022</c:v>
                </c:pt>
                <c:pt idx="1">
                  <c:v>1.4481093052962626</c:v>
                </c:pt>
                <c:pt idx="2" formatCode="0.00%">
                  <c:v>1.3672673436883351</c:v>
                </c:pt>
                <c:pt idx="3" formatCode="0.00%">
                  <c:v>1.3114309453185207</c:v>
                </c:pt>
                <c:pt idx="4" formatCode="0.00%">
                  <c:v>1.2688680864345772</c:v>
                </c:pt>
                <c:pt idx="5" formatCode="0.00%">
                  <c:v>1.2358409936200008</c:v>
                </c:pt>
              </c:numCache>
            </c:numRef>
          </c:val>
          <c:smooth val="0"/>
          <c:extLst>
            <c:ext xmlns:c16="http://schemas.microsoft.com/office/drawing/2014/chart" uri="{C3380CC4-5D6E-409C-BE32-E72D297353CC}">
              <c16:uniqueId val="{00000002-316A-477A-86A8-4E65152C1AE8}"/>
            </c:ext>
          </c:extLst>
        </c:ser>
        <c:ser>
          <c:idx val="3"/>
          <c:order val="3"/>
          <c:tx>
            <c:strRef>
              <c:f>'Return Metrics'!$D$17:$D$18</c:f>
              <c:strCache>
                <c:ptCount val="2"/>
                <c:pt idx="0">
                  <c:v>Returns Chart</c:v>
                </c:pt>
                <c:pt idx="1">
                  <c:v>ROA</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'Return Metrics'!$A$19:$A$24</c:f>
              <c:numCache>
                <c:formatCode>General</c:formatCode>
                <c:ptCount val="6"/>
                <c:pt idx="0">
                  <c:v>2024</c:v>
                </c:pt>
                <c:pt idx="1">
                  <c:v>2025</c:v>
                </c:pt>
                <c:pt idx="2">
                  <c:v>2026</c:v>
                </c:pt>
                <c:pt idx="3">
                  <c:v>2027</c:v>
                </c:pt>
                <c:pt idx="4">
                  <c:v>2028</c:v>
                </c:pt>
                <c:pt idx="5">
                  <c:v>2029</c:v>
                </c:pt>
              </c:numCache>
            </c:numRef>
          </c:cat>
          <c:val>
            <c:numRef>
              <c:f>'Return Metrics'!$D$19:$D$24</c:f>
              <c:numCache>
                <c:formatCode>0%</c:formatCode>
                <c:ptCount val="6"/>
                <c:pt idx="0">
                  <c:v>0.26775649424928766</c:v>
                </c:pt>
                <c:pt idx="1">
                  <c:v>0.27509523032797595</c:v>
                </c:pt>
                <c:pt idx="2" formatCode="0.00%">
                  <c:v>0.29386809486803755</c:v>
                </c:pt>
                <c:pt idx="3" formatCode="0.00%">
                  <c:v>0.30930306598649615</c:v>
                </c:pt>
                <c:pt idx="4" formatCode="0.00%">
                  <c:v>0.32326605272632369</c:v>
                </c:pt>
                <c:pt idx="5" formatCode="0.00%">
                  <c:v>0.33586270549427272</c:v>
                </c:pt>
              </c:numCache>
            </c:numRef>
          </c:val>
          <c:smooth val="0"/>
          <c:extLst>
            <c:ext xmlns:c16="http://schemas.microsoft.com/office/drawing/2014/chart" uri="{C3380CC4-5D6E-409C-BE32-E72D297353CC}">
              <c16:uniqueId val="{00000003-316A-477A-86A8-4E65152C1AE8}"/>
            </c:ext>
          </c:extLst>
        </c:ser>
        <c:dLbls>
          <c:showLegendKey val="0"/>
          <c:showVal val="0"/>
          <c:showCatName val="0"/>
          <c:showSerName val="0"/>
          <c:showPercent val="0"/>
          <c:showBubbleSize val="0"/>
        </c:dLbls>
        <c:smooth val="0"/>
        <c:axId val="558277496"/>
        <c:axId val="558275336"/>
      </c:lineChart>
      <c:catAx>
        <c:axId val="558277496"/>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558275336"/>
        <c:crosses val="autoZero"/>
        <c:auto val="1"/>
        <c:lblAlgn val="ctr"/>
        <c:lblOffset val="100"/>
        <c:noMultiLvlLbl val="0"/>
      </c:catAx>
      <c:valAx>
        <c:axId val="558275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558277496"/>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a:t>CAGR Forecast</a:t>
            </a:r>
          </a:p>
        </c:rich>
      </c:tx>
      <c:layout>
        <c:manualLayout>
          <c:xMode val="edge"/>
          <c:yMode val="edge"/>
          <c:x val="0.65043744531933512"/>
          <c:y val="4.1166388202282196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lineChart>
        <c:grouping val="percentStacked"/>
        <c:varyColors val="0"/>
        <c:ser>
          <c:idx val="0"/>
          <c:order val="0"/>
          <c:tx>
            <c:strRef>
              <c:f>'Return Metrics'!$J$1:$J$2</c:f>
              <c:strCache>
                <c:ptCount val="2"/>
                <c:pt idx="0">
                  <c:v>Forecast CAGR Summary</c:v>
                </c:pt>
                <c:pt idx="1">
                  <c:v>2024</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'Return Metrics'!$I$3:$I$6</c:f>
              <c:strCache>
                <c:ptCount val="4"/>
                <c:pt idx="0">
                  <c:v>Revenue</c:v>
                </c:pt>
                <c:pt idx="1">
                  <c:v>EBITDA</c:v>
                </c:pt>
                <c:pt idx="2">
                  <c:v>EPS</c:v>
                </c:pt>
                <c:pt idx="3">
                  <c:v>FCF</c:v>
                </c:pt>
              </c:strCache>
            </c:strRef>
          </c:cat>
          <c:val>
            <c:numRef>
              <c:f>'Return Metrics'!$J$3:$J$6</c:f>
              <c:numCache>
                <c:formatCode>General</c:formatCode>
                <c:ptCount val="4"/>
                <c:pt idx="0">
                  <c:v>28167</c:v>
                </c:pt>
                <c:pt idx="1">
                  <c:v>16479</c:v>
                </c:pt>
                <c:pt idx="2">
                  <c:v>13.89</c:v>
                </c:pt>
                <c:pt idx="3" formatCode="#,##0_);\(#,##0\)">
                  <c:v>15254</c:v>
                </c:pt>
              </c:numCache>
            </c:numRef>
          </c:val>
          <c:smooth val="0"/>
          <c:extLst>
            <c:ext xmlns:c16="http://schemas.microsoft.com/office/drawing/2014/chart" uri="{C3380CC4-5D6E-409C-BE32-E72D297353CC}">
              <c16:uniqueId val="{00000000-4372-4D47-9499-C45181940F14}"/>
            </c:ext>
          </c:extLst>
        </c:ser>
        <c:ser>
          <c:idx val="1"/>
          <c:order val="1"/>
          <c:tx>
            <c:strRef>
              <c:f>'Return Metrics'!$K$1:$K$2</c:f>
              <c:strCache>
                <c:ptCount val="2"/>
                <c:pt idx="0">
                  <c:v>Forecast CAGR Summary</c:v>
                </c:pt>
                <c:pt idx="1">
                  <c:v>2029</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'Return Metrics'!$I$3:$I$6</c:f>
              <c:strCache>
                <c:ptCount val="4"/>
                <c:pt idx="0">
                  <c:v>Revenue</c:v>
                </c:pt>
                <c:pt idx="1">
                  <c:v>EBITDA</c:v>
                </c:pt>
                <c:pt idx="2">
                  <c:v>EPS</c:v>
                </c:pt>
                <c:pt idx="3">
                  <c:v>FCF</c:v>
                </c:pt>
              </c:strCache>
            </c:strRef>
          </c:cat>
          <c:val>
            <c:numRef>
              <c:f>'Return Metrics'!$K$3:$K$6</c:f>
              <c:numCache>
                <c:formatCode>0</c:formatCode>
                <c:ptCount val="4"/>
                <c:pt idx="0">
                  <c:v>48749.565199104014</c:v>
                </c:pt>
                <c:pt idx="1">
                  <c:v>29298.488684661512</c:v>
                </c:pt>
                <c:pt idx="2" formatCode="0.00">
                  <c:v>28.266473080776525</c:v>
                </c:pt>
                <c:pt idx="3" formatCode="General">
                  <c:v>26858.748557578921</c:v>
                </c:pt>
              </c:numCache>
            </c:numRef>
          </c:val>
          <c:smooth val="0"/>
          <c:extLst>
            <c:ext xmlns:c16="http://schemas.microsoft.com/office/drawing/2014/chart" uri="{C3380CC4-5D6E-409C-BE32-E72D297353CC}">
              <c16:uniqueId val="{00000001-4372-4D47-9499-C45181940F14}"/>
            </c:ext>
          </c:extLst>
        </c:ser>
        <c:ser>
          <c:idx val="2"/>
          <c:order val="2"/>
          <c:tx>
            <c:strRef>
              <c:f>'Return Metrics'!$L$1:$L$2</c:f>
              <c:strCache>
                <c:ptCount val="2"/>
                <c:pt idx="0">
                  <c:v>Forecast CAGR Summary</c:v>
                </c:pt>
                <c:pt idx="1">
                  <c:v>CAGR</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'Return Metrics'!$I$3:$I$6</c:f>
              <c:strCache>
                <c:ptCount val="4"/>
                <c:pt idx="0">
                  <c:v>Revenue</c:v>
                </c:pt>
                <c:pt idx="1">
                  <c:v>EBITDA</c:v>
                </c:pt>
                <c:pt idx="2">
                  <c:v>EPS</c:v>
                </c:pt>
                <c:pt idx="3">
                  <c:v>FCF</c:v>
                </c:pt>
              </c:strCache>
            </c:strRef>
          </c:cat>
          <c:val>
            <c:numRef>
              <c:f>'Return Metrics'!$L$3:$L$6</c:f>
              <c:numCache>
                <c:formatCode>0.00%</c:formatCode>
                <c:ptCount val="4"/>
                <c:pt idx="0">
                  <c:v>0.14698447141060211</c:v>
                </c:pt>
                <c:pt idx="1">
                  <c:v>0.15472506044692791</c:v>
                </c:pt>
                <c:pt idx="2">
                  <c:v>0.19437951018738708</c:v>
                </c:pt>
                <c:pt idx="3">
                  <c:v>0.15192845895177109</c:v>
                </c:pt>
              </c:numCache>
            </c:numRef>
          </c:val>
          <c:smooth val="0"/>
          <c:extLst>
            <c:ext xmlns:c16="http://schemas.microsoft.com/office/drawing/2014/chart" uri="{C3380CC4-5D6E-409C-BE32-E72D297353CC}">
              <c16:uniqueId val="{00000002-4372-4D47-9499-C45181940F14}"/>
            </c:ext>
          </c:extLst>
        </c:ser>
        <c:dLbls>
          <c:showLegendKey val="0"/>
          <c:showVal val="0"/>
          <c:showCatName val="0"/>
          <c:showSerName val="0"/>
          <c:showPercent val="0"/>
          <c:showBubbleSize val="0"/>
        </c:dLbls>
        <c:smooth val="0"/>
        <c:axId val="453567832"/>
        <c:axId val="453567472"/>
      </c:lineChart>
      <c:catAx>
        <c:axId val="453567832"/>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453567472"/>
        <c:crosses val="autoZero"/>
        <c:auto val="1"/>
        <c:lblAlgn val="ctr"/>
        <c:lblOffset val="100"/>
        <c:noMultiLvlLbl val="0"/>
      </c:catAx>
      <c:valAx>
        <c:axId val="45356747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453567832"/>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latin typeface="Bold"/>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r>
              <a:rPr lang="en-US">
                <a:solidFill>
                  <a:schemeClr val="bg1"/>
                </a:solidFill>
                <a:latin typeface="Bold"/>
              </a:rPr>
              <a:t>Football Field Valuation</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areaChart>
        <c:grouping val="stacked"/>
        <c:varyColors val="0"/>
        <c:ser>
          <c:idx val="0"/>
          <c:order val="0"/>
          <c:tx>
            <c:strRef>
              <c:f>'DCF Valuation'!$B$53:$B$54</c:f>
              <c:strCache>
                <c:ptCount val="2"/>
                <c:pt idx="0">
                  <c:v>Football Field Valuation</c:v>
                </c:pt>
                <c:pt idx="1">
                  <c:v>Low Value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Bold"/>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Valuation'!$A$55:$A$58</c:f>
              <c:strCache>
                <c:ptCount val="4"/>
                <c:pt idx="0">
                  <c:v>DCF</c:v>
                </c:pt>
                <c:pt idx="1">
                  <c:v>EV/EBITDA</c:v>
                </c:pt>
                <c:pt idx="2">
                  <c:v>P/E</c:v>
                </c:pt>
                <c:pt idx="3">
                  <c:v>Comparable Companies</c:v>
                </c:pt>
              </c:strCache>
            </c:strRef>
          </c:cat>
          <c:val>
            <c:numRef>
              <c:f>'DCF Valuation'!$B$55:$B$58</c:f>
              <c:numCache>
                <c:formatCode>General</c:formatCode>
                <c:ptCount val="4"/>
                <c:pt idx="0">
                  <c:v>330</c:v>
                </c:pt>
                <c:pt idx="1">
                  <c:v>350</c:v>
                </c:pt>
                <c:pt idx="2">
                  <c:v>340</c:v>
                </c:pt>
                <c:pt idx="3">
                  <c:v>360</c:v>
                </c:pt>
              </c:numCache>
            </c:numRef>
          </c:val>
          <c:extLst>
            <c:ext xmlns:c16="http://schemas.microsoft.com/office/drawing/2014/chart" uri="{C3380CC4-5D6E-409C-BE32-E72D297353CC}">
              <c16:uniqueId val="{00000000-22B7-4A01-9C9B-E72B0A3F436F}"/>
            </c:ext>
          </c:extLst>
        </c:ser>
        <c:ser>
          <c:idx val="1"/>
          <c:order val="1"/>
          <c:tx>
            <c:strRef>
              <c:f>'DCF Valuation'!$C$53:$C$54</c:f>
              <c:strCache>
                <c:ptCount val="2"/>
                <c:pt idx="0">
                  <c:v>Football Field Valuation</c:v>
                </c:pt>
                <c:pt idx="1">
                  <c:v>High 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Bold"/>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Valuation'!$A$55:$A$58</c:f>
              <c:strCache>
                <c:ptCount val="4"/>
                <c:pt idx="0">
                  <c:v>DCF</c:v>
                </c:pt>
                <c:pt idx="1">
                  <c:v>EV/EBITDA</c:v>
                </c:pt>
                <c:pt idx="2">
                  <c:v>P/E</c:v>
                </c:pt>
                <c:pt idx="3">
                  <c:v>Comparable Companies</c:v>
                </c:pt>
              </c:strCache>
            </c:strRef>
          </c:cat>
          <c:val>
            <c:numRef>
              <c:f>'DCF Valuation'!$C$55:$C$58</c:f>
              <c:numCache>
                <c:formatCode>General</c:formatCode>
                <c:ptCount val="4"/>
                <c:pt idx="0">
                  <c:v>420</c:v>
                </c:pt>
                <c:pt idx="1">
                  <c:v>460</c:v>
                </c:pt>
                <c:pt idx="2">
                  <c:v>440</c:v>
                </c:pt>
                <c:pt idx="3">
                  <c:v>480</c:v>
                </c:pt>
              </c:numCache>
            </c:numRef>
          </c:val>
          <c:extLst>
            <c:ext xmlns:c16="http://schemas.microsoft.com/office/drawing/2014/chart" uri="{C3380CC4-5D6E-409C-BE32-E72D297353CC}">
              <c16:uniqueId val="{00000001-22B7-4A01-9C9B-E72B0A3F436F}"/>
            </c:ext>
          </c:extLst>
        </c:ser>
        <c:dLbls>
          <c:showLegendKey val="0"/>
          <c:showVal val="0"/>
          <c:showCatName val="0"/>
          <c:showSerName val="0"/>
          <c:showPercent val="0"/>
          <c:showBubbleSize val="0"/>
        </c:dLbls>
        <c:axId val="1230421407"/>
        <c:axId val="1230432223"/>
      </c:areaChart>
      <c:barChart>
        <c:barDir val="col"/>
        <c:grouping val="clustered"/>
        <c:varyColors val="0"/>
        <c:ser>
          <c:idx val="2"/>
          <c:order val="2"/>
          <c:tx>
            <c:strRef>
              <c:f>'DCF Valuation'!$D$53:$D$54</c:f>
              <c:strCache>
                <c:ptCount val="2"/>
                <c:pt idx="0">
                  <c:v>Football Field Valuation</c:v>
                </c:pt>
                <c:pt idx="1">
                  <c:v>Target Marker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00B05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Bold"/>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Valuation'!$A$55:$A$58</c:f>
              <c:strCache>
                <c:ptCount val="4"/>
                <c:pt idx="0">
                  <c:v>DCF</c:v>
                </c:pt>
                <c:pt idx="1">
                  <c:v>EV/EBITDA</c:v>
                </c:pt>
                <c:pt idx="2">
                  <c:v>P/E</c:v>
                </c:pt>
                <c:pt idx="3">
                  <c:v>Comparable Companies</c:v>
                </c:pt>
              </c:strCache>
            </c:strRef>
          </c:cat>
          <c:val>
            <c:numRef>
              <c:f>'DCF Valuation'!$D$55:$D$58</c:f>
              <c:numCache>
                <c:formatCode>"$"#,##0_);[Red]\("$"#,##0\)</c:formatCode>
                <c:ptCount val="4"/>
                <c:pt idx="0">
                  <c:v>386.11179448578162</c:v>
                </c:pt>
                <c:pt idx="1">
                  <c:v>386.11179448578162</c:v>
                </c:pt>
                <c:pt idx="2">
                  <c:v>386.11179448578162</c:v>
                </c:pt>
                <c:pt idx="3">
                  <c:v>386.11179448578162</c:v>
                </c:pt>
              </c:numCache>
            </c:numRef>
          </c:val>
          <c:extLst>
            <c:ext xmlns:c16="http://schemas.microsoft.com/office/drawing/2014/chart" uri="{C3380CC4-5D6E-409C-BE32-E72D297353CC}">
              <c16:uniqueId val="{00000009-1847-41A0-B0B2-5B7F8617D700}"/>
            </c:ext>
          </c:extLst>
        </c:ser>
        <c:dLbls>
          <c:dLblPos val="ctr"/>
          <c:showLegendKey val="0"/>
          <c:showVal val="1"/>
          <c:showCatName val="0"/>
          <c:showSerName val="0"/>
          <c:showPercent val="0"/>
          <c:showBubbleSize val="0"/>
        </c:dLbls>
        <c:gapWidth val="150"/>
        <c:axId val="1230421407"/>
        <c:axId val="1230432223"/>
      </c:barChart>
      <c:catAx>
        <c:axId val="1230421407"/>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30432223"/>
        <c:crosses val="autoZero"/>
        <c:auto val="1"/>
        <c:lblAlgn val="ctr"/>
        <c:lblOffset val="100"/>
        <c:noMultiLvlLbl val="0"/>
      </c:catAx>
      <c:valAx>
        <c:axId val="1230432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30421407"/>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bg1"/>
                </a:solidFill>
                <a:latin typeface="Bold"/>
                <a:ea typeface="+mn-ea"/>
                <a:cs typeface="+mn-cs"/>
              </a:defRPr>
            </a:pPr>
            <a:r>
              <a:rPr lang="en-US">
                <a:solidFill>
                  <a:schemeClr val="bg1"/>
                </a:solidFill>
              </a:rPr>
              <a:t>Revenue FORECAST</a:t>
            </a:r>
          </a:p>
        </c:rich>
      </c:tx>
      <c:overlay val="0"/>
      <c:spPr>
        <a:solidFill>
          <a:schemeClr val="tx1"/>
        </a:solid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Bold"/>
              <a:ea typeface="+mn-ea"/>
              <a:cs typeface="+mn-cs"/>
            </a:defRPr>
          </a:pPr>
          <a:endParaRPr lang="en-US"/>
        </a:p>
      </c:txPr>
    </c:title>
    <c:autoTitleDeleted val="0"/>
    <c:plotArea>
      <c:layout/>
      <c:lineChart>
        <c:grouping val="stacked"/>
        <c:varyColors val="0"/>
        <c:ser>
          <c:idx val="0"/>
          <c:order val="0"/>
          <c:tx>
            <c:strRef>
              <c:f>'DCF Valuation'!$A$17</c:f>
              <c:strCache>
                <c:ptCount val="1"/>
                <c:pt idx="0">
                  <c:v>Revenue</c:v>
                </c:pt>
              </c:strCache>
            </c:strRef>
          </c:tx>
          <c:spPr>
            <a:ln w="34925" cap="rnd">
              <a:solidFill>
                <a:schemeClr val="lt1"/>
              </a:solidFill>
              <a:round/>
            </a:ln>
            <a:effectLst>
              <a:outerShdw dist="25400" dir="2700000" algn="tl" rotWithShape="0">
                <a:schemeClr val="accent1"/>
              </a:outerShdw>
            </a:effectLst>
          </c:spPr>
          <c:marker>
            <c:symbol val="none"/>
          </c:marker>
          <c:dLbls>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'DCF Valuation'!$B$16:$F$16</c:f>
              <c:strCache>
                <c:ptCount val="5"/>
                <c:pt idx="0">
                  <c:v>2025E</c:v>
                </c:pt>
                <c:pt idx="1">
                  <c:v>2026E</c:v>
                </c:pt>
                <c:pt idx="2">
                  <c:v>2027E</c:v>
                </c:pt>
                <c:pt idx="3">
                  <c:v>2028E</c:v>
                </c:pt>
                <c:pt idx="4">
                  <c:v>2029E</c:v>
                </c:pt>
              </c:strCache>
            </c:strRef>
          </c:cat>
          <c:val>
            <c:numRef>
              <c:f>'DCF Valuation'!$B$17:$F$17</c:f>
              <c:numCache>
                <c:formatCode>0.00</c:formatCode>
                <c:ptCount val="5"/>
                <c:pt idx="0">
                  <c:v>31547.040000000005</c:v>
                </c:pt>
                <c:pt idx="1">
                  <c:v>35648.155200000001</c:v>
                </c:pt>
                <c:pt idx="2">
                  <c:v>39925.933824000007</c:v>
                </c:pt>
                <c:pt idx="3">
                  <c:v>44317.78654464001</c:v>
                </c:pt>
                <c:pt idx="4">
                  <c:v>48749.565199104014</c:v>
                </c:pt>
              </c:numCache>
            </c:numRef>
          </c:val>
          <c:smooth val="0"/>
          <c:extLst>
            <c:ext xmlns:c16="http://schemas.microsoft.com/office/drawing/2014/chart" uri="{C3380CC4-5D6E-409C-BE32-E72D297353CC}">
              <c16:uniqueId val="{00000000-B5BB-4329-A99B-3BA91F1B9A10}"/>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30449279"/>
        <c:axId val="1230453439"/>
      </c:lineChart>
      <c:catAx>
        <c:axId val="1230449279"/>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bg1"/>
                </a:solidFill>
                <a:latin typeface="Bold"/>
                <a:ea typeface="+mn-ea"/>
                <a:cs typeface="+mn-cs"/>
              </a:defRPr>
            </a:pPr>
            <a:endParaRPr lang="en-US"/>
          </a:p>
        </c:txPr>
        <c:crossAx val="1230453439"/>
        <c:crosses val="autoZero"/>
        <c:auto val="1"/>
        <c:lblAlgn val="ctr"/>
        <c:lblOffset val="100"/>
        <c:noMultiLvlLbl val="0"/>
      </c:catAx>
      <c:valAx>
        <c:axId val="1230453439"/>
        <c:scaling>
          <c:orientation val="minMax"/>
        </c:scaling>
        <c:delete val="0"/>
        <c:axPos val="l"/>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30449279"/>
        <c:crosses val="autoZero"/>
        <c:crossBetween val="between"/>
      </c:valAx>
      <c:spPr>
        <a:noFill/>
        <a:ln>
          <a:noFill/>
        </a:ln>
        <a:effectLst/>
      </c:spPr>
    </c:plotArea>
    <c:legend>
      <c:legendPos val="t"/>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b="1">
          <a:latin typeface="Bold"/>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Projected Free Cash Flow Growth (2025–2029)</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'DCF Valuation'!$B$16</c:f>
              <c:strCache>
                <c:ptCount val="1"/>
                <c:pt idx="0">
                  <c:v>2025E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Valuation'!$A$23</c:f>
              <c:strCache>
                <c:ptCount val="1"/>
                <c:pt idx="0">
                  <c:v>Free Cash Flow to Firm</c:v>
                </c:pt>
              </c:strCache>
            </c:strRef>
          </c:cat>
          <c:val>
            <c:numRef>
              <c:f>'DCF Valuation'!$B$23</c:f>
              <c:numCache>
                <c:formatCode>0.00</c:formatCode>
                <c:ptCount val="1"/>
                <c:pt idx="0">
                  <c:v>18784.948275775998</c:v>
                </c:pt>
              </c:numCache>
            </c:numRef>
          </c:val>
          <c:extLst>
            <c:ext xmlns:c16="http://schemas.microsoft.com/office/drawing/2014/chart" uri="{C3380CC4-5D6E-409C-BE32-E72D297353CC}">
              <c16:uniqueId val="{00000000-296E-43A6-9FCE-540D542BE4A9}"/>
            </c:ext>
          </c:extLst>
        </c:ser>
        <c:ser>
          <c:idx val="1"/>
          <c:order val="1"/>
          <c:tx>
            <c:strRef>
              <c:f>'DCF Valuation'!$C$16</c:f>
              <c:strCache>
                <c:ptCount val="1"/>
                <c:pt idx="0">
                  <c:v>2026E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Valuation'!$A$23</c:f>
              <c:strCache>
                <c:ptCount val="1"/>
                <c:pt idx="0">
                  <c:v>Free Cash Flow to Firm</c:v>
                </c:pt>
              </c:strCache>
            </c:strRef>
          </c:cat>
          <c:val>
            <c:numRef>
              <c:f>'DCF Valuation'!$C$23</c:f>
              <c:numCache>
                <c:formatCode>0.00</c:formatCode>
                <c:ptCount val="1"/>
                <c:pt idx="0">
                  <c:v>19435.741645375994</c:v>
                </c:pt>
              </c:numCache>
            </c:numRef>
          </c:val>
          <c:extLst>
            <c:ext xmlns:c16="http://schemas.microsoft.com/office/drawing/2014/chart" uri="{C3380CC4-5D6E-409C-BE32-E72D297353CC}">
              <c16:uniqueId val="{00000001-296E-43A6-9FCE-540D542BE4A9}"/>
            </c:ext>
          </c:extLst>
        </c:ser>
        <c:ser>
          <c:idx val="2"/>
          <c:order val="2"/>
          <c:tx>
            <c:strRef>
              <c:f>'DCF Valuation'!$D$16</c:f>
              <c:strCache>
                <c:ptCount val="1"/>
                <c:pt idx="0">
                  <c:v>2027E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Valuation'!$A$23</c:f>
              <c:strCache>
                <c:ptCount val="1"/>
                <c:pt idx="0">
                  <c:v>Free Cash Flow to Firm</c:v>
                </c:pt>
              </c:strCache>
            </c:strRef>
          </c:cat>
          <c:val>
            <c:numRef>
              <c:f>'DCF Valuation'!$D$23</c:f>
              <c:numCache>
                <c:formatCode>0.00</c:formatCode>
                <c:ptCount val="1"/>
                <c:pt idx="0">
                  <c:v>21798.440108364801</c:v>
                </c:pt>
              </c:numCache>
            </c:numRef>
          </c:val>
          <c:extLst>
            <c:ext xmlns:c16="http://schemas.microsoft.com/office/drawing/2014/chart" uri="{C3380CC4-5D6E-409C-BE32-E72D297353CC}">
              <c16:uniqueId val="{00000002-296E-43A6-9FCE-540D542BE4A9}"/>
            </c:ext>
          </c:extLst>
        </c:ser>
        <c:ser>
          <c:idx val="3"/>
          <c:order val="3"/>
          <c:tx>
            <c:strRef>
              <c:f>'DCF Valuation'!$E$16</c:f>
              <c:strCache>
                <c:ptCount val="1"/>
                <c:pt idx="0">
                  <c:v>2028E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Valuation'!$A$23</c:f>
              <c:strCache>
                <c:ptCount val="1"/>
                <c:pt idx="0">
                  <c:v>Free Cash Flow to Firm</c:v>
                </c:pt>
              </c:strCache>
            </c:strRef>
          </c:cat>
          <c:val>
            <c:numRef>
              <c:f>'DCF Valuation'!$E$23</c:f>
              <c:numCache>
                <c:formatCode>0.00</c:formatCode>
                <c:ptCount val="1"/>
                <c:pt idx="0">
                  <c:v>24283.100438018817</c:v>
                </c:pt>
              </c:numCache>
            </c:numRef>
          </c:val>
          <c:extLst>
            <c:ext xmlns:c16="http://schemas.microsoft.com/office/drawing/2014/chart" uri="{C3380CC4-5D6E-409C-BE32-E72D297353CC}">
              <c16:uniqueId val="{00000003-296E-43A6-9FCE-540D542BE4A9}"/>
            </c:ext>
          </c:extLst>
        </c:ser>
        <c:ser>
          <c:idx val="4"/>
          <c:order val="4"/>
          <c:tx>
            <c:strRef>
              <c:f>'DCF Valuation'!$F$16</c:f>
              <c:strCache>
                <c:ptCount val="1"/>
                <c:pt idx="0">
                  <c:v>2029E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Valuation'!$A$23</c:f>
              <c:strCache>
                <c:ptCount val="1"/>
                <c:pt idx="0">
                  <c:v>Free Cash Flow to Firm</c:v>
                </c:pt>
              </c:strCache>
            </c:strRef>
          </c:cat>
          <c:val>
            <c:numRef>
              <c:f>'DCF Valuation'!$F$23</c:f>
              <c:numCache>
                <c:formatCode>0.00</c:formatCode>
                <c:ptCount val="1"/>
                <c:pt idx="0">
                  <c:v>26858.748557578921</c:v>
                </c:pt>
              </c:numCache>
            </c:numRef>
          </c:val>
          <c:extLst>
            <c:ext xmlns:c16="http://schemas.microsoft.com/office/drawing/2014/chart" uri="{C3380CC4-5D6E-409C-BE32-E72D297353CC}">
              <c16:uniqueId val="{00000004-296E-43A6-9FCE-540D542BE4A9}"/>
            </c:ext>
          </c:extLst>
        </c:ser>
        <c:dLbls>
          <c:dLblPos val="outEnd"/>
          <c:showLegendKey val="0"/>
          <c:showVal val="1"/>
          <c:showCatName val="0"/>
          <c:showSerName val="0"/>
          <c:showPercent val="0"/>
          <c:showBubbleSize val="0"/>
        </c:dLbls>
        <c:gapWidth val="100"/>
        <c:overlap val="-24"/>
        <c:axId val="1279738383"/>
        <c:axId val="1279735887"/>
      </c:barChart>
      <c:catAx>
        <c:axId val="1279738383"/>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79735887"/>
        <c:crosses val="autoZero"/>
        <c:auto val="1"/>
        <c:lblAlgn val="ctr"/>
        <c:lblOffset val="100"/>
        <c:noMultiLvlLbl val="0"/>
      </c:catAx>
      <c:valAx>
        <c:axId val="127973588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79738383"/>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r>
              <a:rPr lang="en-US">
                <a:solidFill>
                  <a:schemeClr val="bg1"/>
                </a:solidFill>
                <a:latin typeface="Bold"/>
              </a:rPr>
              <a:t>Valuation Comparison</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'DCF Valuation'!$A$63:$A$64</c:f>
              <c:strCache>
                <c:ptCount val="2"/>
                <c:pt idx="0">
                  <c:v>DCF Fair Value (12M Target Price)</c:v>
                </c:pt>
                <c:pt idx="1">
                  <c:v>Current Price</c:v>
                </c:pt>
              </c:strCache>
            </c:strRef>
          </c:cat>
          <c:val>
            <c:numRef>
              <c:f>'DCF Valuation'!$B$63:$B$64</c:f>
              <c:numCache>
                <c:formatCode>"$"#,##0_);[Red]\("$"#,##0\)</c:formatCode>
                <c:ptCount val="2"/>
                <c:pt idx="0">
                  <c:v>386.11179448578162</c:v>
                </c:pt>
                <c:pt idx="1">
                  <c:v>450</c:v>
                </c:pt>
              </c:numCache>
            </c:numRef>
          </c:val>
          <c:extLst>
            <c:ext xmlns:c16="http://schemas.microsoft.com/office/drawing/2014/chart" uri="{C3380CC4-5D6E-409C-BE32-E72D297353CC}">
              <c16:uniqueId val="{00000000-6941-40A6-A255-7D44032B55EA}"/>
            </c:ext>
          </c:extLst>
        </c:ser>
        <c:dLbls>
          <c:showLegendKey val="0"/>
          <c:showVal val="0"/>
          <c:showCatName val="0"/>
          <c:showSerName val="0"/>
          <c:showPercent val="0"/>
          <c:showBubbleSize val="0"/>
        </c:dLbls>
        <c:gapWidth val="100"/>
        <c:overlap val="-24"/>
        <c:axId val="1280053071"/>
        <c:axId val="1280055983"/>
      </c:barChart>
      <c:catAx>
        <c:axId val="1280053071"/>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80055983"/>
        <c:crosses val="autoZero"/>
        <c:auto val="1"/>
        <c:lblAlgn val="ctr"/>
        <c:lblOffset val="100"/>
        <c:noMultiLvlLbl val="0"/>
      </c:catAx>
      <c:valAx>
        <c:axId val="1280055983"/>
        <c:scaling>
          <c:orientation val="minMax"/>
        </c:scaling>
        <c:delete val="0"/>
        <c:axPos val="l"/>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12800530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US">
                <a:latin typeface="Bold"/>
              </a:rPr>
              <a:t>Revenue Forecast (2025E–2029E)</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lineChart>
        <c:grouping val="standard"/>
        <c:varyColors val="0"/>
        <c:ser>
          <c:idx val="0"/>
          <c:order val="0"/>
          <c:tx>
            <c:strRef>
              <c:f>'Valuation Dashboard'!$A$24</c:f>
              <c:strCache>
                <c:ptCount val="1"/>
                <c:pt idx="0">
                  <c:v>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Dashboard'!$B$23:$F$23</c:f>
              <c:strCache>
                <c:ptCount val="5"/>
                <c:pt idx="0">
                  <c:v>2025E</c:v>
                </c:pt>
                <c:pt idx="1">
                  <c:v>2026E</c:v>
                </c:pt>
                <c:pt idx="2">
                  <c:v>2027E</c:v>
                </c:pt>
                <c:pt idx="3">
                  <c:v>2028E</c:v>
                </c:pt>
                <c:pt idx="4">
                  <c:v>2029E</c:v>
                </c:pt>
              </c:strCache>
            </c:strRef>
          </c:cat>
          <c:val>
            <c:numRef>
              <c:f>'Valuation Dashboard'!$B$24:$F$24</c:f>
              <c:numCache>
                <c:formatCode>0.00</c:formatCode>
                <c:ptCount val="5"/>
                <c:pt idx="0">
                  <c:v>31547.040000000005</c:v>
                </c:pt>
                <c:pt idx="1">
                  <c:v>35648.155200000001</c:v>
                </c:pt>
                <c:pt idx="2">
                  <c:v>39925.933824000007</c:v>
                </c:pt>
                <c:pt idx="3">
                  <c:v>44317.78654464001</c:v>
                </c:pt>
                <c:pt idx="4">
                  <c:v>48749.565199104014</c:v>
                </c:pt>
              </c:numCache>
            </c:numRef>
          </c:val>
          <c:smooth val="0"/>
          <c:extLst>
            <c:ext xmlns:c16="http://schemas.microsoft.com/office/drawing/2014/chart" uri="{C3380CC4-5D6E-409C-BE32-E72D297353CC}">
              <c16:uniqueId val="{00000000-B295-4256-978E-E561A0D0C278}"/>
            </c:ext>
          </c:extLst>
        </c:ser>
        <c:dLbls>
          <c:dLblPos val="t"/>
          <c:showLegendKey val="0"/>
          <c:showVal val="1"/>
          <c:showCatName val="0"/>
          <c:showSerName val="0"/>
          <c:showPercent val="0"/>
          <c:showBubbleSize val="0"/>
        </c:dLbls>
        <c:smooth val="0"/>
        <c:axId val="826545711"/>
        <c:axId val="826551535"/>
      </c:lineChart>
      <c:catAx>
        <c:axId val="826545711"/>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26551535"/>
        <c:crosses val="autoZero"/>
        <c:auto val="1"/>
        <c:lblAlgn val="ctr"/>
        <c:lblOffset val="100"/>
        <c:noMultiLvlLbl val="0"/>
      </c:catAx>
      <c:valAx>
        <c:axId val="8265515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26545711"/>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US"/>
              <a:t>FCFF Projection</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tx>
            <c:strRef>
              <c:f>'Valuation Dashboard'!$A$41</c:f>
              <c:strCache>
                <c:ptCount val="1"/>
                <c:pt idx="0">
                  <c:v>Free Cash Flow to Firm</c:v>
                </c:pt>
              </c:strCache>
            </c:strRef>
          </c:tx>
          <c:spPr>
            <a:solidFill>
              <a:srgbClr val="00B050"/>
            </a:soli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Bold"/>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Dashboard'!$B$40:$F$40</c:f>
              <c:strCache>
                <c:ptCount val="5"/>
                <c:pt idx="0">
                  <c:v>2025E</c:v>
                </c:pt>
                <c:pt idx="1">
                  <c:v>2026E</c:v>
                </c:pt>
                <c:pt idx="2">
                  <c:v>2027E</c:v>
                </c:pt>
                <c:pt idx="3">
                  <c:v>2028E</c:v>
                </c:pt>
                <c:pt idx="4">
                  <c:v>2029E</c:v>
                </c:pt>
              </c:strCache>
            </c:strRef>
          </c:cat>
          <c:val>
            <c:numRef>
              <c:f>'Valuation Dashboard'!$B$41:$F$41</c:f>
              <c:numCache>
                <c:formatCode>0.00</c:formatCode>
                <c:ptCount val="5"/>
                <c:pt idx="0">
                  <c:v>18784.948275775998</c:v>
                </c:pt>
                <c:pt idx="1">
                  <c:v>19435.741645375994</c:v>
                </c:pt>
                <c:pt idx="2">
                  <c:v>21798.440108364801</c:v>
                </c:pt>
                <c:pt idx="3">
                  <c:v>24283.100438018817</c:v>
                </c:pt>
                <c:pt idx="4">
                  <c:v>26858.748557578921</c:v>
                </c:pt>
              </c:numCache>
            </c:numRef>
          </c:val>
          <c:extLst>
            <c:ext xmlns:c16="http://schemas.microsoft.com/office/drawing/2014/chart" uri="{C3380CC4-5D6E-409C-BE32-E72D297353CC}">
              <c16:uniqueId val="{00000000-B686-4336-8656-5C010B42DAF8}"/>
            </c:ext>
          </c:extLst>
        </c:ser>
        <c:dLbls>
          <c:dLblPos val="inEnd"/>
          <c:showLegendKey val="0"/>
          <c:showVal val="1"/>
          <c:showCatName val="0"/>
          <c:showSerName val="0"/>
          <c:showPercent val="0"/>
          <c:showBubbleSize val="0"/>
        </c:dLbls>
        <c:gapWidth val="100"/>
        <c:overlap val="-24"/>
        <c:axId val="1207988687"/>
        <c:axId val="1207989519"/>
      </c:barChart>
      <c:catAx>
        <c:axId val="1207988687"/>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Bold"/>
                <a:ea typeface="+mn-ea"/>
                <a:cs typeface="+mn-cs"/>
              </a:defRPr>
            </a:pPr>
            <a:endParaRPr lang="en-US"/>
          </a:p>
        </c:txPr>
        <c:crossAx val="1207989519"/>
        <c:crosses val="autoZero"/>
        <c:auto val="1"/>
        <c:lblAlgn val="ctr"/>
        <c:lblOffset val="100"/>
        <c:noMultiLvlLbl val="0"/>
      </c:catAx>
      <c:valAx>
        <c:axId val="120798951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Bold"/>
                <a:ea typeface="+mn-ea"/>
                <a:cs typeface="+mn-cs"/>
              </a:defRPr>
            </a:pPr>
            <a:endParaRPr lang="en-US"/>
          </a:p>
        </c:txPr>
        <c:crossAx val="1207988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Bold"/>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Bold"/>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US">
                <a:latin typeface="Bold"/>
              </a:rPr>
              <a:t>Market Price Vs Intrinsic Price</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manualLayout>
          <c:layoutTarget val="inner"/>
          <c:xMode val="edge"/>
          <c:yMode val="edge"/>
          <c:x val="6.475642391161146E-2"/>
          <c:y val="0.14437890063683612"/>
          <c:w val="0.89235993154744775"/>
          <c:h val="0.72854551424422997"/>
        </c:manualLayout>
      </c:layout>
      <c:barChart>
        <c:barDir val="bar"/>
        <c:grouping val="clustered"/>
        <c:varyColors val="0"/>
        <c:ser>
          <c:idx val="0"/>
          <c:order val="0"/>
          <c:tx>
            <c:strRef>
              <c:f>'Valuation Dashboard'!$H$4</c:f>
              <c:strCache>
                <c:ptCount val="1"/>
                <c:pt idx="0">
                  <c:v>Market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val>
            <c:numRef>
              <c:f>'Valuation Dashboard'!$I$4</c:f>
              <c:numCache>
                <c:formatCode>General</c:formatCode>
                <c:ptCount val="1"/>
                <c:pt idx="0">
                  <c:v>450</c:v>
                </c:pt>
              </c:numCache>
            </c:numRef>
          </c:val>
          <c:extLst>
            <c:ext xmlns:c16="http://schemas.microsoft.com/office/drawing/2014/chart" uri="{C3380CC4-5D6E-409C-BE32-E72D297353CC}">
              <c16:uniqueId val="{00000000-AAC6-46CC-9BB9-69023EA732AE}"/>
            </c:ext>
          </c:extLst>
        </c:ser>
        <c:ser>
          <c:idx val="1"/>
          <c:order val="1"/>
          <c:tx>
            <c:strRef>
              <c:f>'Valuation Dashboard'!$H$5</c:f>
              <c:strCache>
                <c:ptCount val="1"/>
                <c:pt idx="0">
                  <c:v>Intrinsic 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'Valuation Dashboard'!$I$5</c:f>
              <c:numCache>
                <c:formatCode>0</c:formatCode>
                <c:ptCount val="1"/>
                <c:pt idx="0">
                  <c:v>386.11179448578162</c:v>
                </c:pt>
              </c:numCache>
            </c:numRef>
          </c:val>
          <c:extLst>
            <c:ext xmlns:c16="http://schemas.microsoft.com/office/drawing/2014/chart" uri="{C3380CC4-5D6E-409C-BE32-E72D297353CC}">
              <c16:uniqueId val="{00000001-AAC6-46CC-9BB9-69023EA732AE}"/>
            </c:ext>
          </c:extLst>
        </c:ser>
        <c:dLbls>
          <c:dLblPos val="inEnd"/>
          <c:showLegendKey val="0"/>
          <c:showVal val="1"/>
          <c:showCatName val="0"/>
          <c:showSerName val="0"/>
          <c:showPercent val="0"/>
          <c:showBubbleSize val="0"/>
        </c:dLbls>
        <c:gapWidth val="115"/>
        <c:overlap val="-20"/>
        <c:axId val="1192135103"/>
        <c:axId val="1192134687"/>
      </c:barChart>
      <c:catAx>
        <c:axId val="1192135103"/>
        <c:scaling>
          <c:orientation val="minMax"/>
        </c:scaling>
        <c:delete val="0"/>
        <c:axPos val="l"/>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1192134687"/>
        <c:crosses val="autoZero"/>
        <c:auto val="1"/>
        <c:lblAlgn val="ctr"/>
        <c:lblOffset val="100"/>
        <c:noMultiLvlLbl val="0"/>
      </c:catAx>
      <c:valAx>
        <c:axId val="11921346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1192135103"/>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US">
                <a:latin typeface="Bold"/>
              </a:rPr>
              <a:t>Valuation Range Analysis</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manualLayout>
          <c:layoutTarget val="inner"/>
          <c:xMode val="edge"/>
          <c:yMode val="edge"/>
          <c:x val="4.8780487804878049E-3"/>
          <c:y val="0.12966784610784413"/>
          <c:w val="0.98658536585365852"/>
          <c:h val="0.75996785607495265"/>
        </c:manualLayout>
      </c:layout>
      <c:barChart>
        <c:barDir val="bar"/>
        <c:grouping val="stacked"/>
        <c:varyColors val="0"/>
        <c:ser>
          <c:idx val="0"/>
          <c:order val="0"/>
          <c:tx>
            <c:strRef>
              <c:f>'Valuation Dashboard'!$A$62</c:f>
              <c:strCache>
                <c:ptCount val="1"/>
                <c:pt idx="0">
                  <c:v>DCF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Dashboard'!$B$61:$C$61</c:f>
              <c:strCache>
                <c:ptCount val="2"/>
                <c:pt idx="0">
                  <c:v>Low</c:v>
                </c:pt>
                <c:pt idx="1">
                  <c:v>High</c:v>
                </c:pt>
              </c:strCache>
            </c:strRef>
          </c:cat>
          <c:val>
            <c:numRef>
              <c:f>'Valuation Dashboard'!$B$62:$C$62</c:f>
              <c:numCache>
                <c:formatCode>General</c:formatCode>
                <c:ptCount val="2"/>
                <c:pt idx="0">
                  <c:v>350</c:v>
                </c:pt>
                <c:pt idx="1">
                  <c:v>420</c:v>
                </c:pt>
              </c:numCache>
            </c:numRef>
          </c:val>
          <c:extLst>
            <c:ext xmlns:c16="http://schemas.microsoft.com/office/drawing/2014/chart" uri="{C3380CC4-5D6E-409C-BE32-E72D297353CC}">
              <c16:uniqueId val="{00000000-2F85-45B8-8F5B-6A917E2868AD}"/>
            </c:ext>
          </c:extLst>
        </c:ser>
        <c:ser>
          <c:idx val="1"/>
          <c:order val="1"/>
          <c:tx>
            <c:strRef>
              <c:f>'Valuation Dashboard'!$A$63</c:f>
              <c:strCache>
                <c:ptCount val="1"/>
                <c:pt idx="0">
                  <c:v>P/E Multiple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Dashboard'!$B$61:$C$61</c:f>
              <c:strCache>
                <c:ptCount val="2"/>
                <c:pt idx="0">
                  <c:v>Low</c:v>
                </c:pt>
                <c:pt idx="1">
                  <c:v>High</c:v>
                </c:pt>
              </c:strCache>
            </c:strRef>
          </c:cat>
          <c:val>
            <c:numRef>
              <c:f>'Valuation Dashboard'!$B$63:$C$63</c:f>
              <c:numCache>
                <c:formatCode>General</c:formatCode>
                <c:ptCount val="2"/>
                <c:pt idx="0">
                  <c:v>320</c:v>
                </c:pt>
                <c:pt idx="1">
                  <c:v>420</c:v>
                </c:pt>
              </c:numCache>
            </c:numRef>
          </c:val>
          <c:extLst>
            <c:ext xmlns:c16="http://schemas.microsoft.com/office/drawing/2014/chart" uri="{C3380CC4-5D6E-409C-BE32-E72D297353CC}">
              <c16:uniqueId val="{00000001-2F85-45B8-8F5B-6A917E2868AD}"/>
            </c:ext>
          </c:extLst>
        </c:ser>
        <c:ser>
          <c:idx val="2"/>
          <c:order val="2"/>
          <c:tx>
            <c:strRef>
              <c:f>'Valuation Dashboard'!$A$64</c:f>
              <c:strCache>
                <c:ptCount val="1"/>
                <c:pt idx="0">
                  <c:v>EV/EBITDA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Dashboard'!$B$61:$C$61</c:f>
              <c:strCache>
                <c:ptCount val="2"/>
                <c:pt idx="0">
                  <c:v>Low</c:v>
                </c:pt>
                <c:pt idx="1">
                  <c:v>High</c:v>
                </c:pt>
              </c:strCache>
            </c:strRef>
          </c:cat>
          <c:val>
            <c:numRef>
              <c:f>'Valuation Dashboard'!$B$64:$C$64</c:f>
              <c:numCache>
                <c:formatCode>General</c:formatCode>
                <c:ptCount val="2"/>
                <c:pt idx="0">
                  <c:v>300</c:v>
                </c:pt>
                <c:pt idx="1">
                  <c:v>410</c:v>
                </c:pt>
              </c:numCache>
            </c:numRef>
          </c:val>
          <c:extLst>
            <c:ext xmlns:c16="http://schemas.microsoft.com/office/drawing/2014/chart" uri="{C3380CC4-5D6E-409C-BE32-E72D297353CC}">
              <c16:uniqueId val="{00000002-2F85-45B8-8F5B-6A917E2868AD}"/>
            </c:ext>
          </c:extLst>
        </c:ser>
        <c:ser>
          <c:idx val="3"/>
          <c:order val="3"/>
          <c:tx>
            <c:strRef>
              <c:f>'Valuation Dashboard'!$A$65</c:f>
              <c:strCache>
                <c:ptCount val="1"/>
                <c:pt idx="0">
                  <c:v>Analyst Consensus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Dashboard'!$B$61:$C$61</c:f>
              <c:strCache>
                <c:ptCount val="2"/>
                <c:pt idx="0">
                  <c:v>Low</c:v>
                </c:pt>
                <c:pt idx="1">
                  <c:v>High</c:v>
                </c:pt>
              </c:strCache>
            </c:strRef>
          </c:cat>
          <c:val>
            <c:numRef>
              <c:f>'Valuation Dashboard'!$B$65:$C$65</c:f>
              <c:numCache>
                <c:formatCode>General</c:formatCode>
                <c:ptCount val="2"/>
                <c:pt idx="0">
                  <c:v>350</c:v>
                </c:pt>
                <c:pt idx="1">
                  <c:v>480</c:v>
                </c:pt>
              </c:numCache>
            </c:numRef>
          </c:val>
          <c:extLst>
            <c:ext xmlns:c16="http://schemas.microsoft.com/office/drawing/2014/chart" uri="{C3380CC4-5D6E-409C-BE32-E72D297353CC}">
              <c16:uniqueId val="{00000003-2F85-45B8-8F5B-6A917E2868AD}"/>
            </c:ext>
          </c:extLst>
        </c:ser>
        <c:ser>
          <c:idx val="4"/>
          <c:order val="4"/>
          <c:tx>
            <c:strRef>
              <c:f>'Valuation Dashboard'!$A$66</c:f>
              <c:strCache>
                <c:ptCount val="1"/>
                <c:pt idx="0">
                  <c:v>Current Market Price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'Valuation Dashboard'!$B$61:$C$61</c:f>
              <c:strCache>
                <c:ptCount val="2"/>
                <c:pt idx="0">
                  <c:v>Low</c:v>
                </c:pt>
                <c:pt idx="1">
                  <c:v>High</c:v>
                </c:pt>
              </c:strCache>
            </c:strRef>
          </c:cat>
          <c:val>
            <c:numRef>
              <c:f>'Valuation Dashboard'!$B$66:$C$66</c:f>
              <c:numCache>
                <c:formatCode>General</c:formatCode>
                <c:ptCount val="2"/>
                <c:pt idx="0">
                  <c:v>450</c:v>
                </c:pt>
                <c:pt idx="1">
                  <c:v>450</c:v>
                </c:pt>
              </c:numCache>
            </c:numRef>
          </c:val>
          <c:extLst>
            <c:ext xmlns:c16="http://schemas.microsoft.com/office/drawing/2014/chart" uri="{C3380CC4-5D6E-409C-BE32-E72D297353CC}">
              <c16:uniqueId val="{00000004-2F85-45B8-8F5B-6A917E2868AD}"/>
            </c:ext>
          </c:extLst>
        </c:ser>
        <c:dLbls>
          <c:dLblPos val="ctr"/>
          <c:showLegendKey val="0"/>
          <c:showVal val="1"/>
          <c:showCatName val="0"/>
          <c:showSerName val="0"/>
          <c:showPercent val="0"/>
          <c:showBubbleSize val="0"/>
        </c:dLbls>
        <c:gapWidth val="150"/>
        <c:overlap val="100"/>
        <c:axId val="66642992"/>
        <c:axId val="66641744"/>
      </c:barChart>
      <c:catAx>
        <c:axId val="66642992"/>
        <c:scaling>
          <c:orientation val="minMax"/>
        </c:scaling>
        <c:delete val="0"/>
        <c:axPos val="l"/>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66641744"/>
        <c:crosses val="autoZero"/>
        <c:auto val="1"/>
        <c:lblAlgn val="ctr"/>
        <c:lblOffset val="100"/>
        <c:noMultiLvlLbl val="0"/>
      </c:catAx>
      <c:valAx>
        <c:axId val="666417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66642992"/>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r>
              <a:rPr lang="en-IN">
                <a:solidFill>
                  <a:schemeClr val="bg2"/>
                </a:solidFill>
                <a:latin typeface="Bold"/>
              </a:rPr>
              <a:t>Valuation Multiples Comparison</a:t>
            </a:r>
          </a:p>
        </c:rich>
      </c:tx>
      <c:layout>
        <c:manualLayout>
          <c:xMode val="edge"/>
          <c:yMode val="edge"/>
          <c:x val="6.106019514982846E-2"/>
          <c:y val="3.4353199581269658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percentStacked"/>
        <c:varyColors val="0"/>
        <c:ser>
          <c:idx val="0"/>
          <c:order val="0"/>
          <c:tx>
            <c:strRef>
              <c:f>Competition!$B$1</c:f>
              <c:strCache>
                <c:ptCount val="1"/>
                <c:pt idx="0">
                  <c:v>Last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Competition!$B$2:$B$7</c:f>
              <c:numCache>
                <c:formatCode>General</c:formatCode>
                <c:ptCount val="6"/>
                <c:pt idx="0">
                  <c:v>548</c:v>
                </c:pt>
                <c:pt idx="1">
                  <c:v>331</c:v>
                </c:pt>
                <c:pt idx="2">
                  <c:v>359.15</c:v>
                </c:pt>
                <c:pt idx="3">
                  <c:v>40.42</c:v>
                </c:pt>
                <c:pt idx="4">
                  <c:v>49.8</c:v>
                </c:pt>
                <c:pt idx="5">
                  <c:v>120</c:v>
                </c:pt>
              </c:numCache>
            </c:numRef>
          </c:val>
          <c:extLst>
            <c:ext xmlns:c16="http://schemas.microsoft.com/office/drawing/2014/chart" uri="{C3380CC4-5D6E-409C-BE32-E72D297353CC}">
              <c16:uniqueId val="{00000000-64B3-4848-885F-0B2AC40FB8B9}"/>
            </c:ext>
          </c:extLst>
        </c:ser>
        <c:ser>
          <c:idx val="1"/>
          <c:order val="1"/>
          <c:tx>
            <c:strRef>
              <c:f>Competition!$C$1</c:f>
              <c:strCache>
                <c:ptCount val="1"/>
                <c:pt idx="0">
                  <c:v>Market Cap ($ mn)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Competition!$C$2:$C$7</c:f>
              <c:numCache>
                <c:formatCode>General</c:formatCode>
                <c:ptCount val="6"/>
                <c:pt idx="0">
                  <c:v>510000</c:v>
                </c:pt>
                <c:pt idx="1">
                  <c:v>690000</c:v>
                </c:pt>
                <c:pt idx="2">
                  <c:v>255000</c:v>
                </c:pt>
                <c:pt idx="3">
                  <c:v>42000</c:v>
                </c:pt>
                <c:pt idx="4">
                  <c:v>29800</c:v>
                </c:pt>
                <c:pt idx="5">
                  <c:v>31000</c:v>
                </c:pt>
              </c:numCache>
            </c:numRef>
          </c:val>
          <c:extLst>
            <c:ext xmlns:c16="http://schemas.microsoft.com/office/drawing/2014/chart" uri="{C3380CC4-5D6E-409C-BE32-E72D297353CC}">
              <c16:uniqueId val="{00000001-64B3-4848-885F-0B2AC40FB8B9}"/>
            </c:ext>
          </c:extLst>
        </c:ser>
        <c:ser>
          <c:idx val="3"/>
          <c:order val="2"/>
          <c:tx>
            <c:strRef>
              <c:f>Competition!$E$1</c:f>
              <c:strCache>
                <c:ptCount val="1"/>
                <c:pt idx="0">
                  <c:v>Net Profit ($ mn)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7.51173486769883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E0-4574-A69C-D24F54BB19E4}"/>
                </c:ext>
              </c:extLst>
            </c:dLbl>
            <c:dLbl>
              <c:idx val="1"/>
              <c:layout>
                <c:manualLayout>
                  <c:x val="-1.5137179797991356E-3"/>
                  <c:y val="7.88732161108377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E0-4574-A69C-D24F54BB19E4}"/>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Competition!$E$2:$E$7</c:f>
              <c:numCache>
                <c:formatCode>General</c:formatCode>
                <c:ptCount val="6"/>
                <c:pt idx="0">
                  <c:v>12874</c:v>
                </c:pt>
                <c:pt idx="1">
                  <c:v>20058</c:v>
                </c:pt>
                <c:pt idx="2">
                  <c:v>10833</c:v>
                </c:pt>
                <c:pt idx="3">
                  <c:v>5233</c:v>
                </c:pt>
                <c:pt idx="4" formatCode="#,##0">
                  <c:v>2897</c:v>
                </c:pt>
                <c:pt idx="5" formatCode="#,##0">
                  <c:v>1200</c:v>
                </c:pt>
              </c:numCache>
            </c:numRef>
          </c:val>
          <c:extLst>
            <c:ext xmlns:c16="http://schemas.microsoft.com/office/drawing/2014/chart" uri="{C3380CC4-5D6E-409C-BE32-E72D297353CC}">
              <c16:uniqueId val="{00000003-64B3-4848-885F-0B2AC40FB8B9}"/>
            </c:ext>
          </c:extLst>
        </c:ser>
        <c:ser>
          <c:idx val="4"/>
          <c:order val="3"/>
          <c:tx>
            <c:strRef>
              <c:f>Competition!$F$1</c:f>
              <c:strCache>
                <c:ptCount val="1"/>
                <c:pt idx="0">
                  <c:v>Total Assets ($ mn)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4.13145417723435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E0-4574-A69C-D24F54BB19E4}"/>
                </c:ext>
              </c:extLst>
            </c:dLbl>
            <c:dLbl>
              <c:idx val="1"/>
              <c:layout>
                <c:manualLayout>
                  <c:x val="0"/>
                  <c:y val="4.507040920619291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E0-4574-A69C-D24F54BB19E4}"/>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Competition!$F$2:$F$7</c:f>
              <c:numCache>
                <c:formatCode>General</c:formatCode>
                <c:ptCount val="6"/>
                <c:pt idx="0">
                  <c:v>48081</c:v>
                </c:pt>
                <c:pt idx="1">
                  <c:v>99627</c:v>
                </c:pt>
                <c:pt idx="2">
                  <c:v>271461</c:v>
                </c:pt>
                <c:pt idx="3">
                  <c:v>80173</c:v>
                </c:pt>
                <c:pt idx="4" formatCode="#,##0">
                  <c:v>36777</c:v>
                </c:pt>
                <c:pt idx="5" formatCode="#,##0">
                  <c:v>52000</c:v>
                </c:pt>
              </c:numCache>
            </c:numRef>
          </c:val>
          <c:extLst>
            <c:ext xmlns:c16="http://schemas.microsoft.com/office/drawing/2014/chart" uri="{C3380CC4-5D6E-409C-BE32-E72D297353CC}">
              <c16:uniqueId val="{00000004-64B3-4848-885F-0B2AC40FB8B9}"/>
            </c:ext>
          </c:extLst>
        </c:ser>
        <c:ser>
          <c:idx val="5"/>
          <c:order val="4"/>
          <c:tx>
            <c:strRef>
              <c:f>Competition!$G$1</c:f>
              <c:strCache>
                <c:ptCount val="1"/>
                <c:pt idx="0">
                  <c:v>P/E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Competition!$G$2:$G$7</c:f>
              <c:numCache>
                <c:formatCode>0.00</c:formatCode>
                <c:ptCount val="6"/>
                <c:pt idx="0">
                  <c:v>39.614727357464659</c:v>
                </c:pt>
                <c:pt idx="1">
                  <c:v>34.400239306012566</c:v>
                </c:pt>
                <c:pt idx="2">
                  <c:v>23.539185821102187</c:v>
                </c:pt>
                <c:pt idx="3">
                  <c:v>8.0259889164914959</c:v>
                </c:pt>
                <c:pt idx="4">
                  <c:v>10.286503279254401</c:v>
                </c:pt>
                <c:pt idx="5">
                  <c:v>25.833333333333332</c:v>
                </c:pt>
              </c:numCache>
            </c:numRef>
          </c:val>
          <c:extLst>
            <c:ext xmlns:c16="http://schemas.microsoft.com/office/drawing/2014/chart" uri="{C3380CC4-5D6E-409C-BE32-E72D297353CC}">
              <c16:uniqueId val="{00000005-64B3-4848-885F-0B2AC40FB8B9}"/>
            </c:ext>
          </c:extLst>
        </c:ser>
        <c:ser>
          <c:idx val="6"/>
          <c:order val="5"/>
          <c:tx>
            <c:strRef>
              <c:f>Competition!$H$1</c:f>
              <c:strCache>
                <c:ptCount val="1"/>
                <c:pt idx="0">
                  <c:v>P/S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Competition!$H$2:$H$7</c:f>
              <c:numCache>
                <c:formatCode>0.00</c:formatCode>
                <c:ptCount val="6"/>
                <c:pt idx="0">
                  <c:v>18.106294600063904</c:v>
                </c:pt>
                <c:pt idx="1">
                  <c:v>17.25</c:v>
                </c:pt>
                <c:pt idx="2">
                  <c:v>3.5304379127497265</c:v>
                </c:pt>
                <c:pt idx="3">
                  <c:v>1.266128059809478</c:v>
                </c:pt>
                <c:pt idx="4">
                  <c:v>1.2354380000829153</c:v>
                </c:pt>
                <c:pt idx="5">
                  <c:v>3.195876288659794</c:v>
                </c:pt>
              </c:numCache>
            </c:numRef>
          </c:val>
          <c:extLst>
            <c:ext xmlns:c16="http://schemas.microsoft.com/office/drawing/2014/chart" uri="{C3380CC4-5D6E-409C-BE32-E72D297353CC}">
              <c16:uniqueId val="{00000006-64B3-4848-885F-0B2AC40FB8B9}"/>
            </c:ext>
          </c:extLst>
        </c:ser>
        <c:ser>
          <c:idx val="7"/>
          <c:order val="6"/>
          <c:tx>
            <c:strRef>
              <c:f>Competition!$I$1</c:f>
              <c:strCache>
                <c:ptCount val="1"/>
                <c:pt idx="0">
                  <c:v>EV/Sales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Competition!$I$2:$I$7</c:f>
              <c:numCache>
                <c:formatCode>0.00</c:formatCode>
                <c:ptCount val="6"/>
                <c:pt idx="0">
                  <c:v>18.10998686406078</c:v>
                </c:pt>
                <c:pt idx="1">
                  <c:v>17.25</c:v>
                </c:pt>
                <c:pt idx="2">
                  <c:v>3.529994877403813</c:v>
                </c:pt>
                <c:pt idx="3">
                  <c:v>1.2699867358012782</c:v>
                </c:pt>
                <c:pt idx="4">
                  <c:v>1.2399983416939597</c:v>
                </c:pt>
                <c:pt idx="5">
                  <c:v>3.2</c:v>
                </c:pt>
              </c:numCache>
            </c:numRef>
          </c:val>
          <c:extLst>
            <c:ext xmlns:c16="http://schemas.microsoft.com/office/drawing/2014/chart" uri="{C3380CC4-5D6E-409C-BE32-E72D297353CC}">
              <c16:uniqueId val="{00000001-D468-4B09-BAA1-3CE803A1154E}"/>
            </c:ext>
          </c:extLst>
        </c:ser>
        <c:ser>
          <c:idx val="8"/>
          <c:order val="7"/>
          <c:tx>
            <c:strRef>
              <c:f>Competition!$J$1</c:f>
              <c:strCache>
                <c:ptCount val="1"/>
                <c:pt idx="0">
                  <c:v>EV/EBITDA</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Competition!$J$2:$J$7</c:f>
              <c:numCache>
                <c:formatCode>0.00</c:formatCode>
                <c:ptCount val="6"/>
                <c:pt idx="0">
                  <c:v>31.691781885971725</c:v>
                </c:pt>
                <c:pt idx="1">
                  <c:v>27.520191444810052</c:v>
                </c:pt>
                <c:pt idx="2">
                  <c:v>18.831348656881751</c:v>
                </c:pt>
                <c:pt idx="3">
                  <c:v>6.4207911331931973</c:v>
                </c:pt>
                <c:pt idx="4">
                  <c:v>8.2292026234035216</c:v>
                </c:pt>
                <c:pt idx="5">
                  <c:v>20.666666666666668</c:v>
                </c:pt>
              </c:numCache>
            </c:numRef>
          </c:val>
          <c:extLst>
            <c:ext xmlns:c16="http://schemas.microsoft.com/office/drawing/2014/chart" uri="{C3380CC4-5D6E-409C-BE32-E72D297353CC}">
              <c16:uniqueId val="{00000002-D468-4B09-BAA1-3CE803A1154E}"/>
            </c:ext>
          </c:extLst>
        </c:ser>
        <c:ser>
          <c:idx val="9"/>
          <c:order val="8"/>
          <c:tx>
            <c:strRef>
              <c:f>Competition!$K$1</c:f>
              <c:strCache>
                <c:ptCount val="1"/>
                <c:pt idx="0">
                  <c:v>Net Profit Margin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Competition!$K$2:$K$7</c:f>
              <c:numCache>
                <c:formatCode>0.00%</c:formatCode>
                <c:ptCount val="6"/>
                <c:pt idx="0">
                  <c:v>0.45705967976710332</c:v>
                </c:pt>
                <c:pt idx="1">
                  <c:v>0.50144999999999995</c:v>
                </c:pt>
                <c:pt idx="2">
                  <c:v>0.14998130944634427</c:v>
                </c:pt>
                <c:pt idx="3">
                  <c:v>0.15775352707102375</c:v>
                </c:pt>
                <c:pt idx="4">
                  <c:v>0.12010281497450355</c:v>
                </c:pt>
                <c:pt idx="5">
                  <c:v>0.12371134020618557</c:v>
                </c:pt>
              </c:numCache>
            </c:numRef>
          </c:val>
          <c:extLst>
            <c:ext xmlns:c16="http://schemas.microsoft.com/office/drawing/2014/chart" uri="{C3380CC4-5D6E-409C-BE32-E72D297353CC}">
              <c16:uniqueId val="{00000003-D468-4B09-BAA1-3CE803A1154E}"/>
            </c:ext>
          </c:extLst>
        </c:ser>
        <c:ser>
          <c:idx val="10"/>
          <c:order val="9"/>
          <c:tx>
            <c:strRef>
              <c:f>Competition!$L$1</c:f>
              <c:strCache>
                <c:ptCount val="1"/>
                <c:pt idx="0">
                  <c:v>ROA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Competition!$L$2:$L$7</c:f>
              <c:numCache>
                <c:formatCode>0.00%</c:formatCode>
                <c:ptCount val="6"/>
                <c:pt idx="0">
                  <c:v>0.26775649424928766</c:v>
                </c:pt>
                <c:pt idx="1">
                  <c:v>0.20133096449757595</c:v>
                </c:pt>
                <c:pt idx="2">
                  <c:v>3.9906284880701096E-2</c:v>
                </c:pt>
                <c:pt idx="3">
                  <c:v>6.5271350704102379E-2</c:v>
                </c:pt>
                <c:pt idx="4">
                  <c:v>7.8772058623596264E-2</c:v>
                </c:pt>
                <c:pt idx="5">
                  <c:v>2.3076923076923078E-2</c:v>
                </c:pt>
              </c:numCache>
            </c:numRef>
          </c:val>
          <c:extLst>
            <c:ext xmlns:c16="http://schemas.microsoft.com/office/drawing/2014/chart" uri="{C3380CC4-5D6E-409C-BE32-E72D297353CC}">
              <c16:uniqueId val="{00000004-D468-4B09-BAA1-3CE803A1154E}"/>
            </c:ext>
          </c:extLst>
        </c:ser>
        <c:ser>
          <c:idx val="11"/>
          <c:order val="10"/>
          <c:tx>
            <c:strRef>
              <c:f>Competition!$M$1</c:f>
              <c:strCache>
                <c:ptCount val="1"/>
                <c:pt idx="0">
                  <c:v>ROE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Competition!$M$2:$M$7</c:f>
              <c:numCache>
                <c:formatCode>0.00%</c:formatCode>
                <c:ptCount val="6"/>
                <c:pt idx="0">
                  <c:v>0.13387824712464383</c:v>
                </c:pt>
                <c:pt idx="1">
                  <c:v>0.10066548224878798</c:v>
                </c:pt>
                <c:pt idx="2">
                  <c:v>1.9953142440350548E-2</c:v>
                </c:pt>
                <c:pt idx="3">
                  <c:v>3.263567535205119E-2</c:v>
                </c:pt>
                <c:pt idx="4">
                  <c:v>3.9386029311798132E-2</c:v>
                </c:pt>
                <c:pt idx="5">
                  <c:v>1.1538461538461539E-2</c:v>
                </c:pt>
              </c:numCache>
            </c:numRef>
          </c:val>
          <c:extLst>
            <c:ext xmlns:c16="http://schemas.microsoft.com/office/drawing/2014/chart" uri="{C3380CC4-5D6E-409C-BE32-E72D297353CC}">
              <c16:uniqueId val="{00000005-D468-4B09-BAA1-3CE803A1154E}"/>
            </c:ext>
          </c:extLst>
        </c:ser>
        <c:ser>
          <c:idx val="12"/>
          <c:order val="11"/>
          <c:tx>
            <c:strRef>
              <c:f>Competition!$N$1</c:f>
              <c:strCache>
                <c:ptCount val="1"/>
                <c:pt idx="0">
                  <c:v>EBITDA</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Competition!$N$2:$N$7</c:f>
              <c:numCache>
                <c:formatCode>General</c:formatCode>
                <c:ptCount val="6"/>
                <c:pt idx="0">
                  <c:v>16096</c:v>
                </c:pt>
                <c:pt idx="1">
                  <c:v>25073</c:v>
                </c:pt>
                <c:pt idx="2">
                  <c:v>13541</c:v>
                </c:pt>
                <c:pt idx="3">
                  <c:v>6561</c:v>
                </c:pt>
                <c:pt idx="4">
                  <c:v>3634</c:v>
                </c:pt>
                <c:pt idx="5">
                  <c:v>1501</c:v>
                </c:pt>
              </c:numCache>
            </c:numRef>
          </c:val>
          <c:extLst>
            <c:ext xmlns:c16="http://schemas.microsoft.com/office/drawing/2014/chart" uri="{C3380CC4-5D6E-409C-BE32-E72D297353CC}">
              <c16:uniqueId val="{00000001-DBE1-43CE-9D99-433FB1F56383}"/>
            </c:ext>
          </c:extLst>
        </c:ser>
        <c:ser>
          <c:idx val="13"/>
          <c:order val="12"/>
          <c:tx>
            <c:strRef>
              <c:f>Competition!$O$1</c:f>
              <c:strCache>
                <c:ptCount val="1"/>
                <c:pt idx="0">
                  <c:v>EV</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Competition!$A$2:$A$7</c:f>
              <c:strCache>
                <c:ptCount val="6"/>
                <c:pt idx="0">
                  <c:v>Mastercard</c:v>
                </c:pt>
                <c:pt idx="1">
                  <c:v>Visa</c:v>
                </c:pt>
                <c:pt idx="2">
                  <c:v>American Express</c:v>
                </c:pt>
                <c:pt idx="3">
                  <c:v>PayPal</c:v>
                </c:pt>
                <c:pt idx="4">
                  <c:v>Block inc</c:v>
                </c:pt>
                <c:pt idx="5">
                  <c:v>Global Payments</c:v>
                </c:pt>
              </c:strCache>
            </c:strRef>
          </c:cat>
          <c:val>
            <c:numRef>
              <c:f>Competition!$O$2:$O$7</c:f>
              <c:numCache>
                <c:formatCode>General</c:formatCode>
                <c:ptCount val="6"/>
                <c:pt idx="0">
                  <c:v>510104</c:v>
                </c:pt>
                <c:pt idx="1">
                  <c:v>690000</c:v>
                </c:pt>
                <c:pt idx="2">
                  <c:v>254968</c:v>
                </c:pt>
                <c:pt idx="3">
                  <c:v>42128</c:v>
                </c:pt>
                <c:pt idx="4">
                  <c:v>29910</c:v>
                </c:pt>
                <c:pt idx="5">
                  <c:v>31040</c:v>
                </c:pt>
              </c:numCache>
            </c:numRef>
          </c:val>
          <c:extLst>
            <c:ext xmlns:c16="http://schemas.microsoft.com/office/drawing/2014/chart" uri="{C3380CC4-5D6E-409C-BE32-E72D297353CC}">
              <c16:uniqueId val="{00000002-DBE1-43CE-9D99-433FB1F56383}"/>
            </c:ext>
          </c:extLst>
        </c:ser>
        <c:dLbls>
          <c:dLblPos val="ctr"/>
          <c:showLegendKey val="0"/>
          <c:showVal val="1"/>
          <c:showCatName val="0"/>
          <c:showSerName val="0"/>
          <c:showPercent val="0"/>
          <c:showBubbleSize val="0"/>
        </c:dLbls>
        <c:gapWidth val="150"/>
        <c:overlap val="100"/>
        <c:axId val="629578704"/>
        <c:axId val="629579064"/>
      </c:barChart>
      <c:catAx>
        <c:axId val="6295787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629579064"/>
        <c:crosses val="autoZero"/>
        <c:auto val="1"/>
        <c:lblAlgn val="ctr"/>
        <c:lblOffset val="100"/>
        <c:noMultiLvlLbl val="1"/>
      </c:catAx>
      <c:valAx>
        <c:axId val="62957906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solidFill>
            <a:schemeClr val="tx1"/>
          </a:solidFill>
          <a:ln w="9525" cap="flat" cmpd="sng" algn="ctr">
            <a:solidFill>
              <a:schemeClr val="lt1">
                <a:lumMod val="50000"/>
              </a:schemeClr>
            </a:solidFill>
          </a:ln>
          <a:effectLst/>
        </c:spPr>
        <c:txPr>
          <a:bodyPr rot="-6000000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crossAx val="629578704"/>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2"/>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US">
                <a:latin typeface="Bold"/>
              </a:rPr>
              <a:t>Key Multiples</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tx>
            <c:strRef>
              <c:f>Competition!$R$2</c:f>
              <c:strCache>
                <c:ptCount val="1"/>
                <c:pt idx="0">
                  <c:v>P/E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Competition!$R$3:$R$10</c:f>
              <c:numCache>
                <c:formatCode>0.00</c:formatCode>
                <c:ptCount val="8"/>
                <c:pt idx="0">
                  <c:v>39.614727357464659</c:v>
                </c:pt>
                <c:pt idx="1">
                  <c:v>34.400239306012566</c:v>
                </c:pt>
                <c:pt idx="2">
                  <c:v>23.539185821102187</c:v>
                </c:pt>
                <c:pt idx="3">
                  <c:v>8.0259889164914959</c:v>
                </c:pt>
                <c:pt idx="4">
                  <c:v>10.286503279254401</c:v>
                </c:pt>
                <c:pt idx="5">
                  <c:v>25.833333333333332</c:v>
                </c:pt>
                <c:pt idx="6">
                  <c:v>20.417050131238796</c:v>
                </c:pt>
                <c:pt idx="7">
                  <c:v>24.686259577217761</c:v>
                </c:pt>
              </c:numCache>
            </c:numRef>
          </c:val>
          <c:extLst>
            <c:ext xmlns:c16="http://schemas.microsoft.com/office/drawing/2014/chart" uri="{C3380CC4-5D6E-409C-BE32-E72D297353CC}">
              <c16:uniqueId val="{00000000-2AE1-4A56-AF8C-2FAC10E51142}"/>
            </c:ext>
          </c:extLst>
        </c:ser>
        <c:ser>
          <c:idx val="1"/>
          <c:order val="1"/>
          <c:tx>
            <c:strRef>
              <c:f>Competition!$S$2</c:f>
              <c:strCache>
                <c:ptCount val="1"/>
                <c:pt idx="0">
                  <c:v>EV/EBITDA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Competition!$S$3:$S$10</c:f>
              <c:numCache>
                <c:formatCode>0.00</c:formatCode>
                <c:ptCount val="8"/>
                <c:pt idx="0">
                  <c:v>31.691781885971725</c:v>
                </c:pt>
                <c:pt idx="1">
                  <c:v>27.520191444810052</c:v>
                </c:pt>
                <c:pt idx="2">
                  <c:v>18.831348656881751</c:v>
                </c:pt>
                <c:pt idx="3">
                  <c:v>6.4207911331931973</c:v>
                </c:pt>
                <c:pt idx="4">
                  <c:v>8.2292026234035216</c:v>
                </c:pt>
                <c:pt idx="5">
                  <c:v>20.666666666666668</c:v>
                </c:pt>
                <c:pt idx="6">
                  <c:v>16.333640104991041</c:v>
                </c:pt>
                <c:pt idx="7">
                  <c:v>19.749007661774208</c:v>
                </c:pt>
              </c:numCache>
            </c:numRef>
          </c:val>
          <c:extLst>
            <c:ext xmlns:c16="http://schemas.microsoft.com/office/drawing/2014/chart" uri="{C3380CC4-5D6E-409C-BE32-E72D297353CC}">
              <c16:uniqueId val="{00000001-2AE1-4A56-AF8C-2FAC10E51142}"/>
            </c:ext>
          </c:extLst>
        </c:ser>
        <c:dLbls>
          <c:dLblPos val="outEnd"/>
          <c:showLegendKey val="0"/>
          <c:showVal val="1"/>
          <c:showCatName val="0"/>
          <c:showSerName val="0"/>
          <c:showPercent val="0"/>
          <c:showBubbleSize val="0"/>
        </c:dLbls>
        <c:gapWidth val="100"/>
        <c:overlap val="-24"/>
        <c:axId val="650048575"/>
        <c:axId val="650054399"/>
      </c:barChart>
      <c:catAx>
        <c:axId val="650048575"/>
        <c:scaling>
          <c:orientation val="minMax"/>
        </c:scaling>
        <c:delete val="0"/>
        <c:axPos val="b"/>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650054399"/>
        <c:crosses val="autoZero"/>
        <c:auto val="1"/>
        <c:lblAlgn val="ctr"/>
        <c:lblOffset val="100"/>
        <c:noMultiLvlLbl val="0"/>
      </c:catAx>
      <c:valAx>
        <c:axId val="6500543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650048575"/>
        <c:crosses val="autoZero"/>
        <c:crossBetween val="between"/>
      </c:valAx>
      <c:spPr>
        <a:noFill/>
        <a:ln>
          <a:noFill/>
        </a:ln>
        <a:effectLst/>
      </c:spPr>
    </c:plotArea>
    <c:legend>
      <c:legendPos val="b"/>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6166155284685"/>
          <c:y val="6.4396765150308649E-2"/>
          <c:w val="0.62905030621172353"/>
          <c:h val="0.83540172061825602"/>
        </c:manualLayout>
      </c:layout>
      <c:lineChart>
        <c:grouping val="standard"/>
        <c:varyColors val="0"/>
        <c:ser>
          <c:idx val="2"/>
          <c:order val="0"/>
          <c:tx>
            <c:strRef>
              <c:f>Ratios!$B$78</c:f>
              <c:strCache>
                <c:ptCount val="1"/>
                <c:pt idx="0">
                  <c:v>PAT / Sales</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Ratios!$C$78:$G$78</c:f>
              <c:strCache>
                <c:ptCount val="5"/>
                <c:pt idx="0">
                  <c:v>2020</c:v>
                </c:pt>
                <c:pt idx="1">
                  <c:v>2021</c:v>
                </c:pt>
                <c:pt idx="2">
                  <c:v>2022</c:v>
                </c:pt>
                <c:pt idx="3">
                  <c:v>2023</c:v>
                </c:pt>
                <c:pt idx="4">
                  <c:v>2024</c:v>
                </c:pt>
              </c:strCache>
            </c:strRef>
          </c:cat>
          <c:val>
            <c:numRef>
              <c:f>Ratios!$C$78:$G$78</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1A-20FF-45D8-A6B6-76B83B2DF47B}"/>
            </c:ext>
          </c:extLst>
        </c:ser>
        <c:ser>
          <c:idx val="0"/>
          <c:order val="1"/>
          <c:tx>
            <c:strRef>
              <c:f>Ratios!$B$79</c:f>
              <c:strCache>
                <c:ptCount val="1"/>
                <c:pt idx="0">
                  <c:v>Company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Lit>
              <c:formatCode>General</c:formatCode>
              <c:ptCount val="1"/>
              <c:pt idx="0">
                <c:v>0</c:v>
              </c:pt>
            </c:numLit>
          </c:val>
          <c:smooth val="0"/>
          <c:extLst>
            <c:ext xmlns:c16="http://schemas.microsoft.com/office/drawing/2014/chart" uri="{C3380CC4-5D6E-409C-BE32-E72D297353CC}">
              <c16:uniqueId val="{0000001B-20FF-45D8-A6B6-76B83B2DF47B}"/>
            </c:ext>
          </c:extLst>
        </c:ser>
        <c:ser>
          <c:idx val="1"/>
          <c:order val="2"/>
          <c:tx>
            <c:strRef>
              <c:f>Ratios!$B$80</c:f>
              <c:strCache>
                <c:ptCount val="1"/>
                <c:pt idx="0">
                  <c:v>Industry</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Ratios!$C$78:$G$78</c:f>
              <c:strCache>
                <c:ptCount val="5"/>
                <c:pt idx="0">
                  <c:v>2020</c:v>
                </c:pt>
                <c:pt idx="1">
                  <c:v>2021</c:v>
                </c:pt>
                <c:pt idx="2">
                  <c:v>2022</c:v>
                </c:pt>
                <c:pt idx="3">
                  <c:v>2023</c:v>
                </c:pt>
                <c:pt idx="4">
                  <c:v>2024</c:v>
                </c:pt>
              </c:strCache>
            </c:strRef>
          </c:cat>
          <c:val>
            <c:numRef>
              <c:f>Ratios!$C$80:$G$80</c:f>
              <c:numCache>
                <c:formatCode>General</c:formatCode>
                <c:ptCount val="5"/>
                <c:pt idx="0">
                  <c:v>0.25146247449172399</c:v>
                </c:pt>
                <c:pt idx="1">
                  <c:v>0.29643085472607456</c:v>
                </c:pt>
                <c:pt idx="2">
                  <c:v>0.31707915528437997</c:v>
                </c:pt>
                <c:pt idx="3">
                  <c:v>0.3224201245817141</c:v>
                </c:pt>
                <c:pt idx="4">
                  <c:v>0.34237248500220357</c:v>
                </c:pt>
              </c:numCache>
            </c:numRef>
          </c:val>
          <c:smooth val="0"/>
          <c:extLst>
            <c:ext xmlns:c16="http://schemas.microsoft.com/office/drawing/2014/chart" uri="{C3380CC4-5D6E-409C-BE32-E72D297353CC}">
              <c16:uniqueId val="{00000018-20FF-45D8-A6B6-76B83B2DF47B}"/>
            </c:ext>
          </c:extLst>
        </c:ser>
        <c:dLbls>
          <c:showLegendKey val="0"/>
          <c:showVal val="0"/>
          <c:showCatName val="0"/>
          <c:showSerName val="0"/>
          <c:showPercent val="0"/>
          <c:showBubbleSize val="0"/>
        </c:dLbls>
        <c:marker val="1"/>
        <c:smooth val="0"/>
        <c:axId val="104168064"/>
        <c:axId val="104173952"/>
      </c:lineChart>
      <c:catAx>
        <c:axId val="10416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Bold"/>
                <a:ea typeface="+mn-ea"/>
                <a:cs typeface="+mn-cs"/>
              </a:defRPr>
            </a:pPr>
            <a:endParaRPr lang="en-US"/>
          </a:p>
        </c:txPr>
        <c:crossAx val="104173952"/>
        <c:crosses val="autoZero"/>
        <c:auto val="1"/>
        <c:lblAlgn val="ctr"/>
        <c:lblOffset val="100"/>
        <c:noMultiLvlLbl val="0"/>
      </c:catAx>
      <c:valAx>
        <c:axId val="10417395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crossAx val="10416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legend>
    <c:plotVisOnly val="1"/>
    <c:dispBlanksAs val="gap"/>
    <c:showDLblsOverMax val="0"/>
    <c:extLst>
      <c:ext uri="{0b15fc19-7d7d-44ad-8c2d-2c3a37ce22c3}">
        <chartProps xmlns="https://web.wps.cn/et/2018/main" chartId="{a480642a-57ec-49a5-8c12-344048a8d22a}"/>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Ratios!$B$79</c:f>
              <c:strCache>
                <c:ptCount val="1"/>
                <c:pt idx="0">
                  <c:v>Company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Ratios!$C$78:$G$78</c:f>
              <c:strCache>
                <c:ptCount val="5"/>
                <c:pt idx="0">
                  <c:v>2020</c:v>
                </c:pt>
                <c:pt idx="1">
                  <c:v>2021</c:v>
                </c:pt>
                <c:pt idx="2">
                  <c:v>2022</c:v>
                </c:pt>
                <c:pt idx="3">
                  <c:v>2023</c:v>
                </c:pt>
                <c:pt idx="4">
                  <c:v>2024</c:v>
                </c:pt>
              </c:strCache>
            </c:strRef>
          </c:cat>
          <c:val>
            <c:numRef>
              <c:f>Ratios!$C$79:$G$79</c:f>
              <c:numCache>
                <c:formatCode>General</c:formatCode>
                <c:ptCount val="5"/>
                <c:pt idx="0">
                  <c:v>0.41899222273054049</c:v>
                </c:pt>
                <c:pt idx="1">
                  <c:v>0.46001906375767848</c:v>
                </c:pt>
                <c:pt idx="2">
                  <c:v>0.44655304222691911</c:v>
                </c:pt>
                <c:pt idx="3">
                  <c:v>0.44605147820543467</c:v>
                </c:pt>
                <c:pt idx="4">
                  <c:v>0.45705967976710332</c:v>
                </c:pt>
              </c:numCache>
            </c:numRef>
          </c:val>
          <c:smooth val="0"/>
          <c:extLst>
            <c:ext xmlns:c16="http://schemas.microsoft.com/office/drawing/2014/chart" uri="{C3380CC4-5D6E-409C-BE32-E72D297353CC}">
              <c16:uniqueId val="{00000003-ADBC-4CE1-8B6B-6B64985EBDAD}"/>
            </c:ext>
          </c:extLst>
        </c:ser>
        <c:ser>
          <c:idx val="1"/>
          <c:order val="1"/>
          <c:tx>
            <c:strRef>
              <c:f>Ratios!$B$80</c:f>
              <c:strCache>
                <c:ptCount val="1"/>
                <c:pt idx="0">
                  <c:v>Industry</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Ratios!$C$78:$G$78</c:f>
              <c:strCache>
                <c:ptCount val="5"/>
                <c:pt idx="0">
                  <c:v>2020</c:v>
                </c:pt>
                <c:pt idx="1">
                  <c:v>2021</c:v>
                </c:pt>
                <c:pt idx="2">
                  <c:v>2022</c:v>
                </c:pt>
                <c:pt idx="3">
                  <c:v>2023</c:v>
                </c:pt>
                <c:pt idx="4">
                  <c:v>2024</c:v>
                </c:pt>
              </c:strCache>
            </c:strRef>
          </c:cat>
          <c:val>
            <c:numRef>
              <c:f>Ratios!$C$80:$G$80</c:f>
              <c:numCache>
                <c:formatCode>General</c:formatCode>
                <c:ptCount val="5"/>
                <c:pt idx="0">
                  <c:v>0.25146247449172399</c:v>
                </c:pt>
                <c:pt idx="1">
                  <c:v>0.29643085472607456</c:v>
                </c:pt>
                <c:pt idx="2">
                  <c:v>0.31707915528437997</c:v>
                </c:pt>
                <c:pt idx="3">
                  <c:v>0.3224201245817141</c:v>
                </c:pt>
                <c:pt idx="4">
                  <c:v>0.34237248500220357</c:v>
                </c:pt>
              </c:numCache>
            </c:numRef>
          </c:val>
          <c:smooth val="0"/>
          <c:extLst>
            <c:ext xmlns:c16="http://schemas.microsoft.com/office/drawing/2014/chart" uri="{C3380CC4-5D6E-409C-BE32-E72D297353CC}">
              <c16:uniqueId val="{00000004-ADBC-4CE1-8B6B-6B64985EBDAD}"/>
            </c:ext>
          </c:extLst>
        </c:ser>
        <c:dLbls>
          <c:showLegendKey val="0"/>
          <c:showVal val="0"/>
          <c:showCatName val="0"/>
          <c:showSerName val="0"/>
          <c:showPercent val="0"/>
          <c:showBubbleSize val="0"/>
        </c:dLbls>
        <c:marker val="1"/>
        <c:smooth val="0"/>
        <c:axId val="104500608"/>
        <c:axId val="104514688"/>
      </c:lineChart>
      <c:catAx>
        <c:axId val="104500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Bold"/>
                <a:ea typeface="+mn-ea"/>
                <a:cs typeface="+mn-cs"/>
              </a:defRPr>
            </a:pPr>
            <a:endParaRPr lang="en-US"/>
          </a:p>
        </c:txPr>
        <c:crossAx val="104514688"/>
        <c:crosses val="autoZero"/>
        <c:auto val="1"/>
        <c:lblAlgn val="ctr"/>
        <c:lblOffset val="100"/>
        <c:noMultiLvlLbl val="0"/>
      </c:catAx>
      <c:valAx>
        <c:axId val="10451468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crossAx val="10450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legend>
    <c:plotVisOnly val="1"/>
    <c:dispBlanksAs val="gap"/>
    <c:showDLblsOverMax val="0"/>
    <c:extLst>
      <c:ext uri="{0b15fc19-7d7d-44ad-8c2d-2c3a37ce22c3}">
        <chartProps xmlns="https://web.wps.cn/et/2018/main" chartId="{046df087-707b-49be-aff4-c3f64a0832c0}"/>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r>
              <a:rPr lang="en-IN">
                <a:latin typeface="Bold"/>
              </a:rPr>
              <a:t>DCF Valuation Across Scenarios</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a:outerShdw blurRad="57150" dist="19050" dir="5400000" algn="ctr" rotWithShape="0">
                <a:srgbClr val="000000">
                  <a:alpha val="63000"/>
                </a:srgbClr>
              </a:outerShdw>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CA-4935-B500-CF7D03E135B7}"/>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CA-4935-B500-CF7D03E135B7}"/>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CA-4935-B500-CF7D03E135B7}"/>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Bold"/>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Analysis'!$A$30:$C$30</c:f>
              <c:strCache>
                <c:ptCount val="3"/>
                <c:pt idx="0">
                  <c:v>Bear</c:v>
                </c:pt>
                <c:pt idx="1">
                  <c:v>Base</c:v>
                </c:pt>
                <c:pt idx="2">
                  <c:v>Bull</c:v>
                </c:pt>
              </c:strCache>
            </c:strRef>
          </c:cat>
          <c:val>
            <c:numRef>
              <c:f>'Scenario Analysis'!$A$31:$C$31</c:f>
              <c:numCache>
                <c:formatCode>General</c:formatCode>
                <c:ptCount val="3"/>
                <c:pt idx="0">
                  <c:v>210</c:v>
                </c:pt>
                <c:pt idx="1">
                  <c:v>281</c:v>
                </c:pt>
                <c:pt idx="2">
                  <c:v>390</c:v>
                </c:pt>
              </c:numCache>
            </c:numRef>
          </c:val>
          <c:extLst>
            <c:ext xmlns:c16="http://schemas.microsoft.com/office/drawing/2014/chart" uri="{C3380CC4-5D6E-409C-BE32-E72D297353CC}">
              <c16:uniqueId val="{00000000-BFCA-4935-B500-CF7D03E135B7}"/>
            </c:ext>
          </c:extLst>
        </c:ser>
        <c:dLbls>
          <c:showLegendKey val="0"/>
          <c:showVal val="0"/>
          <c:showCatName val="0"/>
          <c:showSerName val="0"/>
          <c:showPercent val="0"/>
          <c:showBubbleSize val="0"/>
        </c:dLbls>
        <c:gapWidth val="100"/>
        <c:overlap val="-24"/>
        <c:axId val="802928696"/>
        <c:axId val="802927976"/>
      </c:barChart>
      <c:catAx>
        <c:axId val="802928696"/>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02927976"/>
        <c:crosses val="autoZero"/>
        <c:auto val="1"/>
        <c:lblAlgn val="ctr"/>
        <c:lblOffset val="100"/>
        <c:noMultiLvlLbl val="0"/>
      </c:catAx>
      <c:valAx>
        <c:axId val="802927976"/>
        <c:scaling>
          <c:orientation val="minMax"/>
        </c:scaling>
        <c:delete val="0"/>
        <c:axPos val="l"/>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Bold"/>
                <a:ea typeface="+mn-ea"/>
                <a:cs typeface="+mn-cs"/>
              </a:defRPr>
            </a:pPr>
            <a:endParaRPr lang="en-US"/>
          </a:p>
        </c:txPr>
        <c:crossAx val="802928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Strong Revenue Growth Supports Premium Valuation</a:t>
            </a:r>
            <a:endParaRPr lang="en-IN">
              <a:solidFill>
                <a:schemeClr val="bg1"/>
              </a:solidFill>
              <a:latin typeface="Bold"/>
            </a:endParaRPr>
          </a:p>
        </c:rich>
      </c:tx>
      <c:layout>
        <c:manualLayout>
          <c:xMode val="edge"/>
          <c:yMode val="edge"/>
          <c:x val="0.13671522309711287"/>
          <c:y val="4.6296296296296294E-3"/>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lineChart>
        <c:grouping val="standard"/>
        <c:varyColors val="0"/>
        <c:ser>
          <c:idx val="0"/>
          <c:order val="0"/>
          <c:tx>
            <c:strRef>
              <c:f>'Investment Recommendation'!$A$91</c:f>
              <c:strCache>
                <c:ptCount val="1"/>
                <c:pt idx="0">
                  <c:v>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'Investment Recommendation'!$A$92:$A$96</c:f>
              <c:numCache>
                <c:formatCode>General</c:formatCode>
                <c:ptCount val="5"/>
                <c:pt idx="0">
                  <c:v>2020</c:v>
                </c:pt>
                <c:pt idx="1">
                  <c:v>2021</c:v>
                </c:pt>
                <c:pt idx="2">
                  <c:v>2022</c:v>
                </c:pt>
                <c:pt idx="3">
                  <c:v>2023</c:v>
                </c:pt>
                <c:pt idx="4">
                  <c:v>2024</c:v>
                </c:pt>
              </c:numCache>
            </c:numRef>
          </c:cat>
          <c:val>
            <c:numRef>
              <c:f>'Investment Recommendation'!$A$92:$A$96</c:f>
              <c:numCache>
                <c:formatCode>General</c:formatCode>
                <c:ptCount val="5"/>
                <c:pt idx="0">
                  <c:v>2020</c:v>
                </c:pt>
                <c:pt idx="1">
                  <c:v>2021</c:v>
                </c:pt>
                <c:pt idx="2">
                  <c:v>2022</c:v>
                </c:pt>
                <c:pt idx="3">
                  <c:v>2023</c:v>
                </c:pt>
                <c:pt idx="4">
                  <c:v>2024</c:v>
                </c:pt>
              </c:numCache>
            </c:numRef>
          </c:val>
          <c:smooth val="0"/>
          <c:extLst>
            <c:ext xmlns:c16="http://schemas.microsoft.com/office/drawing/2014/chart" uri="{C3380CC4-5D6E-409C-BE32-E72D297353CC}">
              <c16:uniqueId val="{00000000-3F9F-4343-9D47-A0BF22EF53E8}"/>
            </c:ext>
          </c:extLst>
        </c:ser>
        <c:ser>
          <c:idx val="1"/>
          <c:order val="1"/>
          <c:tx>
            <c:strRef>
              <c:f>'Investment Recommendation'!$B$91</c:f>
              <c:strCache>
                <c:ptCount val="1"/>
                <c:pt idx="0">
                  <c:v>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'Investment Recommendation'!$A$92:$A$96</c:f>
              <c:numCache>
                <c:formatCode>General</c:formatCode>
                <c:ptCount val="5"/>
                <c:pt idx="0">
                  <c:v>2020</c:v>
                </c:pt>
                <c:pt idx="1">
                  <c:v>2021</c:v>
                </c:pt>
                <c:pt idx="2">
                  <c:v>2022</c:v>
                </c:pt>
                <c:pt idx="3">
                  <c:v>2023</c:v>
                </c:pt>
                <c:pt idx="4">
                  <c:v>2024</c:v>
                </c:pt>
              </c:numCache>
            </c:numRef>
          </c:cat>
          <c:val>
            <c:numRef>
              <c:f>'Investment Recommendation'!$B$92:$B$96</c:f>
              <c:numCache>
                <c:formatCode>General</c:formatCode>
                <c:ptCount val="5"/>
                <c:pt idx="0">
                  <c:v>15301</c:v>
                </c:pt>
                <c:pt idx="1">
                  <c:v>18884</c:v>
                </c:pt>
                <c:pt idx="2">
                  <c:v>22237</c:v>
                </c:pt>
                <c:pt idx="3">
                  <c:v>25098</c:v>
                </c:pt>
                <c:pt idx="4">
                  <c:v>28167</c:v>
                </c:pt>
              </c:numCache>
            </c:numRef>
          </c:val>
          <c:smooth val="0"/>
          <c:extLst>
            <c:ext xmlns:c16="http://schemas.microsoft.com/office/drawing/2014/chart" uri="{C3380CC4-5D6E-409C-BE32-E72D297353CC}">
              <c16:uniqueId val="{00000001-3F9F-4343-9D47-A0BF22EF53E8}"/>
            </c:ext>
          </c:extLst>
        </c:ser>
        <c:dLbls>
          <c:dLblPos val="t"/>
          <c:showLegendKey val="0"/>
          <c:showVal val="1"/>
          <c:showCatName val="0"/>
          <c:showSerName val="0"/>
          <c:showPercent val="0"/>
          <c:showBubbleSize val="0"/>
        </c:dLbls>
        <c:smooth val="0"/>
        <c:axId val="691011072"/>
        <c:axId val="691007832"/>
      </c:lineChart>
      <c:catAx>
        <c:axId val="691011072"/>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691007832"/>
        <c:crosses val="autoZero"/>
        <c:auto val="1"/>
        <c:lblAlgn val="ctr"/>
        <c:lblOffset val="100"/>
        <c:noMultiLvlLbl val="0"/>
      </c:catAx>
      <c:valAx>
        <c:axId val="691007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691011072"/>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r>
              <a:rPr lang="en-IN" sz="1600" b="1" i="0" u="none" strike="noStrike" baseline="0">
                <a:effectLst>
                  <a:outerShdw blurRad="50800" dist="38100" dir="5400000" algn="t" rotWithShape="0">
                    <a:prstClr val="black">
                      <a:alpha val="40000"/>
                    </a:prstClr>
                  </a:outerShdw>
                </a:effectLst>
              </a:rPr>
              <a:t>DCF Implies Lower Valuation vs Market Expectations</a:t>
            </a:r>
            <a:endParaRPr lang="en-US">
              <a:solidFill>
                <a:schemeClr val="bg1"/>
              </a:solidFill>
              <a:latin typeface="Bold"/>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bar"/>
        <c:grouping val="clustered"/>
        <c:varyColors val="0"/>
        <c:ser>
          <c:idx val="0"/>
          <c:order val="0"/>
          <c:tx>
            <c:strRef>
              <c:f>'Investment Recommendation'!$B$99</c:f>
              <c:strCache>
                <c:ptCount val="1"/>
                <c:pt idx="0">
                  <c:v>Valuation Comparison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50"/>
              </a:solidFill>
            </a:ln>
            <a:effectLst>
              <a:outerShdw blurRad="57150" dist="19050" dir="5400000" algn="ctr" rotWithShape="0">
                <a:srgbClr val="000000">
                  <a:alpha val="63000"/>
                </a:srgbClr>
              </a:outerShdw>
            </a:effectLst>
          </c:spPr>
          <c:invertIfNegative val="0"/>
          <c:dPt>
            <c:idx val="3"/>
            <c:invertIfNegative val="0"/>
            <c:bubble3D val="0"/>
            <c:spPr>
              <a:solidFill>
                <a:srgbClr val="00B050"/>
              </a:solidFill>
              <a:ln>
                <a:solidFill>
                  <a:srgbClr val="00B05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5A8-4DC7-B5B1-C8A4E46FFEB2}"/>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'Investment Recommendation'!$A$100:$A$103</c:f>
              <c:strCache>
                <c:ptCount val="4"/>
                <c:pt idx="0">
                  <c:v>Relative</c:v>
                </c:pt>
                <c:pt idx="1">
                  <c:v>FCFE</c:v>
                </c:pt>
                <c:pt idx="2">
                  <c:v>FCFF</c:v>
                </c:pt>
                <c:pt idx="3">
                  <c:v>Final Target</c:v>
                </c:pt>
              </c:strCache>
            </c:strRef>
          </c:cat>
          <c:val>
            <c:numRef>
              <c:f>'Investment Recommendation'!$B$100:$B$103</c:f>
              <c:numCache>
                <c:formatCode>0</c:formatCode>
                <c:ptCount val="4"/>
                <c:pt idx="0">
                  <c:v>427.34756756756758</c:v>
                </c:pt>
                <c:pt idx="1">
                  <c:v>335.44642561631332</c:v>
                </c:pt>
                <c:pt idx="2">
                  <c:v>394.44479561822146</c:v>
                </c:pt>
                <c:pt idx="3" formatCode="_-[$$-409]* #,##0_ ;_-[$$-409]* \-#,##0\ ;_-[$$-409]* &quot;-&quot;??_ ;_-@_ ">
                  <c:v>389.90639339738749</c:v>
                </c:pt>
              </c:numCache>
            </c:numRef>
          </c:val>
          <c:extLst>
            <c:ext xmlns:c16="http://schemas.microsoft.com/office/drawing/2014/chart" uri="{C3380CC4-5D6E-409C-BE32-E72D297353CC}">
              <c16:uniqueId val="{00000000-35A8-4DC7-B5B1-C8A4E46FFEB2}"/>
            </c:ext>
          </c:extLst>
        </c:ser>
        <c:dLbls>
          <c:dLblPos val="outEnd"/>
          <c:showLegendKey val="0"/>
          <c:showVal val="1"/>
          <c:showCatName val="0"/>
          <c:showSerName val="0"/>
          <c:showPercent val="0"/>
          <c:showBubbleSize val="0"/>
        </c:dLbls>
        <c:gapWidth val="115"/>
        <c:overlap val="-20"/>
        <c:axId val="715982440"/>
        <c:axId val="715982800"/>
      </c:barChart>
      <c:catAx>
        <c:axId val="715982440"/>
        <c:scaling>
          <c:orientation val="minMax"/>
        </c:scaling>
        <c:delete val="0"/>
        <c:axPos val="l"/>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715982800"/>
        <c:crosses val="autoZero"/>
        <c:auto val="1"/>
        <c:lblAlgn val="ctr"/>
        <c:lblOffset val="100"/>
        <c:noMultiLvlLbl val="0"/>
      </c:catAx>
      <c:valAx>
        <c:axId val="7159828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715982440"/>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Bold"/>
              <a:ea typeface="+mn-ea"/>
              <a:cs typeface="+mn-cs"/>
            </a:defRPr>
          </a:pPr>
          <a:endParaRPr lang="en-US"/>
        </a:p>
      </c:txPr>
    </c:title>
    <c:autoTitleDeleted val="0"/>
    <c:plotArea>
      <c:layout/>
      <c:barChart>
        <c:barDir val="col"/>
        <c:grouping val="clustered"/>
        <c:varyColors val="0"/>
        <c:ser>
          <c:idx val="0"/>
          <c:order val="0"/>
          <c:tx>
            <c:strRef>
              <c:f>'Investment Recommendation'!$B$79</c:f>
              <c:strCache>
                <c:ptCount val="1"/>
                <c:pt idx="0">
                  <c:v>Price VS Target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A9-4740-A6F8-5F1ED5933C00}"/>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'Investment Recommendation'!$A$80:$A$81</c:f>
              <c:strCache>
                <c:ptCount val="2"/>
                <c:pt idx="0">
                  <c:v>Current Price</c:v>
                </c:pt>
                <c:pt idx="1">
                  <c:v>Target Price</c:v>
                </c:pt>
              </c:strCache>
            </c:strRef>
          </c:cat>
          <c:val>
            <c:numRef>
              <c:f>'Investment Recommendation'!$B$80:$B$81</c:f>
              <c:numCache>
                <c:formatCode>_-[$$-409]* #,##0_ ;_-[$$-409]* \-#,##0\ ;_-[$$-409]* "-"??_ ;_-@_ </c:formatCode>
                <c:ptCount val="2"/>
                <c:pt idx="0" formatCode="General">
                  <c:v>450</c:v>
                </c:pt>
                <c:pt idx="1">
                  <c:v>389.90639339738749</c:v>
                </c:pt>
              </c:numCache>
            </c:numRef>
          </c:val>
          <c:extLst>
            <c:ext xmlns:c16="http://schemas.microsoft.com/office/drawing/2014/chart" uri="{C3380CC4-5D6E-409C-BE32-E72D297353CC}">
              <c16:uniqueId val="{00000000-7FA9-4740-A6F8-5F1ED5933C00}"/>
            </c:ext>
          </c:extLst>
        </c:ser>
        <c:dLbls>
          <c:dLblPos val="outEnd"/>
          <c:showLegendKey val="0"/>
          <c:showVal val="1"/>
          <c:showCatName val="0"/>
          <c:showSerName val="0"/>
          <c:showPercent val="0"/>
          <c:showBubbleSize val="0"/>
        </c:dLbls>
        <c:gapWidth val="100"/>
        <c:overlap val="-24"/>
        <c:axId val="715997200"/>
        <c:axId val="716002600"/>
      </c:barChart>
      <c:catAx>
        <c:axId val="715997200"/>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716002600"/>
        <c:crosses val="autoZero"/>
        <c:auto val="1"/>
        <c:lblAlgn val="ctr"/>
        <c:lblOffset val="100"/>
        <c:noMultiLvlLbl val="0"/>
      </c:catAx>
      <c:valAx>
        <c:axId val="7160026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crossAx val="715997200"/>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Bold"/>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solidFill>
                  <a:schemeClr val="bg2"/>
                </a:solidFill>
                <a:latin typeface="Bold"/>
                <a:ea typeface="Bold"/>
                <a:cs typeface="Bold"/>
              </a:defRPr>
            </a:pPr>
            <a:r>
              <a:rPr lang="en-IN">
                <a:solidFill>
                  <a:schemeClr val="bg2"/>
                </a:solidFill>
                <a:latin typeface="Bold"/>
              </a:rPr>
              <a:t>DCF Value Build-Up</a:t>
            </a:r>
            <a:endParaRPr lang="en-US" sz="1400" b="0" i="0" u="none" strike="noStrike" baseline="0">
              <a:solidFill>
                <a:schemeClr val="bg2"/>
              </a:solidFill>
              <a:latin typeface="Bold"/>
            </a:endParaRPr>
          </a:p>
        </cx:rich>
      </cx:tx>
      <cx:spPr>
        <a:solidFill>
          <a:schemeClr val="tx1"/>
        </a:solidFill>
      </cx:spPr>
    </cx:title>
    <cx:plotArea>
      <cx:plotAreaRegion>
        <cx:series layoutId="waterfall" uniqueId="{0B411B79-2983-408D-8C74-E692D7AD5579}">
          <cx:tx>
            <cx:txData>
              <cx:f>_xlchart.v1.1</cx:f>
              <cx:v>Waterfall Valuation Bridge</cx:v>
            </cx:txData>
          </cx:tx>
          <cx:spPr>
            <a:solidFill>
              <a:srgbClr val="00B050"/>
            </a:solidFill>
          </cx:spPr>
          <cx:dataLabels pos="inEnd">
            <cx:spPr>
              <a:solidFill>
                <a:schemeClr val="tx1"/>
              </a:solidFill>
            </cx:spPr>
            <cx:txPr>
              <a:bodyPr spcFirstLastPara="1" vertOverflow="ellipsis" horzOverflow="overflow" wrap="square" lIns="0" tIns="0" rIns="0" bIns="0" anchor="ctr" anchorCtr="1"/>
              <a:lstStyle/>
              <a:p>
                <a:pPr algn="ctr" rtl="0">
                  <a:defRPr b="1">
                    <a:solidFill>
                      <a:schemeClr val="bg2"/>
                    </a:solidFill>
                    <a:latin typeface="Bold"/>
                    <a:ea typeface="Bold"/>
                    <a:cs typeface="Bold"/>
                  </a:defRPr>
                </a:pPr>
                <a:endParaRPr lang="en-US" sz="900" b="1" i="0" u="none" strike="noStrike" baseline="0">
                  <a:solidFill>
                    <a:schemeClr val="bg2"/>
                  </a:solidFill>
                  <a:latin typeface="Bold"/>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1" i="0">
                <a:solidFill>
                  <a:schemeClr val="tx1"/>
                </a:solidFill>
                <a:latin typeface="Bold"/>
                <a:ea typeface="Bold"/>
                <a:cs typeface="Bold"/>
              </a:defRPr>
            </a:pPr>
            <a:endParaRPr lang="en-IN" b="1">
              <a:solidFill>
                <a:schemeClr val="tx1"/>
              </a:solidFill>
              <a:latin typeface="Bold"/>
            </a:endParaRPr>
          </a:p>
        </cx:txPr>
      </cx:axis>
      <cx:axis id="1">
        <cx:valScaling/>
        <cx:tickLabels/>
        <cx:spPr>
          <a:ln>
            <a:solidFill>
              <a:schemeClr val="bg1"/>
            </a:solidFill>
          </a:ln>
        </cx:spPr>
        <cx:txPr>
          <a:bodyPr vertOverflow="overflow" horzOverflow="overflow" wrap="square" lIns="0" tIns="0" rIns="0" bIns="0"/>
          <a:lstStyle/>
          <a:p>
            <a:pPr algn="ctr" rtl="0">
              <a:defRPr sz="900" b="1" i="0">
                <a:solidFill>
                  <a:schemeClr val="tx1"/>
                </a:solidFill>
                <a:latin typeface="Bold"/>
                <a:ea typeface="Bold"/>
                <a:cs typeface="Bold"/>
              </a:defRPr>
            </a:pPr>
            <a:endParaRPr lang="en-IN" b="1">
              <a:solidFill>
                <a:schemeClr val="tx1"/>
              </a:solidFill>
              <a:latin typeface="Bold"/>
            </a:endParaRPr>
          </a:p>
        </cx:txPr>
      </cx:axis>
    </cx:plotArea>
    <cx:legend pos="t" align="ctr" overlay="0">
      <cx:spPr>
        <a:solidFill>
          <a:schemeClr val="tx1"/>
        </a:solidFill>
      </cx:spPr>
      <cx:txPr>
        <a:bodyPr vertOverflow="overflow" horzOverflow="overflow" wrap="square" lIns="0" tIns="0" rIns="0" bIns="0"/>
        <a:lstStyle/>
        <a:p>
          <a:pPr algn="ctr" rtl="0">
            <a:defRPr sz="900" b="1" i="0">
              <a:solidFill>
                <a:schemeClr val="bg2"/>
              </a:solidFill>
              <a:latin typeface="Bold"/>
              <a:ea typeface="Bold"/>
              <a:cs typeface="Bold"/>
            </a:defRPr>
          </a:pPr>
          <a:endParaRPr lang="en-IN" b="1">
            <a:solidFill>
              <a:schemeClr val="bg2"/>
            </a:solidFill>
            <a:latin typeface="Bold"/>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rich>
          <a:bodyPr spcFirstLastPara="1" vertOverflow="ellipsis" horzOverflow="overflow" wrap="square" lIns="0" tIns="0" rIns="0" bIns="0" anchor="ctr" anchorCtr="1"/>
          <a:lstStyle/>
          <a:p>
            <a:pPr algn="ctr" rtl="0">
              <a:defRPr>
                <a:latin typeface="Bold"/>
                <a:ea typeface="Bold"/>
                <a:cs typeface="Bold"/>
              </a:defRPr>
            </a:pPr>
            <a:r>
              <a:rPr lang="en-US">
                <a:latin typeface="Bold"/>
              </a:rPr>
              <a:t>Enterprise → Equity Value Bridge</a:t>
            </a:r>
            <a:endParaRPr lang="en-US" sz="1800" b="1" i="0" u="none" strike="noStrike" baseline="0">
              <a:solidFill>
                <a:sysClr val="windowText" lastClr="000000">
                  <a:lumMod val="75000"/>
                  <a:lumOff val="25000"/>
                </a:sysClr>
              </a:solidFill>
              <a:latin typeface="Bold"/>
            </a:endParaRPr>
          </a:p>
        </cx:rich>
      </cx:tx>
      <cx:spPr>
        <a:solidFill>
          <a:schemeClr val="tx1"/>
        </a:solidFill>
      </cx:spPr>
    </cx:title>
    <cx:plotArea>
      <cx:plotAreaRegion>
        <cx:series layoutId="waterfall" uniqueId="{19882648-1279-4A96-A0B7-E06409307B7B}">
          <cx:dataLabels pos="inEnd">
            <cx:spPr>
              <a:solidFill>
                <a:schemeClr val="tx1"/>
              </a:solidFill>
            </cx:spPr>
            <cx:txPr>
              <a:bodyPr spcFirstLastPara="1" vertOverflow="ellipsis" horzOverflow="overflow" wrap="square" lIns="0" tIns="0" rIns="0" bIns="0" anchor="ctr" anchorCtr="1"/>
              <a:lstStyle/>
              <a:p>
                <a:pPr algn="ctr" rtl="0">
                  <a:defRPr>
                    <a:solidFill>
                      <a:schemeClr val="bg1"/>
                    </a:solidFill>
                    <a:latin typeface="Bold"/>
                    <a:ea typeface="Bold"/>
                    <a:cs typeface="Bold"/>
                  </a:defRPr>
                </a:pPr>
                <a:endParaRPr lang="en-US" sz="900" b="0" i="0" u="none" strike="noStrike" baseline="0">
                  <a:solidFill>
                    <a:schemeClr val="bg1"/>
                  </a:solidFill>
                  <a:latin typeface="Bold"/>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900" b="0" i="0" u="none" strike="noStrike" baseline="0">
                      <a:solidFill>
                        <a:schemeClr val="bg1"/>
                      </a:solidFill>
                      <a:latin typeface="Bold"/>
                    </a:rPr>
                    <a:t>355455.308</a:t>
                  </a:r>
                </a:p>
              </cx:txPr>
            </cx:dataLabel>
          </cx:dataLabels>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a:latin typeface="Bold"/>
                <a:ea typeface="Bold"/>
                <a:cs typeface="Bold"/>
              </a:defRPr>
            </a:pPr>
            <a:endParaRPr lang="en-US" sz="900" b="0" i="0" u="none" strike="noStrike" baseline="0">
              <a:solidFill>
                <a:sysClr val="windowText" lastClr="000000">
                  <a:lumMod val="75000"/>
                  <a:lumOff val="25000"/>
                </a:sysClr>
              </a:solidFill>
              <a:latin typeface="Bold"/>
            </a:endParaRPr>
          </a:p>
        </cx:txPr>
      </cx:axis>
      <cx:axis id="1">
        <cx:valScaling/>
        <cx:majorGridlines/>
        <cx:tickLabels/>
        <cx:txPr>
          <a:bodyPr spcFirstLastPara="1" vertOverflow="ellipsis" horzOverflow="overflow" wrap="square" lIns="0" tIns="0" rIns="0" bIns="0" anchor="ctr" anchorCtr="1"/>
          <a:lstStyle/>
          <a:p>
            <a:pPr algn="ctr" rtl="0">
              <a:defRPr b="1">
                <a:latin typeface="Bold"/>
                <a:ea typeface="Bold"/>
                <a:cs typeface="Bold"/>
              </a:defRPr>
            </a:pPr>
            <a:endParaRPr lang="en-US" sz="900" b="1" i="0" u="none" strike="noStrike" baseline="0">
              <a:solidFill>
                <a:sysClr val="window" lastClr="FFFFFF">
                  <a:lumMod val="95000"/>
                </a:sysClr>
              </a:solidFill>
              <a:latin typeface="Bold"/>
            </a:endParaRPr>
          </a:p>
        </cx:txPr>
      </cx:axis>
    </cx:plotArea>
    <cx:legend pos="t" align="ctr" overlay="0">
      <cx:txPr>
        <a:bodyPr spcFirstLastPara="1" vertOverflow="ellipsis" horzOverflow="overflow" wrap="square" lIns="0" tIns="0" rIns="0" bIns="0" anchor="ctr" anchorCtr="1"/>
        <a:lstStyle/>
        <a:p>
          <a:pPr algn="ctr" rtl="0">
            <a:defRPr>
              <a:latin typeface="Bold"/>
              <a:ea typeface="Bold"/>
              <a:cs typeface="Bold"/>
            </a:defRPr>
          </a:pPr>
          <a:endParaRPr lang="en-US" sz="900" b="0" i="0" u="none" strike="noStrike" baseline="0">
            <a:solidFill>
              <a:sysClr val="windowText" lastClr="000000">
                <a:lumMod val="75000"/>
                <a:lumOff val="25000"/>
              </a:sysClr>
            </a:solidFill>
            <a:latin typeface="Bold"/>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hyperlink" Target="#Summary!A1"/></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Summary!A1"/></Relationships>
</file>

<file path=xl/drawings/_rels/drawing4.xml.rels><?xml version="1.0" encoding="UTF-8" standalone="yes"?>
<Relationships xmlns="http://schemas.openxmlformats.org/package/2006/relationships"><Relationship Id="rId1" Type="http://schemas.openxmlformats.org/officeDocument/2006/relationships/hyperlink" Target="#Summary!A1"/></Relationships>
</file>

<file path=xl/drawings/_rels/drawing5.xml.rels><?xml version="1.0" encoding="UTF-8" standalone="yes"?>
<Relationships xmlns="http://schemas.openxmlformats.org/package/2006/relationships"><Relationship Id="rId1" Type="http://schemas.openxmlformats.org/officeDocument/2006/relationships/hyperlink" Target="#Summary!A1"/></Relationships>
</file>

<file path=xl/drawings/_rels/drawing6.xml.rels><?xml version="1.0" encoding="UTF-8" standalone="yes"?>
<Relationships xmlns="http://schemas.openxmlformats.org/package/2006/relationships"><Relationship Id="rId1" Type="http://schemas.openxmlformats.org/officeDocument/2006/relationships/hyperlink" Target="#Summary!A1"/></Relationships>
</file>

<file path=xl/drawings/_rels/drawing7.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hyperlink" Target="#Summary!A1"/></Relationships>
</file>

<file path=xl/drawings/_rels/drawing9.xml.rels><?xml version="1.0" encoding="UTF-8" standalone="yes"?>
<Relationships xmlns="http://schemas.openxmlformats.org/package/2006/relationships"><Relationship Id="rId1" Type="http://schemas.openxmlformats.org/officeDocument/2006/relationships/hyperlink" Target="#Summary!A1"/></Relationships>
</file>

<file path=xl/drawings/_rels/drawing10.xml.rels><?xml version="1.0" encoding="UTF-8" standalone="yes"?>
<Relationships xmlns="http://schemas.openxmlformats.org/package/2006/relationships"><Relationship Id="rId1" Type="http://schemas.openxmlformats.org/officeDocument/2006/relationships/hyperlink" Target="#Summary!A1"/></Relationships>
</file>

<file path=xl/drawings/_rels/drawing11.xml.rels><?xml version="1.0" encoding="UTF-8" standalone="yes"?>
<Relationships xmlns="http://schemas.openxmlformats.org/package/2006/relationships"><Relationship Id="rId1" Type="http://schemas.openxmlformats.org/officeDocument/2006/relationships/hyperlink" Target="#Summary!A1"/></Relationships>
</file>

<file path=xl/drawings/_rels/drawing12.xml.rels><?xml version="1.0" encoding="UTF-8" standalone="yes"?>
<Relationships xmlns="http://schemas.openxmlformats.org/package/2006/relationships"><Relationship Id="rId1" Type="http://schemas.openxmlformats.org/officeDocument/2006/relationships/hyperlink" Target="#Summary!A1"/></Relationships>
</file>

<file path=xl/drawings/_rels/drawing13.xml.rels><?xml version="1.0" encoding="UTF-8" standalone="yes"?>
<Relationships xmlns="http://schemas.openxmlformats.org/package/2006/relationships"><Relationship Id="rId1" Type="http://schemas.openxmlformats.org/officeDocument/2006/relationships/hyperlink" Target="#Summary!A1"/></Relationships>
</file>

<file path=xl/drawings/_rels/drawing14.xml.rels><?xml version="1.0" encoding="UTF-8" standalone="yes"?>
<Relationships xmlns="http://schemas.openxmlformats.org/package/2006/relationships"><Relationship Id="rId1" Type="http://schemas.openxmlformats.org/officeDocument/2006/relationships/hyperlink" Target="#Summary!A1"/></Relationships>
</file>

<file path=xl/drawings/_rels/drawing15.xml.rels><?xml version="1.0" encoding="UTF-8" standalone="yes"?>
<Relationships xmlns="http://schemas.openxmlformats.org/package/2006/relationships"><Relationship Id="rId1" Type="http://schemas.openxmlformats.org/officeDocument/2006/relationships/hyperlink" Target="#Summary!A1"/></Relationships>
</file>

<file path=xl/drawings/_rels/drawing16.xml.rels><?xml version="1.0" encoding="UTF-8" standalone="yes"?>
<Relationships xmlns="http://schemas.openxmlformats.org/package/2006/relationships"><Relationship Id="rId1" Type="http://schemas.openxmlformats.org/officeDocument/2006/relationships/hyperlink" Target="#Summary!A1"/></Relationships>
</file>

<file path=xl/drawings/_rels/drawing17.xml.rels><?xml version="1.0" encoding="UTF-8" standalone="yes"?>
<Relationships xmlns="http://schemas.openxmlformats.org/package/2006/relationships"><Relationship Id="rId1" Type="http://schemas.openxmlformats.org/officeDocument/2006/relationships/hyperlink" Target="#Summary!A1"/></Relationships>
</file>

<file path=xl/drawings/_rels/drawing1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hyperlink" Target="#Summary!A1"/><Relationship Id="rId5" Type="http://schemas.openxmlformats.org/officeDocument/2006/relationships/chart" Target="../charts/chart16.xml"/><Relationship Id="rId4" Type="http://schemas.openxmlformats.org/officeDocument/2006/relationships/chart" Target="../charts/chart15.xml"/></Relationships>
</file>

<file path=xl/drawings/_rels/drawing19.xml.rels><?xml version="1.0" encoding="UTF-8" standalone="yes"?>
<Relationships xmlns="http://schemas.openxmlformats.org/package/2006/relationships"><Relationship Id="rId1" Type="http://schemas.openxmlformats.org/officeDocument/2006/relationships/hyperlink" Target="#Summary!A1"/></Relationships>
</file>

<file path=xl/drawings/_rels/drawing20.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hyperlink" Target="#Summary!A1"/><Relationship Id="rId5" Type="http://schemas.openxmlformats.org/officeDocument/2006/relationships/chart" Target="../charts/chart20.xml"/><Relationship Id="rId4" Type="http://schemas.microsoft.com/office/2014/relationships/chartEx" Target="../charts/chartEx2.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hyperlink" Target="#Summary!A1"/></Relationships>
</file>

<file path=xl/drawings/_rels/drawing22.xml.rels><?xml version="1.0" encoding="UTF-8" standalone="yes"?>
<Relationships xmlns="http://schemas.openxmlformats.org/package/2006/relationships"><Relationship Id="rId1" Type="http://schemas.openxmlformats.org/officeDocument/2006/relationships/hyperlink" Target="#Summary!A1"/></Relationships>
</file>

<file path=xl/drawings/_rels/drawing23.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chart" Target="../charts/chart24.xml"/><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hyperlink" Target="#Summary!A1"/></Relationships>
</file>

<file path=xl/drawings/_rels/drawing25.xml.rels><?xml version="1.0" encoding="UTF-8" standalone="yes"?>
<Relationships xmlns="http://schemas.openxmlformats.org/package/2006/relationships"><Relationship Id="rId1" Type="http://schemas.openxmlformats.org/officeDocument/2006/relationships/hyperlink" Target="#Summary!A1"/></Relationships>
</file>

<file path=xl/drawings/_rels/drawing26.xml.rels><?xml version="1.0" encoding="UTF-8" standalone="yes"?>
<Relationships xmlns="http://schemas.openxmlformats.org/package/2006/relationships"><Relationship Id="rId1" Type="http://schemas.openxmlformats.org/officeDocument/2006/relationships/hyperlink" Target="#Summary!A1"/></Relationships>
</file>

<file path=xl/drawings/_rels/drawing27.xml.rels><?xml version="1.0" encoding="UTF-8" standalone="yes"?>
<Relationships xmlns="http://schemas.openxmlformats.org/package/2006/relationships"><Relationship Id="rId1" Type="http://schemas.openxmlformats.org/officeDocument/2006/relationships/hyperlink" Target="#Summary!A1"/></Relationships>
</file>

<file path=xl/drawings/_rels/drawing28.xml.rels><?xml version="1.0" encoding="UTF-8" standalone="yes"?>
<Relationships xmlns="http://schemas.openxmlformats.org/package/2006/relationships"><Relationship Id="rId1" Type="http://schemas.openxmlformats.org/officeDocument/2006/relationships/hyperlink" Target="#Summary!A1"/></Relationships>
</file>

<file path=xl/drawings/_rels/drawing29.xml.rels><?xml version="1.0" encoding="UTF-8" standalone="yes"?>
<Relationships xmlns="http://schemas.openxmlformats.org/package/2006/relationships"><Relationship Id="rId1" Type="http://schemas.openxmlformats.org/officeDocument/2006/relationships/hyperlink" Target="#Summary!A1"/></Relationships>
</file>

<file path=xl/drawings/_rels/drawing30.xml.rels><?xml version="1.0" encoding="UTF-8" standalone="yes"?>
<Relationships xmlns="http://schemas.openxmlformats.org/package/2006/relationships"><Relationship Id="rId1" Type="http://schemas.openxmlformats.org/officeDocument/2006/relationships/hyperlink" Target="#Summary!A1"/></Relationships>
</file>

<file path=xl/drawings/_rels/drawing31.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hyperlink" Target="#Summary!A1"/></Relationships>
</file>

<file path=xl/drawings/_rels/drawing32.xml.rels><?xml version="1.0" encoding="UTF-8" standalone="yes"?>
<Relationships xmlns="http://schemas.openxmlformats.org/package/2006/relationships"><Relationship Id="rId1" Type="http://schemas.openxmlformats.org/officeDocument/2006/relationships/hyperlink" Target="#Summary!A1"/></Relationships>
</file>

<file path=xl/drawings/_rels/drawing3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hyperlink" Target="#Summary!A1"/><Relationship Id="rId4" Type="http://schemas.openxmlformats.org/officeDocument/2006/relationships/chart" Target="../charts/chart28.xml"/></Relationships>
</file>

<file path=xl/drawings/_rels/drawing34.xml.rels><?xml version="1.0" encoding="UTF-8" standalone="yes"?>
<Relationships xmlns="http://schemas.openxmlformats.org/package/2006/relationships"><Relationship Id="rId1" Type="http://schemas.openxmlformats.org/officeDocument/2006/relationships/hyperlink" Target="#Summary!A1"/></Relationships>
</file>

<file path=xl/drawings/_rels/drawing35.xml.rels><?xml version="1.0" encoding="UTF-8" standalone="yes"?>
<Relationships xmlns="http://schemas.openxmlformats.org/package/2006/relationships"><Relationship Id="rId1" Type="http://schemas.openxmlformats.org/officeDocument/2006/relationships/hyperlink" Target="#Summary!A1"/></Relationships>
</file>

<file path=xl/drawings/drawing1.xml><?xml version="1.0" encoding="utf-8"?>
<xdr:wsDr xmlns:xdr="http://schemas.openxmlformats.org/drawingml/2006/spreadsheetDrawing" xmlns:a="http://schemas.openxmlformats.org/drawingml/2006/main">
  <xdr:twoCellAnchor>
    <xdr:from>
      <xdr:col>6</xdr:col>
      <xdr:colOff>24556</xdr:colOff>
      <xdr:row>30</xdr:row>
      <xdr:rowOff>154331</xdr:rowOff>
    </xdr:from>
    <xdr:to>
      <xdr:col>9</xdr:col>
      <xdr:colOff>1328965</xdr:colOff>
      <xdr:row>47</xdr:row>
      <xdr:rowOff>176894</xdr:rowOff>
    </xdr:to>
    <xdr:graphicFrame macro="">
      <xdr:nvGraphicFramePr>
        <xdr:cNvPr id="3" name="Chart 2">
          <a:extLst>
            <a:ext uri="{FF2B5EF4-FFF2-40B4-BE49-F238E27FC236}">
              <a16:creationId xmlns:a16="http://schemas.microsoft.com/office/drawing/2014/main" id="{21694F84-764B-6F83-2504-1D1B68FD7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7924</xdr:colOff>
      <xdr:row>16</xdr:row>
      <xdr:rowOff>80628</xdr:rowOff>
    </xdr:from>
    <xdr:to>
      <xdr:col>9</xdr:col>
      <xdr:colOff>1313793</xdr:colOff>
      <xdr:row>31</xdr:row>
      <xdr:rowOff>0</xdr:rowOff>
    </xdr:to>
    <xdr:graphicFrame macro="">
      <xdr:nvGraphicFramePr>
        <xdr:cNvPr id="4" name="Chart 3">
          <a:extLst>
            <a:ext uri="{FF2B5EF4-FFF2-40B4-BE49-F238E27FC236}">
              <a16:creationId xmlns:a16="http://schemas.microsoft.com/office/drawing/2014/main" id="{7E2AD966-9A4B-4958-D3BF-CE4B205BC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1324740</xdr:colOff>
      <xdr:row>16</xdr:row>
      <xdr:rowOff>84906</xdr:rowOff>
    </xdr:from>
    <xdr:to>
      <xdr:col>16</xdr:col>
      <xdr:colOff>27214</xdr:colOff>
      <xdr:row>30</xdr:row>
      <xdr:rowOff>142328</xdr:rowOff>
    </xdr:to>
    <xdr:graphicFrame macro="">
      <xdr:nvGraphicFramePr>
        <xdr:cNvPr id="6" name="Chart 5">
          <a:extLst>
            <a:ext uri="{FF2B5EF4-FFF2-40B4-BE49-F238E27FC236}">
              <a16:creationId xmlns:a16="http://schemas.microsoft.com/office/drawing/2014/main" id="{1D361C44-42D3-2616-9469-697BBDF21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27767</xdr:colOff>
      <xdr:row>1</xdr:row>
      <xdr:rowOff>49864</xdr:rowOff>
    </xdr:from>
    <xdr:to>
      <xdr:col>9</xdr:col>
      <xdr:colOff>1302844</xdr:colOff>
      <xdr:row>16</xdr:row>
      <xdr:rowOff>65691</xdr:rowOff>
    </xdr:to>
    <xdr:graphicFrame macro="">
      <xdr:nvGraphicFramePr>
        <xdr:cNvPr id="2" name="Chart 1">
          <a:extLst>
            <a:ext uri="{FF2B5EF4-FFF2-40B4-BE49-F238E27FC236}">
              <a16:creationId xmlns:a16="http://schemas.microsoft.com/office/drawing/2014/main" id="{AD3E9D87-E685-721A-A346-86BF1C4E2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1324740</xdr:colOff>
      <xdr:row>1</xdr:row>
      <xdr:rowOff>18800</xdr:rowOff>
    </xdr:from>
    <xdr:to>
      <xdr:col>16</xdr:col>
      <xdr:colOff>27214</xdr:colOff>
      <xdr:row>16</xdr:row>
      <xdr:rowOff>76638</xdr:rowOff>
    </xdr:to>
    <xdr:graphicFrame macro="">
      <xdr:nvGraphicFramePr>
        <xdr:cNvPr id="7" name="Chart 6">
          <a:extLst>
            <a:ext uri="{FF2B5EF4-FFF2-40B4-BE49-F238E27FC236}">
              <a16:creationId xmlns:a16="http://schemas.microsoft.com/office/drawing/2014/main" id="{F9987506-F39D-FA98-FDF3-7FA947F78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1338034</xdr:colOff>
      <xdr:row>30</xdr:row>
      <xdr:rowOff>138792</xdr:rowOff>
    </xdr:from>
    <xdr:to>
      <xdr:col>16</xdr:col>
      <xdr:colOff>27215</xdr:colOff>
      <xdr:row>47</xdr:row>
      <xdr:rowOff>163287</xdr:rowOff>
    </xdr:to>
    <xdr:graphicFrame macro="">
      <xdr:nvGraphicFramePr>
        <xdr:cNvPr id="5" name="Chart 4">
          <a:extLst>
            <a:ext uri="{FF2B5EF4-FFF2-40B4-BE49-F238E27FC236}">
              <a16:creationId xmlns:a16="http://schemas.microsoft.com/office/drawing/2014/main" id="{3A2E2C29-68A0-45EE-BD20-B71A66A00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1374321</xdr:colOff>
      <xdr:row>47</xdr:row>
      <xdr:rowOff>176893</xdr:rowOff>
    </xdr:from>
    <xdr:to>
      <xdr:col>16</xdr:col>
      <xdr:colOff>13608</xdr:colOff>
      <xdr:row>65</xdr:row>
      <xdr:rowOff>136071</xdr:rowOff>
    </xdr:to>
    <xdr:graphicFrame macro="">
      <xdr:nvGraphicFramePr>
        <xdr:cNvPr id="8" name="Chart 7">
          <a:extLst>
            <a:ext uri="{FF2B5EF4-FFF2-40B4-BE49-F238E27FC236}">
              <a16:creationId xmlns:a16="http://schemas.microsoft.com/office/drawing/2014/main" id="{BFB5D30B-EFAB-DB01-D8D2-FD4C901A9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13607</xdr:colOff>
      <xdr:row>47</xdr:row>
      <xdr:rowOff>176893</xdr:rowOff>
    </xdr:from>
    <xdr:to>
      <xdr:col>9</xdr:col>
      <xdr:colOff>1374322</xdr:colOff>
      <xdr:row>65</xdr:row>
      <xdr:rowOff>108857</xdr:rowOff>
    </xdr:to>
    <xdr:graphicFrame macro="">
      <xdr:nvGraphicFramePr>
        <xdr:cNvPr id="10" name="Chart 9">
          <a:extLst>
            <a:ext uri="{FF2B5EF4-FFF2-40B4-BE49-F238E27FC236}">
              <a16:creationId xmlns:a16="http://schemas.microsoft.com/office/drawing/2014/main" id="{15F17250-51BD-8E6A-74F9-017616A44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1401535</xdr:colOff>
      <xdr:row>65</xdr:row>
      <xdr:rowOff>152399</xdr:rowOff>
    </xdr:from>
    <xdr:to>
      <xdr:col>16</xdr:col>
      <xdr:colOff>13607</xdr:colOff>
      <xdr:row>82</xdr:row>
      <xdr:rowOff>68034</xdr:rowOff>
    </xdr:to>
    <xdr:graphicFrame macro="">
      <xdr:nvGraphicFramePr>
        <xdr:cNvPr id="11" name="Chart 10">
          <a:extLst>
            <a:ext uri="{FF2B5EF4-FFF2-40B4-BE49-F238E27FC236}">
              <a16:creationId xmlns:a16="http://schemas.microsoft.com/office/drawing/2014/main" id="{92C9DF08-A724-BCE0-68E3-91D3ED2C6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13607</xdr:colOff>
      <xdr:row>65</xdr:row>
      <xdr:rowOff>111577</xdr:rowOff>
    </xdr:from>
    <xdr:to>
      <xdr:col>9</xdr:col>
      <xdr:colOff>1401535</xdr:colOff>
      <xdr:row>82</xdr:row>
      <xdr:rowOff>95248</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CB4FC91F-BFA9-D456-63F4-86A4A0D856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8423507" y="11528877"/>
              <a:ext cx="6340928" cy="28030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0</xdr:row>
      <xdr:rowOff>0</xdr:rowOff>
    </xdr:from>
    <xdr:to>
      <xdr:col>10</xdr:col>
      <xdr:colOff>9525</xdr:colOff>
      <xdr:row>1</xdr:row>
      <xdr:rowOff>333374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23376FF1-A322-4798-8571-57C0CE85F0BA}"/>
            </a:ext>
          </a:extLst>
        </xdr:cNvPr>
        <xdr:cNvSpPr/>
      </xdr:nvSpPr>
      <xdr:spPr>
        <a:xfrm>
          <a:off x="5172075" y="0"/>
          <a:ext cx="1209675" cy="5238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21167</xdr:colOff>
      <xdr:row>0</xdr:row>
      <xdr:rowOff>10583</xdr:rowOff>
    </xdr:from>
    <xdr:to>
      <xdr:col>1</xdr:col>
      <xdr:colOff>2688167</xdr:colOff>
      <xdr:row>2</xdr:row>
      <xdr:rowOff>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BE566416-3F94-4DF5-9174-6CF93438A12A}"/>
            </a:ext>
          </a:extLst>
        </xdr:cNvPr>
        <xdr:cNvSpPr/>
      </xdr:nvSpPr>
      <xdr:spPr>
        <a:xfrm>
          <a:off x="2952750" y="10583"/>
          <a:ext cx="2667000" cy="3704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5</xdr:col>
      <xdr:colOff>951254</xdr:colOff>
      <xdr:row>66</xdr:row>
      <xdr:rowOff>116417</xdr:rowOff>
    </xdr:from>
    <xdr:to>
      <xdr:col>9</xdr:col>
      <xdr:colOff>391583</xdr:colOff>
      <xdr:row>85</xdr:row>
      <xdr:rowOff>31749</xdr:rowOff>
    </xdr:to>
    <xdr:graphicFrame macro="">
      <xdr:nvGraphicFramePr>
        <xdr:cNvPr id="2" name="Chart 1">
          <a:extLst>
            <a:ext uri="{FF2B5EF4-FFF2-40B4-BE49-F238E27FC236}">
              <a16:creationId xmlns:a16="http://schemas.microsoft.com/office/drawing/2014/main" id="{F2E6E2B8-EC41-4069-A3E3-741FDFED0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654050</xdr:colOff>
      <xdr:row>1</xdr:row>
      <xdr:rowOff>171450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E2E5E3D3-6DD9-4C0F-BBAE-6202CA9CE3EA}"/>
            </a:ext>
          </a:extLst>
        </xdr:cNvPr>
        <xdr:cNvSpPr/>
      </xdr:nvSpPr>
      <xdr:spPr>
        <a:xfrm>
          <a:off x="5518150" y="0"/>
          <a:ext cx="654050" cy="349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650875</xdr:colOff>
      <xdr:row>2</xdr:row>
      <xdr:rowOff>155574</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E337CDF1-17E7-4A17-9499-11ADD035A618}"/>
            </a:ext>
          </a:extLst>
        </xdr:cNvPr>
        <xdr:cNvSpPr/>
      </xdr:nvSpPr>
      <xdr:spPr>
        <a:xfrm>
          <a:off x="3740150" y="0"/>
          <a:ext cx="1311275" cy="5111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19049</xdr:colOff>
      <xdr:row>0</xdr:row>
      <xdr:rowOff>158750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1483F07-49E9-4A37-915E-19C3217EC98B}"/>
            </a:ext>
          </a:extLst>
        </xdr:cNvPr>
        <xdr:cNvSpPr/>
      </xdr:nvSpPr>
      <xdr:spPr>
        <a:xfrm>
          <a:off x="1771650" y="0"/>
          <a:ext cx="1047749" cy="158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10</xdr:row>
      <xdr:rowOff>179917</xdr:rowOff>
    </xdr:from>
    <xdr:to>
      <xdr:col>7</xdr:col>
      <xdr:colOff>276225</xdr:colOff>
      <xdr:row>24</xdr:row>
      <xdr:rowOff>0</xdr:rowOff>
    </xdr:to>
    <xdr:graphicFrame macro="">
      <xdr:nvGraphicFramePr>
        <xdr:cNvPr id="4" name="Chart 3">
          <a:extLst>
            <a:ext uri="{FF2B5EF4-FFF2-40B4-BE49-F238E27FC236}">
              <a16:creationId xmlns:a16="http://schemas.microsoft.com/office/drawing/2014/main" id="{99D1971B-3D5F-999B-A2B6-F084B01E2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264583</xdr:colOff>
      <xdr:row>9</xdr:row>
      <xdr:rowOff>85725</xdr:rowOff>
    </xdr:from>
    <xdr:to>
      <xdr:col>14</xdr:col>
      <xdr:colOff>571500</xdr:colOff>
      <xdr:row>24</xdr:row>
      <xdr:rowOff>4762</xdr:rowOff>
    </xdr:to>
    <xdr:graphicFrame macro="">
      <xdr:nvGraphicFramePr>
        <xdr:cNvPr id="5" name="Chart 4">
          <a:extLst>
            <a:ext uri="{FF2B5EF4-FFF2-40B4-BE49-F238E27FC236}">
              <a16:creationId xmlns:a16="http://schemas.microsoft.com/office/drawing/2014/main" id="{FAC702B8-4113-1439-0708-13FD90A25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10584</xdr:colOff>
      <xdr:row>10</xdr:row>
      <xdr:rowOff>169332</xdr:rowOff>
    </xdr:from>
    <xdr:to>
      <xdr:col>3</xdr:col>
      <xdr:colOff>20109</xdr:colOff>
      <xdr:row>13</xdr:row>
      <xdr:rowOff>7407</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A27E1E3B-229B-4533-BF08-CC333D0BE3FC}"/>
            </a:ext>
          </a:extLst>
        </xdr:cNvPr>
        <xdr:cNvSpPr/>
      </xdr:nvSpPr>
      <xdr:spPr>
        <a:xfrm>
          <a:off x="3513667" y="2074332"/>
          <a:ext cx="2083859" cy="409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0</xdr:colOff>
      <xdr:row>0</xdr:row>
      <xdr:rowOff>285750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1608D4EC-E486-4E45-A0FB-18D9F7544349}"/>
            </a:ext>
          </a:extLst>
        </xdr:cNvPr>
        <xdr:cNvSpPr/>
      </xdr:nvSpPr>
      <xdr:spPr>
        <a:xfrm>
          <a:off x="5080000" y="0"/>
          <a:ext cx="1822449"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21167</xdr:colOff>
      <xdr:row>0</xdr:row>
      <xdr:rowOff>0</xdr:rowOff>
    </xdr:from>
    <xdr:to>
      <xdr:col>13</xdr:col>
      <xdr:colOff>10584</xdr:colOff>
      <xdr:row>0</xdr:row>
      <xdr:rowOff>162278</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A812F292-4231-4511-8FE7-DDAF6BEE2418}"/>
            </a:ext>
          </a:extLst>
        </xdr:cNvPr>
        <xdr:cNvSpPr/>
      </xdr:nvSpPr>
      <xdr:spPr>
        <a:xfrm>
          <a:off x="13578417" y="0"/>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23812</xdr:colOff>
      <xdr:row>0</xdr:row>
      <xdr:rowOff>0</xdr:rowOff>
    </xdr:from>
    <xdr:to>
      <xdr:col>13</xdr:col>
      <xdr:colOff>0</xdr:colOff>
      <xdr:row>0</xdr:row>
      <xdr:rowOff>162278</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843B4FCF-90C1-4589-B95E-35B4103A122D}"/>
            </a:ext>
          </a:extLst>
        </xdr:cNvPr>
        <xdr:cNvSpPr/>
      </xdr:nvSpPr>
      <xdr:spPr>
        <a:xfrm>
          <a:off x="13966031" y="0"/>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23813</xdr:colOff>
      <xdr:row>0</xdr:row>
      <xdr:rowOff>11907</xdr:rowOff>
    </xdr:from>
    <xdr:to>
      <xdr:col>13</xdr:col>
      <xdr:colOff>11906</xdr:colOff>
      <xdr:row>0</xdr:row>
      <xdr:rowOff>174185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17071E63-267F-4BFB-8F1B-0B76A8C3BF06}"/>
            </a:ext>
          </a:extLst>
        </xdr:cNvPr>
        <xdr:cNvSpPr/>
      </xdr:nvSpPr>
      <xdr:spPr>
        <a:xfrm>
          <a:off x="16037719" y="11907"/>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380999</xdr:colOff>
      <xdr:row>17</xdr:row>
      <xdr:rowOff>23812</xdr:rowOff>
    </xdr:from>
    <xdr:to>
      <xdr:col>6</xdr:col>
      <xdr:colOff>750093</xdr:colOff>
      <xdr:row>17</xdr:row>
      <xdr:rowOff>186090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FDF0A158-5117-43C1-86A4-5459F59C04F5}"/>
            </a:ext>
          </a:extLst>
        </xdr:cNvPr>
        <xdr:cNvSpPr/>
      </xdr:nvSpPr>
      <xdr:spPr>
        <a:xfrm>
          <a:off x="8310562" y="3071812"/>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5</xdr:col>
      <xdr:colOff>380999</xdr:colOff>
      <xdr:row>17</xdr:row>
      <xdr:rowOff>23812</xdr:rowOff>
    </xdr:from>
    <xdr:to>
      <xdr:col>6</xdr:col>
      <xdr:colOff>750093</xdr:colOff>
      <xdr:row>17</xdr:row>
      <xdr:rowOff>186090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11EC2672-07F8-48F1-B17D-70D298268210}"/>
            </a:ext>
          </a:extLst>
        </xdr:cNvPr>
        <xdr:cNvSpPr/>
      </xdr:nvSpPr>
      <xdr:spPr>
        <a:xfrm>
          <a:off x="8967106" y="3262312"/>
          <a:ext cx="1661773"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31750</xdr:colOff>
      <xdr:row>0</xdr:row>
      <xdr:rowOff>31750</xdr:rowOff>
    </xdr:from>
    <xdr:to>
      <xdr:col>8</xdr:col>
      <xdr:colOff>158750</xdr:colOff>
      <xdr:row>1</xdr:row>
      <xdr:rowOff>3528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451093D-ECB3-4B02-925D-A7F0BCD6A430}"/>
            </a:ext>
          </a:extLst>
        </xdr:cNvPr>
        <xdr:cNvSpPr/>
      </xdr:nvSpPr>
      <xdr:spPr>
        <a:xfrm>
          <a:off x="9059333" y="31750"/>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10584</xdr:colOff>
      <xdr:row>0</xdr:row>
      <xdr:rowOff>21166</xdr:rowOff>
    </xdr:from>
    <xdr:to>
      <xdr:col>8</xdr:col>
      <xdr:colOff>306917</xdr:colOff>
      <xdr:row>0</xdr:row>
      <xdr:rowOff>183444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81312B3-C2BA-460A-AEB7-1A8E0D6D9D6A}"/>
            </a:ext>
          </a:extLst>
        </xdr:cNvPr>
        <xdr:cNvSpPr/>
      </xdr:nvSpPr>
      <xdr:spPr>
        <a:xfrm>
          <a:off x="8688917" y="21166"/>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22951</xdr:colOff>
      <xdr:row>0</xdr:row>
      <xdr:rowOff>0</xdr:rowOff>
    </xdr:from>
    <xdr:to>
      <xdr:col>8</xdr:col>
      <xdr:colOff>608222</xdr:colOff>
      <xdr:row>0</xdr:row>
      <xdr:rowOff>172138</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10B92018-1415-4861-BA2F-56DAB09BE950}"/>
            </a:ext>
          </a:extLst>
        </xdr:cNvPr>
        <xdr:cNvSpPr/>
      </xdr:nvSpPr>
      <xdr:spPr>
        <a:xfrm>
          <a:off x="9731565" y="0"/>
          <a:ext cx="1801717" cy="1721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19050</xdr:colOff>
      <xdr:row>2</xdr:row>
      <xdr:rowOff>19050</xdr:rowOff>
    </xdr:from>
    <xdr:to>
      <xdr:col>7</xdr:col>
      <xdr:colOff>0</xdr:colOff>
      <xdr:row>3</xdr:row>
      <xdr:rowOff>0</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BAF2882C-4730-464A-83F9-F3B442B07132}"/>
            </a:ext>
          </a:extLst>
        </xdr:cNvPr>
        <xdr:cNvSpPr/>
      </xdr:nvSpPr>
      <xdr:spPr>
        <a:xfrm>
          <a:off x="5219700" y="352425"/>
          <a:ext cx="1847850" cy="171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1274292</xdr:colOff>
      <xdr:row>5</xdr:row>
      <xdr:rowOff>12872</xdr:rowOff>
    </xdr:from>
    <xdr:to>
      <xdr:col>3</xdr:col>
      <xdr:colOff>2798292</xdr:colOff>
      <xdr:row>5</xdr:row>
      <xdr:rowOff>175150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C885DB0-CE6B-4801-ABC5-682DD7D34F25}"/>
            </a:ext>
          </a:extLst>
        </xdr:cNvPr>
        <xdr:cNvSpPr/>
      </xdr:nvSpPr>
      <xdr:spPr>
        <a:xfrm>
          <a:off x="7452670" y="978244"/>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9524</xdr:colOff>
      <xdr:row>0</xdr:row>
      <xdr:rowOff>0</xdr:rowOff>
    </xdr:from>
    <xdr:to>
      <xdr:col>2</xdr:col>
      <xdr:colOff>6350</xdr:colOff>
      <xdr:row>2</xdr:row>
      <xdr:rowOff>9524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25F1662-C217-4372-8322-39786C770183}"/>
            </a:ext>
          </a:extLst>
        </xdr:cNvPr>
        <xdr:cNvSpPr/>
      </xdr:nvSpPr>
      <xdr:spPr>
        <a:xfrm>
          <a:off x="2676524" y="0"/>
          <a:ext cx="1050926" cy="3651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8</xdr:col>
      <xdr:colOff>12700</xdr:colOff>
      <xdr:row>44</xdr:row>
      <xdr:rowOff>9525</xdr:rowOff>
    </xdr:from>
    <xdr:to>
      <xdr:col>14</xdr:col>
      <xdr:colOff>622300</xdr:colOff>
      <xdr:row>59</xdr:row>
      <xdr:rowOff>85725</xdr:rowOff>
    </xdr:to>
    <xdr:graphicFrame macro="">
      <xdr:nvGraphicFramePr>
        <xdr:cNvPr id="4" name="Chart 3">
          <a:extLst>
            <a:ext uri="{FF2B5EF4-FFF2-40B4-BE49-F238E27FC236}">
              <a16:creationId xmlns:a16="http://schemas.microsoft.com/office/drawing/2014/main" id="{EC90CA5C-F2B4-41A3-980D-5EBEBC20F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0</xdr:row>
      <xdr:rowOff>0</xdr:rowOff>
    </xdr:from>
    <xdr:to>
      <xdr:col>14</xdr:col>
      <xdr:colOff>622300</xdr:colOff>
      <xdr:row>15</xdr:row>
      <xdr:rowOff>76200</xdr:rowOff>
    </xdr:to>
    <xdr:graphicFrame macro="">
      <xdr:nvGraphicFramePr>
        <xdr:cNvPr id="5" name="Chart 4">
          <a:extLst>
            <a:ext uri="{FF2B5EF4-FFF2-40B4-BE49-F238E27FC236}">
              <a16:creationId xmlns:a16="http://schemas.microsoft.com/office/drawing/2014/main" id="{D81AAEB4-B1AF-41C9-A35A-3B4235E6B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xdr:colOff>
      <xdr:row>15</xdr:row>
      <xdr:rowOff>79375</xdr:rowOff>
    </xdr:from>
    <xdr:to>
      <xdr:col>14</xdr:col>
      <xdr:colOff>615950</xdr:colOff>
      <xdr:row>30</xdr:row>
      <xdr:rowOff>155575</xdr:rowOff>
    </xdr:to>
    <xdr:graphicFrame macro="">
      <xdr:nvGraphicFramePr>
        <xdr:cNvPr id="6" name="Chart 5">
          <a:extLst>
            <a:ext uri="{FF2B5EF4-FFF2-40B4-BE49-F238E27FC236}">
              <a16:creationId xmlns:a16="http://schemas.microsoft.com/office/drawing/2014/main" id="{6FD69DCC-A3DC-4E76-8154-E2D1461DC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12700</xdr:colOff>
      <xdr:row>30</xdr:row>
      <xdr:rowOff>149225</xdr:rowOff>
    </xdr:from>
    <xdr:to>
      <xdr:col>14</xdr:col>
      <xdr:colOff>622300</xdr:colOff>
      <xdr:row>44</xdr:row>
      <xdr:rowOff>31750</xdr:rowOff>
    </xdr:to>
    <xdr:graphicFrame macro="">
      <xdr:nvGraphicFramePr>
        <xdr:cNvPr id="8" name="Chart 7">
          <a:extLst>
            <a:ext uri="{FF2B5EF4-FFF2-40B4-BE49-F238E27FC236}">
              <a16:creationId xmlns:a16="http://schemas.microsoft.com/office/drawing/2014/main" id="{A2DC5C68-53AF-4C91-AF53-EDF3CBB12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23812</xdr:colOff>
      <xdr:row>14</xdr:row>
      <xdr:rowOff>35719</xdr:rowOff>
    </xdr:from>
    <xdr:to>
      <xdr:col>3</xdr:col>
      <xdr:colOff>1738311</xdr:colOff>
      <xdr:row>14</xdr:row>
      <xdr:rowOff>178594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8CAD5A78-4F10-4239-BC54-D99B673F7C44}"/>
            </a:ext>
          </a:extLst>
        </xdr:cNvPr>
        <xdr:cNvSpPr/>
      </xdr:nvSpPr>
      <xdr:spPr>
        <a:xfrm>
          <a:off x="8524875" y="2702719"/>
          <a:ext cx="1714499" cy="142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24</xdr:row>
      <xdr:rowOff>0</xdr:rowOff>
    </xdr:from>
    <xdr:to>
      <xdr:col>6</xdr:col>
      <xdr:colOff>0</xdr:colOff>
      <xdr:row>39</xdr:row>
      <xdr:rowOff>12700</xdr:rowOff>
    </xdr:to>
    <xdr:graphicFrame macro="">
      <xdr:nvGraphicFramePr>
        <xdr:cNvPr id="2" name="Chart 1">
          <a:extLst>
            <a:ext uri="{FF2B5EF4-FFF2-40B4-BE49-F238E27FC236}">
              <a16:creationId xmlns:a16="http://schemas.microsoft.com/office/drawing/2014/main" id="{5395AB60-D30A-45D9-B40C-6610A0131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167105</xdr:rowOff>
    </xdr:from>
    <xdr:to>
      <xdr:col>6</xdr:col>
      <xdr:colOff>15875</xdr:colOff>
      <xdr:row>60</xdr:row>
      <xdr:rowOff>0</xdr:rowOff>
    </xdr:to>
    <xdr:graphicFrame macro="">
      <xdr:nvGraphicFramePr>
        <xdr:cNvPr id="3" name="Chart 2">
          <a:extLst>
            <a:ext uri="{FF2B5EF4-FFF2-40B4-BE49-F238E27FC236}">
              <a16:creationId xmlns:a16="http://schemas.microsoft.com/office/drawing/2014/main" id="{4705193E-CB17-4E13-84D2-1823471C4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xdr:colOff>
      <xdr:row>5</xdr:row>
      <xdr:rowOff>1</xdr:rowOff>
    </xdr:from>
    <xdr:to>
      <xdr:col>9</xdr:col>
      <xdr:colOff>15875</xdr:colOff>
      <xdr:row>22</xdr:row>
      <xdr:rowOff>0</xdr:rowOff>
    </xdr:to>
    <xdr:graphicFrame macro="">
      <xdr:nvGraphicFramePr>
        <xdr:cNvPr id="5" name="Chart 4">
          <a:extLst>
            <a:ext uri="{FF2B5EF4-FFF2-40B4-BE49-F238E27FC236}">
              <a16:creationId xmlns:a16="http://schemas.microsoft.com/office/drawing/2014/main" id="{194B155C-6F0C-4EEE-A058-BF6E4821B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27</xdr:row>
      <xdr:rowOff>19050</xdr:rowOff>
    </xdr:from>
    <xdr:to>
      <xdr:col>9</xdr:col>
      <xdr:colOff>0</xdr:colOff>
      <xdr:row>60</xdr:row>
      <xdr:rowOff>12700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6692BF1-A1AC-4ED5-8EAB-5C709EB549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8359100" y="8293100"/>
              <a:ext cx="4159250" cy="5861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67</xdr:row>
      <xdr:rowOff>0</xdr:rowOff>
    </xdr:from>
    <xdr:to>
      <xdr:col>6</xdr:col>
      <xdr:colOff>0</xdr:colOff>
      <xdr:row>88</xdr:row>
      <xdr:rowOff>12700</xdr:rowOff>
    </xdr:to>
    <xdr:graphicFrame macro="">
      <xdr:nvGraphicFramePr>
        <xdr:cNvPr id="11" name="Chart 10">
          <a:extLst>
            <a:ext uri="{FF2B5EF4-FFF2-40B4-BE49-F238E27FC236}">
              <a16:creationId xmlns:a16="http://schemas.microsoft.com/office/drawing/2014/main" id="{9BBDC833-2D1B-4C77-B062-0BF4BA57C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xdr:colOff>
      <xdr:row>0</xdr:row>
      <xdr:rowOff>0</xdr:rowOff>
    </xdr:from>
    <xdr:to>
      <xdr:col>2</xdr:col>
      <xdr:colOff>0</xdr:colOff>
      <xdr:row>2</xdr:row>
      <xdr:rowOff>-1</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63A112E5-13E9-48D7-B5CE-094180374CAB}"/>
            </a:ext>
          </a:extLst>
        </xdr:cNvPr>
        <xdr:cNvSpPr/>
      </xdr:nvSpPr>
      <xdr:spPr>
        <a:xfrm>
          <a:off x="8688918" y="0"/>
          <a:ext cx="3037415" cy="687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1211263</xdr:colOff>
      <xdr:row>8</xdr:row>
      <xdr:rowOff>11113</xdr:rowOff>
    </xdr:from>
    <xdr:to>
      <xdr:col>4</xdr:col>
      <xdr:colOff>1458913</xdr:colOff>
      <xdr:row>8</xdr:row>
      <xdr:rowOff>167041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A077EAB-404F-4836-AD30-A80709F520F4}"/>
            </a:ext>
          </a:extLst>
        </xdr:cNvPr>
        <xdr:cNvSpPr/>
      </xdr:nvSpPr>
      <xdr:spPr>
        <a:xfrm>
          <a:off x="6942138" y="1408113"/>
          <a:ext cx="2732088" cy="1559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6</xdr:col>
      <xdr:colOff>7937</xdr:colOff>
      <xdr:row>9</xdr:row>
      <xdr:rowOff>23812</xdr:rowOff>
    </xdr:from>
    <xdr:to>
      <xdr:col>14</xdr:col>
      <xdr:colOff>254000</xdr:colOff>
      <xdr:row>23</xdr:row>
      <xdr:rowOff>238125</xdr:rowOff>
    </xdr:to>
    <xdr:graphicFrame macro="">
      <xdr:nvGraphicFramePr>
        <xdr:cNvPr id="4" name="Chart 3">
          <a:extLst>
            <a:ext uri="{FF2B5EF4-FFF2-40B4-BE49-F238E27FC236}">
              <a16:creationId xmlns:a16="http://schemas.microsoft.com/office/drawing/2014/main" id="{F76B8127-012E-8A4F-A2CE-18ABC296F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238126</xdr:colOff>
      <xdr:row>0</xdr:row>
      <xdr:rowOff>0</xdr:rowOff>
    </xdr:from>
    <xdr:to>
      <xdr:col>26</xdr:col>
      <xdr:colOff>1</xdr:colOff>
      <xdr:row>15</xdr:row>
      <xdr:rowOff>123825</xdr:rowOff>
    </xdr:to>
    <xdr:graphicFrame macro="">
      <xdr:nvGraphicFramePr>
        <xdr:cNvPr id="3" name="Chart 2">
          <a:extLst>
            <a:ext uri="{FF2B5EF4-FFF2-40B4-BE49-F238E27FC236}">
              <a16:creationId xmlns:a16="http://schemas.microsoft.com/office/drawing/2014/main" id="{5AE4B20F-7F37-452F-98CB-A210DE27C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10205</xdr:colOff>
      <xdr:row>0</xdr:row>
      <xdr:rowOff>10205</xdr:rowOff>
    </xdr:from>
    <xdr:to>
      <xdr:col>2</xdr:col>
      <xdr:colOff>10205</xdr:colOff>
      <xdr:row>0</xdr:row>
      <xdr:rowOff>285750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0DF1C3E-641B-4D85-8992-29DC346DF35C}"/>
            </a:ext>
          </a:extLst>
        </xdr:cNvPr>
        <xdr:cNvSpPr/>
      </xdr:nvSpPr>
      <xdr:spPr>
        <a:xfrm>
          <a:off x="3738562" y="10205"/>
          <a:ext cx="1714500" cy="2755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13607</xdr:colOff>
      <xdr:row>79</xdr:row>
      <xdr:rowOff>178593</xdr:rowOff>
    </xdr:from>
    <xdr:to>
      <xdr:col>2</xdr:col>
      <xdr:colOff>10886</xdr:colOff>
      <xdr:row>94</xdr:row>
      <xdr:rowOff>188232</xdr:rowOff>
    </xdr:to>
    <xdr:graphicFrame macro="">
      <xdr:nvGraphicFramePr>
        <xdr:cNvPr id="16" name="Chart 15">
          <a:extLst>
            <a:ext uri="{FF2B5EF4-FFF2-40B4-BE49-F238E27FC236}">
              <a16:creationId xmlns:a16="http://schemas.microsoft.com/office/drawing/2014/main" id="{8EB46391-C3BA-4996-B37E-1CE35371C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xdr:colOff>
      <xdr:row>79</xdr:row>
      <xdr:rowOff>178594</xdr:rowOff>
    </xdr:from>
    <xdr:to>
      <xdr:col>6</xdr:col>
      <xdr:colOff>1143000</xdr:colOff>
      <xdr:row>95</xdr:row>
      <xdr:rowOff>9072</xdr:rowOff>
    </xdr:to>
    <xdr:graphicFrame macro="">
      <xdr:nvGraphicFramePr>
        <xdr:cNvPr id="17" name="Chart 16">
          <a:extLst>
            <a:ext uri="{FF2B5EF4-FFF2-40B4-BE49-F238E27FC236}">
              <a16:creationId xmlns:a16="http://schemas.microsoft.com/office/drawing/2014/main" id="{9AB1702B-6C58-435E-A8FD-9878A4DB8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0</xdr:row>
      <xdr:rowOff>13607</xdr:rowOff>
    </xdr:from>
    <xdr:to>
      <xdr:col>1</xdr:col>
      <xdr:colOff>1524000</xdr:colOff>
      <xdr:row>0</xdr:row>
      <xdr:rowOff>175885</xdr:rowOff>
    </xdr:to>
    <xdr:sp macro="" textlink="">
      <xdr:nvSpPr>
        <xdr:cNvPr id="2" name="Rectangle 1">
          <a:hlinkClick xmlns:r="http://schemas.openxmlformats.org/officeDocument/2006/relationships" r:id="rId3"/>
          <a:extLst>
            <a:ext uri="{FF2B5EF4-FFF2-40B4-BE49-F238E27FC236}">
              <a16:creationId xmlns:a16="http://schemas.microsoft.com/office/drawing/2014/main" id="{47F68EEA-3C56-4299-9145-3AA729F9811C}"/>
            </a:ext>
          </a:extLst>
        </xdr:cNvPr>
        <xdr:cNvSpPr/>
      </xdr:nvSpPr>
      <xdr:spPr>
        <a:xfrm>
          <a:off x="3211286" y="13607"/>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4298156</xdr:colOff>
      <xdr:row>0</xdr:row>
      <xdr:rowOff>0</xdr:rowOff>
    </xdr:from>
    <xdr:to>
      <xdr:col>0</xdr:col>
      <xdr:colOff>5822156</xdr:colOff>
      <xdr:row>0</xdr:row>
      <xdr:rowOff>162278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BF8D084-6103-461F-A4FD-FD02F186CEC0}"/>
            </a:ext>
          </a:extLst>
        </xdr:cNvPr>
        <xdr:cNvSpPr/>
      </xdr:nvSpPr>
      <xdr:spPr>
        <a:xfrm>
          <a:off x="4298156" y="0"/>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3370384</xdr:colOff>
      <xdr:row>0</xdr:row>
      <xdr:rowOff>24423</xdr:rowOff>
    </xdr:from>
    <xdr:to>
      <xdr:col>0</xdr:col>
      <xdr:colOff>4894384</xdr:colOff>
      <xdr:row>0</xdr:row>
      <xdr:rowOff>186701</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45D93C3-69B0-4BAB-A891-30278F964AD7}"/>
            </a:ext>
          </a:extLst>
        </xdr:cNvPr>
        <xdr:cNvSpPr/>
      </xdr:nvSpPr>
      <xdr:spPr>
        <a:xfrm>
          <a:off x="3370384" y="24423"/>
          <a:ext cx="1524000" cy="1622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6</xdr:col>
      <xdr:colOff>24423</xdr:colOff>
      <xdr:row>0</xdr:row>
      <xdr:rowOff>24422</xdr:rowOff>
    </xdr:from>
    <xdr:to>
      <xdr:col>8</xdr:col>
      <xdr:colOff>0</xdr:colOff>
      <xdr:row>0</xdr:row>
      <xdr:rowOff>170962</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FC60FD7-175B-4BE3-93F2-FE3359A28547}"/>
            </a:ext>
          </a:extLst>
        </xdr:cNvPr>
        <xdr:cNvSpPr/>
      </xdr:nvSpPr>
      <xdr:spPr>
        <a:xfrm>
          <a:off x="10074519" y="24422"/>
          <a:ext cx="1563077" cy="146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6</xdr:col>
      <xdr:colOff>9525</xdr:colOff>
      <xdr:row>0</xdr:row>
      <xdr:rowOff>0</xdr:rowOff>
    </xdr:from>
    <xdr:to>
      <xdr:col>11</xdr:col>
      <xdr:colOff>581025</xdr:colOff>
      <xdr:row>0</xdr:row>
      <xdr:rowOff>238125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E461A538-DD64-4918-B684-F9E2C47A44D2}"/>
            </a:ext>
          </a:extLst>
        </xdr:cNvPr>
        <xdr:cNvSpPr/>
      </xdr:nvSpPr>
      <xdr:spPr>
        <a:xfrm>
          <a:off x="5286375" y="0"/>
          <a:ext cx="361950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6</xdr:col>
      <xdr:colOff>9525</xdr:colOff>
      <xdr:row>0</xdr:row>
      <xdr:rowOff>0</xdr:rowOff>
    </xdr:from>
    <xdr:to>
      <xdr:col>11</xdr:col>
      <xdr:colOff>581025</xdr:colOff>
      <xdr:row>0</xdr:row>
      <xdr:rowOff>238125</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189A7589-3BDC-4191-A254-27E0C97A9E77}"/>
            </a:ext>
          </a:extLst>
        </xdr:cNvPr>
        <xdr:cNvSpPr/>
      </xdr:nvSpPr>
      <xdr:spPr>
        <a:xfrm>
          <a:off x="8124825" y="0"/>
          <a:ext cx="3933825"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0</xdr:colOff>
      <xdr:row>0</xdr:row>
      <xdr:rowOff>0</xdr:rowOff>
    </xdr:from>
    <xdr:to>
      <xdr:col>8</xdr:col>
      <xdr:colOff>581025</xdr:colOff>
      <xdr:row>1</xdr:row>
      <xdr:rowOff>141817</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D35F3373-C6E2-4100-B61E-CC2CFCDE7DBE}"/>
            </a:ext>
          </a:extLst>
        </xdr:cNvPr>
        <xdr:cNvSpPr/>
      </xdr:nvSpPr>
      <xdr:spPr>
        <a:xfrm>
          <a:off x="3905250" y="0"/>
          <a:ext cx="3429000" cy="3704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3</xdr:col>
      <xdr:colOff>0</xdr:colOff>
      <xdr:row>0</xdr:row>
      <xdr:rowOff>0</xdr:rowOff>
    </xdr:from>
    <xdr:to>
      <xdr:col>8</xdr:col>
      <xdr:colOff>381000</xdr:colOff>
      <xdr:row>1</xdr:row>
      <xdr:rowOff>113242</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B3BFD66-4347-433C-AC9A-2899119B1856}"/>
            </a:ext>
          </a:extLst>
        </xdr:cNvPr>
        <xdr:cNvSpPr/>
      </xdr:nvSpPr>
      <xdr:spPr>
        <a:xfrm>
          <a:off x="5724525" y="0"/>
          <a:ext cx="3429000" cy="3704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609600</xdr:colOff>
      <xdr:row>1</xdr:row>
      <xdr:rowOff>179917</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2173A116-E71A-4994-A04D-8F19C2C6C227}"/>
            </a:ext>
          </a:extLst>
        </xdr:cNvPr>
        <xdr:cNvSpPr/>
      </xdr:nvSpPr>
      <xdr:spPr>
        <a:xfrm>
          <a:off x="4743450" y="0"/>
          <a:ext cx="3429000" cy="3704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9525</xdr:colOff>
      <xdr:row>0</xdr:row>
      <xdr:rowOff>0</xdr:rowOff>
    </xdr:from>
    <xdr:to>
      <xdr:col>3</xdr:col>
      <xdr:colOff>2257425</xdr:colOff>
      <xdr:row>0</xdr:row>
      <xdr:rowOff>161925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58CDC4D-7702-48C0-8815-0855D533D81A}"/>
            </a:ext>
          </a:extLst>
        </xdr:cNvPr>
        <xdr:cNvSpPr/>
      </xdr:nvSpPr>
      <xdr:spPr>
        <a:xfrm>
          <a:off x="4876800" y="0"/>
          <a:ext cx="6419850" cy="161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3</xdr:col>
      <xdr:colOff>2279650</xdr:colOff>
      <xdr:row>0</xdr:row>
      <xdr:rowOff>17462</xdr:rowOff>
    </xdr:from>
    <xdr:to>
      <xdr:col>11</xdr:col>
      <xdr:colOff>590550</xdr:colOff>
      <xdr:row>13</xdr:row>
      <xdr:rowOff>28575</xdr:rowOff>
    </xdr:to>
    <xdr:graphicFrame macro="">
      <xdr:nvGraphicFramePr>
        <xdr:cNvPr id="3" name="Chart 2">
          <a:extLst>
            <a:ext uri="{FF2B5EF4-FFF2-40B4-BE49-F238E27FC236}">
              <a16:creationId xmlns:a16="http://schemas.microsoft.com/office/drawing/2014/main" id="{95E81590-2C76-FB09-AA30-9501FCCED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2</xdr:col>
      <xdr:colOff>9524</xdr:colOff>
      <xdr:row>0</xdr:row>
      <xdr:rowOff>3175</xdr:rowOff>
    </xdr:from>
    <xdr:to>
      <xdr:col>5</xdr:col>
      <xdr:colOff>6350</xdr:colOff>
      <xdr:row>1</xdr:row>
      <xdr:rowOff>76201</xdr:rowOff>
    </xdr:to>
    <xdr:sp macro="" textlink="">
      <xdr:nvSpPr>
        <xdr:cNvPr id="2" name="Rectangle 2">
          <a:hlinkClick xmlns:r="http://schemas.openxmlformats.org/officeDocument/2006/relationships" r:id="rId1"/>
          <a:extLst>
            <a:ext uri="{FF2B5EF4-FFF2-40B4-BE49-F238E27FC236}">
              <a16:creationId xmlns:a16="http://schemas.microsoft.com/office/drawing/2014/main" id="{F1A7A73B-381C-4E2A-A2DB-888C835E9BB8}"/>
            </a:ext>
          </a:extLst>
        </xdr:cNvPr>
        <xdr:cNvSpPr/>
      </xdr:nvSpPr>
      <xdr:spPr>
        <a:xfrm>
          <a:off x="5845174" y="3175"/>
          <a:ext cx="2924176" cy="2508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647700</xdr:colOff>
      <xdr:row>0</xdr:row>
      <xdr:rowOff>171450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2EF43747-7CF1-4239-9291-C74819E084F3}"/>
            </a:ext>
          </a:extLst>
        </xdr:cNvPr>
        <xdr:cNvSpPr/>
      </xdr:nvSpPr>
      <xdr:spPr>
        <a:xfrm>
          <a:off x="4464050" y="0"/>
          <a:ext cx="1778000" cy="171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twoCellAnchor>
    <xdr:from>
      <xdr:col>3</xdr:col>
      <xdr:colOff>1458514</xdr:colOff>
      <xdr:row>0</xdr:row>
      <xdr:rowOff>3570</xdr:rowOff>
    </xdr:from>
    <xdr:to>
      <xdr:col>7</xdr:col>
      <xdr:colOff>29765</xdr:colOff>
      <xdr:row>14</xdr:row>
      <xdr:rowOff>79770</xdr:rowOff>
    </xdr:to>
    <xdr:graphicFrame macro="">
      <xdr:nvGraphicFramePr>
        <xdr:cNvPr id="3" name="Chart 2">
          <a:extLst>
            <a:ext uri="{FF2B5EF4-FFF2-40B4-BE49-F238E27FC236}">
              <a16:creationId xmlns:a16="http://schemas.microsoft.com/office/drawing/2014/main" id="{F9D634BE-A8E1-C8FE-C2D1-BCCAB2803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17859</xdr:colOff>
      <xdr:row>0</xdr:row>
      <xdr:rowOff>0</xdr:rowOff>
    </xdr:from>
    <xdr:to>
      <xdr:col>12</xdr:col>
      <xdr:colOff>17859</xdr:colOff>
      <xdr:row>14</xdr:row>
      <xdr:rowOff>76200</xdr:rowOff>
    </xdr:to>
    <xdr:graphicFrame macro="">
      <xdr:nvGraphicFramePr>
        <xdr:cNvPr id="4" name="Chart 3">
          <a:extLst>
            <a:ext uri="{FF2B5EF4-FFF2-40B4-BE49-F238E27FC236}">
              <a16:creationId xmlns:a16="http://schemas.microsoft.com/office/drawing/2014/main" id="{0430AFDA-CB48-778E-E2BF-3FE5C2064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17859</xdr:colOff>
      <xdr:row>0</xdr:row>
      <xdr:rowOff>0</xdr:rowOff>
    </xdr:from>
    <xdr:to>
      <xdr:col>15</xdr:col>
      <xdr:colOff>267889</xdr:colOff>
      <xdr:row>14</xdr:row>
      <xdr:rowOff>76200</xdr:rowOff>
    </xdr:to>
    <xdr:graphicFrame macro="">
      <xdr:nvGraphicFramePr>
        <xdr:cNvPr id="6" name="Chart 5">
          <a:extLst>
            <a:ext uri="{FF2B5EF4-FFF2-40B4-BE49-F238E27FC236}">
              <a16:creationId xmlns:a16="http://schemas.microsoft.com/office/drawing/2014/main" id="{55CDCBD2-E3EF-1EB1-EDA0-0619AD94B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2190750</xdr:colOff>
      <xdr:row>0</xdr:row>
      <xdr:rowOff>38099</xdr:rowOff>
    </xdr:from>
    <xdr:to>
      <xdr:col>2</xdr:col>
      <xdr:colOff>0</xdr:colOff>
      <xdr:row>2</xdr:row>
      <xdr:rowOff>180975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EAEC6795-7728-48D2-97C7-0F72A7804742}"/>
            </a:ext>
          </a:extLst>
        </xdr:cNvPr>
        <xdr:cNvSpPr/>
      </xdr:nvSpPr>
      <xdr:spPr>
        <a:xfrm>
          <a:off x="2190750" y="38099"/>
          <a:ext cx="2390775" cy="5238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11759</xdr:colOff>
      <xdr:row>0</xdr:row>
      <xdr:rowOff>19050</xdr:rowOff>
    </xdr:from>
    <xdr:to>
      <xdr:col>2</xdr:col>
      <xdr:colOff>0</xdr:colOff>
      <xdr:row>1</xdr:row>
      <xdr:rowOff>282222</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F168A02C-5BDF-4F9B-9F60-385FC1DCA735}"/>
            </a:ext>
          </a:extLst>
        </xdr:cNvPr>
        <xdr:cNvSpPr/>
      </xdr:nvSpPr>
      <xdr:spPr>
        <a:xfrm>
          <a:off x="6808611" y="19050"/>
          <a:ext cx="2304815" cy="4513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latin typeface="Bold"/>
            </a:rPr>
            <a:t>HOME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E11ABF7-E37F-4A71-85AA-7EFDEB465C26}" name="Table43" displayName="Table43" ref="A1:M76" totalsRowShown="0" headerRowDxfId="502" dataDxfId="501" headerRowCellStyle="Note" dataCellStyle="Note">
  <autoFilter ref="A1:M76" xr:uid="{1E11ABF7-E37F-4A71-85AA-7EFDEB465C26}"/>
  <tableColumns count="13">
    <tableColumn id="1" xr3:uid="{CBD46FD1-7735-4E3A-B11A-B6348FCB6B3E}" name="Column1" dataDxfId="500" dataCellStyle="Note"/>
    <tableColumn id="2" xr3:uid="{B6C0D0A0-BAAF-49A9-8E9F-CAC51AA4003E}" name="Column2" dataDxfId="499" dataCellStyle="Note"/>
    <tableColumn id="4" xr3:uid="{EDE4615E-EB09-485E-A618-712E67CD62E3}" name="Column4" dataDxfId="498" dataCellStyle="Note"/>
    <tableColumn id="5" xr3:uid="{2C21F357-1944-4BEF-B6E9-F71EF67FEF8B}" name="Column5" dataDxfId="497" dataCellStyle="Note"/>
    <tableColumn id="6" xr3:uid="{AC05F5A2-7287-4331-937A-662B62A026EE}" name="Profitability Dashboard" dataDxfId="496" dataCellStyle="Note"/>
    <tableColumn id="7" xr3:uid="{9BC2E762-D05F-4211-99A9-0638CEC1F77E}" name="Column7" dataDxfId="495" dataCellStyle="Note"/>
    <tableColumn id="10" xr3:uid="{750931C0-982F-4D3F-9D30-53BD0C6F0564}" name="Column8" dataDxfId="494" dataCellStyle="Note"/>
    <tableColumn id="11" xr3:uid="{7021FC75-E191-4856-9A1F-561072CC8C61}" name="Column9" dataDxfId="493" dataCellStyle="Note"/>
    <tableColumn id="12" xr3:uid="{7ADE0534-6DA4-41A6-8367-0E7EA2BF227A}" name="Column10" dataDxfId="492" dataCellStyle="Note"/>
    <tableColumn id="13" xr3:uid="{F6B5F0BF-C122-49F9-B4EA-F35D5071D3CF}" name="Column11" dataDxfId="491" dataCellStyle="Note"/>
    <tableColumn id="14" xr3:uid="{C8A87C1C-D705-479C-9F44-B521B9F0367B}" name="Column12" dataDxfId="490" dataCellStyle="Note"/>
    <tableColumn id="15" xr3:uid="{488A8C74-C11E-4AB0-B16E-E346636EF1D8}" name="Column13" dataDxfId="489" dataCellStyle="Note"/>
    <tableColumn id="16" xr3:uid="{F3445673-9F64-4AE3-BF82-4614113CD4C7}" name="Column14" dataDxfId="488" dataCellStyle="Not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F90AF9F-2904-459B-BAF5-6C86F3E02B01}" name="Table51" displayName="Table51" ref="A3:L7" totalsRowShown="0" headerRowDxfId="487" dataDxfId="486">
  <autoFilter ref="A3:L7" xr:uid="{AF90AF9F-2904-459B-BAF5-6C86F3E02B01}"/>
  <tableColumns count="12">
    <tableColumn id="1" xr3:uid="{75488483-E7B5-44CE-B95A-0039B6384D1F}" name="Item" dataDxfId="485"/>
    <tableColumn id="2" xr3:uid="{FE1A2EDD-6338-4D8F-A13E-E3EA3E3B43CA}" name="2020" dataDxfId="484">
      <calculatedColumnFormula>Table1[[#This Row],[2020]]</calculatedColumnFormula>
    </tableColumn>
    <tableColumn id="3" xr3:uid="{A2F76BF4-0C28-4780-A250-A5EA1D3FBE62}" name="2021" dataDxfId="483">
      <calculatedColumnFormula>Table1[[#This Row],[2021]]</calculatedColumnFormula>
    </tableColumn>
    <tableColumn id="4" xr3:uid="{34A174A2-22A1-463B-B552-F5C14F0776D9}" name="2022" dataDxfId="482">
      <calculatedColumnFormula>Table1[[#This Row],[2022]]</calculatedColumnFormula>
    </tableColumn>
    <tableColumn id="5" xr3:uid="{61880397-FE47-44EB-B48B-D116457B6606}" name="2023" dataDxfId="481">
      <calculatedColumnFormula>Table1[[#This Row],[2021]]</calculatedColumnFormula>
    </tableColumn>
    <tableColumn id="6" xr3:uid="{F542734C-3EB0-45F5-A00D-B0BFA5CBB34E}" name="2024" dataDxfId="480">
      <calculatedColumnFormula>Table1[[#This Row],[2021]]</calculatedColumnFormula>
    </tableColumn>
    <tableColumn id="7" xr3:uid="{0F7C43C2-BDFD-4555-A16C-B28663C9DCCB}" name="CAGR" dataDxfId="479">
      <calculatedColumnFormula>(Table51[[#This Row],[2024]] / Table51[[#This Row],[2020]])^(1/4)-1</calculatedColumnFormula>
    </tableColumn>
    <tableColumn id="8" xr3:uid="{F5B1C537-76D5-4F17-A197-B3E292CCC26C}" name="2025" dataDxfId="478">
      <calculatedColumnFormula>F4*(1+$G4)</calculatedColumnFormula>
    </tableColumn>
    <tableColumn id="9" xr3:uid="{1A7B6024-697A-4F82-9406-EDB642ECDB6F}" name="2026" dataDxfId="477">
      <calculatedColumnFormula>Table51[[#This Row],[2025]]*(1+Table51[[#This Row],[CAGR]])</calculatedColumnFormula>
    </tableColumn>
    <tableColumn id="10" xr3:uid="{DAD74970-4AB8-44AB-87DB-051B4A1B7329}" name="2027" dataDxfId="476">
      <calculatedColumnFormula>Table51[[#This Row],[2026]]*(1+Table51[[#This Row],[CAGR]])</calculatedColumnFormula>
    </tableColumn>
    <tableColumn id="11" xr3:uid="{553EFDFE-6622-4B3A-9023-0D6B5224CD32}" name="2028" dataDxfId="475">
      <calculatedColumnFormula>Table51[[#This Row],[2027]]*(1+Table51[[#This Row],[CAGR]])</calculatedColumnFormula>
    </tableColumn>
    <tableColumn id="12" xr3:uid="{61501F5C-C7DD-45C6-9910-119E553585B7}" name="2029" dataDxfId="474">
      <calculatedColumnFormula>Table51[[#This Row],[2028]]*(1+Table51[[#This Row],[CAGR]])</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C4562C17-BADD-4482-A344-33F97EA508AC}" name="Table52" displayName="Table52" ref="A10:L14" totalsRowShown="0" headerRowDxfId="473" dataDxfId="472">
  <autoFilter ref="A10:L14" xr:uid="{C4562C17-BADD-4482-A344-33F97EA508AC}"/>
  <tableColumns count="12">
    <tableColumn id="1" xr3:uid="{52D3FC53-F92A-4467-8397-083A19F83C7E}" name="Item" dataDxfId="471"/>
    <tableColumn id="2" xr3:uid="{3CB50944-1510-47DB-A5B8-CE48BC2B082A}" name="2020" dataDxfId="470">
      <calculatedColumnFormula>Balance_Sheet!B17</calculatedColumnFormula>
    </tableColumn>
    <tableColumn id="3" xr3:uid="{E8ED34F3-31F4-4DA6-9A70-764C0D854E42}" name="2021" dataDxfId="469">
      <calculatedColumnFormula>Balance_Sheet!C17</calculatedColumnFormula>
    </tableColumn>
    <tableColumn id="4" xr3:uid="{B9621ECD-B07B-4D23-8F94-4C8D30D61473}" name="2022" dataDxfId="468">
      <calculatedColumnFormula>Balance_Sheet!D17</calculatedColumnFormula>
    </tableColumn>
    <tableColumn id="5" xr3:uid="{BC48864E-8923-4066-973D-34F28D4C4E45}" name="2023" dataDxfId="467">
      <calculatedColumnFormula>Balance_Sheet!E17</calculatedColumnFormula>
    </tableColumn>
    <tableColumn id="6" xr3:uid="{266979EF-64EF-409D-896E-F96029E3EF42}" name="2024" dataDxfId="466">
      <calculatedColumnFormula>Balance_Sheet!F17</calculatedColumnFormula>
    </tableColumn>
    <tableColumn id="7" xr3:uid="{9B93E5CE-9389-4519-AE5C-01F1ECEAD6D6}" name="CAGR" dataDxfId="465">
      <calculatedColumnFormula>(Table52[[#This Row],[2024]] / Table52[[#This Row],[2020]])^(1/4)-1</calculatedColumnFormula>
    </tableColumn>
    <tableColumn id="8" xr3:uid="{54BF5D22-4452-4BA6-ABB9-7E1A3858688A}" name="2025" dataDxfId="464">
      <calculatedColumnFormula>F11*(1+$G11)</calculatedColumnFormula>
    </tableColumn>
    <tableColumn id="9" xr3:uid="{B4BA6705-DC8E-4BB1-992A-2F8305A8DFF7}" name="2026" dataDxfId="463">
      <calculatedColumnFormula>Table52[[#This Row],[2025]]*(1+Table52[[#This Row],[CAGR]])</calculatedColumnFormula>
    </tableColumn>
    <tableColumn id="10" xr3:uid="{4AE7E086-28EE-48F9-B23A-284D4089563F}" name="2027" dataDxfId="462">
      <calculatedColumnFormula>Table52[[#This Row],[2026]]*(1+Table52[[#This Row],[CAGR]])</calculatedColumnFormula>
    </tableColumn>
    <tableColumn id="11" xr3:uid="{B06A334A-ED5C-4F41-A0D5-08120A285973}" name="2028" dataDxfId="461">
      <calculatedColumnFormula>Table52[[#This Row],[2027]]*(1+Table52[[#This Row],[CAGR]])</calculatedColumnFormula>
    </tableColumn>
    <tableColumn id="12" xr3:uid="{9C1E5593-A114-426E-9682-7B41BFBADF83}" name="2029" dataDxfId="460">
      <calculatedColumnFormula>Table52[[#This Row],[2028]]*(1+Table52[[#This Row],[CAGR]])</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B453B91-9FF5-449C-A6CD-587914629753}" name="Table53" displayName="Table53" ref="A17:L21" totalsRowShown="0" headerRowDxfId="459" dataDxfId="458">
  <autoFilter ref="A17:L21" xr:uid="{8B453B91-9FF5-449C-A6CD-587914629753}"/>
  <tableColumns count="12">
    <tableColumn id="1" xr3:uid="{25CB2E57-C8E1-4F61-8B1F-F6812E6341BF}" name="Item" dataDxfId="457"/>
    <tableColumn id="2" xr3:uid="{CB824BEE-C71C-40F4-B0DE-835981BFFC45}" name="2020" dataDxfId="456">
      <calculatedColumnFormula>'Cash Flow'!B25</calculatedColumnFormula>
    </tableColumn>
    <tableColumn id="3" xr3:uid="{566E777A-2ECE-46B2-AC4F-9DFB4B10138D}" name="2021" dataDxfId="455">
      <calculatedColumnFormula>'Cash Flow'!C25</calculatedColumnFormula>
    </tableColumn>
    <tableColumn id="4" xr3:uid="{DEB34426-ED34-4AF4-9A62-6A482A5640D5}" name="2022" dataDxfId="454">
      <calculatedColumnFormula>'Cash Flow'!D25</calculatedColumnFormula>
    </tableColumn>
    <tableColumn id="5" xr3:uid="{79BFD6F9-C4EB-4A88-A083-72C8FC211CF8}" name="2023" dataDxfId="453">
      <calculatedColumnFormula>'Cash Flow'!E25</calculatedColumnFormula>
    </tableColumn>
    <tableColumn id="6" xr3:uid="{48EDD9D0-76CA-48E1-883B-FC1232A1025C}" name="2024" dataDxfId="452">
      <calculatedColumnFormula>'Cash Flow'!F25</calculatedColumnFormula>
    </tableColumn>
    <tableColumn id="7" xr3:uid="{91BEA0DD-8D0D-4003-A22F-D94A9701F146}" name="CAGR" dataDxfId="451">
      <calculatedColumnFormula>(Table53[[#This Row],[2024]] / Table53[[#This Row],[2020]])^(1/4)-1</calculatedColumnFormula>
    </tableColumn>
    <tableColumn id="8" xr3:uid="{885131FE-8DBD-4949-A414-5044D72B8EBA}" name="2025" dataDxfId="450">
      <calculatedColumnFormula>AVERAGE(Table53[[#This Row],[2020]:[2024]])</calculatedColumnFormula>
    </tableColumn>
    <tableColumn id="9" xr3:uid="{BC4E18C2-C827-43D5-BE25-55171A339419}" name="2026" dataDxfId="449">
      <calculatedColumnFormula>AVERAGE(Table53[[#This Row],[2020]:[2024]])</calculatedColumnFormula>
    </tableColumn>
    <tableColumn id="10" xr3:uid="{95947A0C-D898-4F3A-B482-76164064BB6C}" name="2027" dataDxfId="448">
      <calculatedColumnFormula>AVERAGE(Table53[[#This Row],[2020]:[2024]])</calculatedColumnFormula>
    </tableColumn>
    <tableColumn id="11" xr3:uid="{4E3BE0B9-4F22-499F-99C3-63C61079C655}" name="2028" dataDxfId="447">
      <calculatedColumnFormula>AVERAGE(Table53[[#This Row],[2020]:[2024]])</calculatedColumnFormula>
    </tableColumn>
    <tableColumn id="12" xr3:uid="{FEF98541-7CE5-420A-8711-53A1CBD81188}" name="2029" dataDxfId="446">
      <calculatedColumnFormula>AVERAGE(Table53[[#This Row],[2020]:[2024]])</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F013D5-AC5A-414F-A2CD-BED06FB8D2B7}" name="Table1" displayName="Table1" ref="A1:K28" totalsRowShown="0" headerRowDxfId="445" dataDxfId="444" headerRowCellStyle="Note" dataCellStyle="Note">
  <autoFilter ref="A1:K28" xr:uid="{E7F013D5-AC5A-414F-A2CD-BED06FB8D2B7}"/>
  <tableColumns count="11">
    <tableColumn id="1" xr3:uid="{B8648140-46C3-4B43-AA07-602DB3D95CA7}" name="Consolidated Statement of Operations - USD ($) shares in Millions, $ in Millions" dataDxfId="443" dataCellStyle="Note"/>
    <tableColumn id="2" xr3:uid="{5FD270C4-4A9F-4D6B-B976-3F3B009CF8C0}" name="2020" dataDxfId="442" dataCellStyle="Note"/>
    <tableColumn id="3" xr3:uid="{AAD1EEE1-148D-468C-9176-4850751521FE}" name="2021" dataDxfId="441" dataCellStyle="Note"/>
    <tableColumn id="4" xr3:uid="{191E7171-4B67-4DCB-8969-6EB234878A88}" name="2022" dataDxfId="440" dataCellStyle="Note"/>
    <tableColumn id="5" xr3:uid="{4DC1262E-F9A9-4492-924F-71B9BF675FF0}" name="2023" dataDxfId="439" dataCellStyle="Note"/>
    <tableColumn id="6" xr3:uid="{402FAD7C-133B-4584-85FC-8E0CC2FF20FC}" name="2024" dataDxfId="438" dataCellStyle="Note"/>
    <tableColumn id="7" xr3:uid="{FE88BD74-D144-4C06-AE1E-44615ACA1124}" name="2025E" dataDxfId="437" dataCellStyle="Note"/>
    <tableColumn id="8" xr3:uid="{8C4FB25A-2AD3-4B84-8602-CE2080E8C8A5}" name="2026E" dataDxfId="436" dataCellStyle="Note">
      <calculatedColumnFormula>Table1[[#This Row],[2025E]]*(1+Assumptions!#REF!)</calculatedColumnFormula>
    </tableColumn>
    <tableColumn id="9" xr3:uid="{B58F5D21-263F-4255-B903-DA2220F8813E}" name="2027E" dataDxfId="435" dataCellStyle="Note">
      <calculatedColumnFormula>Table1[[#This Row],[2026E]]*(1+#REF!)</calculatedColumnFormula>
    </tableColumn>
    <tableColumn id="10" xr3:uid="{2A63A4CA-D632-4CE8-9048-C2B24A769160}" name="2028E" dataDxfId="434" dataCellStyle="Note">
      <calculatedColumnFormula>Table1[[#This Row],[2027E]]*(1+Assumptions!B1)</calculatedColumnFormula>
    </tableColumn>
    <tableColumn id="11" xr3:uid="{758DA4B0-F8D0-4FAF-B7B0-C8EA9CC5F7DB}" name="2029E" dataDxfId="433" dataCellStyle="Note">
      <calculatedColumnFormula>Table1[[#This Row],[2028E]]*(1+Assumptions!B2)</calculatedColumnFormula>
    </tableColumn>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92FEF-C569-446D-BB4C-5C29430B35E9}" name="Table2" displayName="Table2" ref="A1:K53" totalsRowShown="0" headerRowDxfId="432" dataDxfId="431" headerRowCellStyle="Note" dataCellStyle="Note">
  <autoFilter ref="A1:K53" xr:uid="{58B92FEF-C569-446D-BB4C-5C29430B35E9}"/>
  <tableColumns count="11">
    <tableColumn id="1" xr3:uid="{2BD84981-526C-4E5B-8B6B-E1C00E0E2A38}" name="Consolidated Balance Sheet - USD ($) $ in Millions" dataDxfId="430" dataCellStyle="Note"/>
    <tableColumn id="2" xr3:uid="{958E82AE-4D8E-4776-A030-7D4D0B2CB906}" name="2020" dataDxfId="429" dataCellStyle="Note"/>
    <tableColumn id="3" xr3:uid="{2FD8A038-5348-44CF-8C4A-86DC080CB1BC}" name="2021" dataDxfId="428" dataCellStyle="Note"/>
    <tableColumn id="4" xr3:uid="{C2E18BF5-1C29-4040-92FC-CB052177F247}" name="2022" dataDxfId="427" dataCellStyle="Note"/>
    <tableColumn id="5" xr3:uid="{C54EB9E4-0033-4FF2-99E8-2ECE61A67E16}" name="2023" dataDxfId="426" dataCellStyle="Note"/>
    <tableColumn id="6" xr3:uid="{1B7AD503-6A23-428A-853E-5497336BF57B}" name="2024" dataDxfId="425" dataCellStyle="Note"/>
    <tableColumn id="7" xr3:uid="{D9890049-4E4B-4906-B27D-6FB81F5E97BF}" name="2025E" dataDxfId="424" dataCellStyle="Note">
      <calculatedColumnFormula>(F29+F39-F16)</calculatedColumnFormula>
    </tableColumn>
    <tableColumn id="8" xr3:uid="{EC98D38C-023E-443C-B9DE-B110AC55949C}" name="2026E" dataDxfId="423" dataCellStyle="Note"/>
    <tableColumn id="9" xr3:uid="{D58C423F-92C6-41E5-90D7-A6CFA1CC8B30}" name="2027E" dataDxfId="422" dataCellStyle="Note"/>
    <tableColumn id="10" xr3:uid="{6E9FE85A-C1C6-4175-A646-097C3E55280D}" name="2028E" dataDxfId="421" dataCellStyle="Note"/>
    <tableColumn id="11" xr3:uid="{056F59F4-5AF3-4F75-94E4-07077D729FC8}" name="2029E" dataDxfId="420" dataCellStyle="Note"/>
  </tableColumns>
  <tableStyleInfo name="TableStyleMedium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4DA566-EAE7-4E9E-87E6-535717BC16E0}" name="Table3" displayName="Table3" ref="A1:K62" totalsRowShown="0" headerRowDxfId="419" dataDxfId="418" headerRowCellStyle="Note" dataCellStyle="Note">
  <autoFilter ref="A1:K62" xr:uid="{EA4DA566-EAE7-4E9E-87E6-535717BC16E0}"/>
  <tableColumns count="11">
    <tableColumn id="1" xr3:uid="{41F9A7FF-4CC5-4DA5-BE67-531366BA906C}" name="Consolidated Statement of Cash Flows - USD ($) $ in Millions" dataDxfId="417" dataCellStyle="Note"/>
    <tableColumn id="2" xr3:uid="{D867A8F2-2B77-4ADB-8D32-2714B4D56E87}" name="2020" dataDxfId="416" dataCellStyle="Note"/>
    <tableColumn id="3" xr3:uid="{4515121F-1532-42DD-87BB-D3D0D580FD9B}" name="2021" dataDxfId="415" dataCellStyle="Note"/>
    <tableColumn id="4" xr3:uid="{334380A8-44CC-443A-A92B-1A334643E0F8}" name="2022" dataDxfId="414" dataCellStyle="Note"/>
    <tableColumn id="5" xr3:uid="{D3F468B1-6A02-44BD-9BC4-2E4D3126E67B}" name="2023" dataDxfId="413" dataCellStyle="Note"/>
    <tableColumn id="6" xr3:uid="{0BB6072E-29F5-4559-B075-26F725F01F62}" name="2024" dataDxfId="412" dataCellStyle="Note"/>
    <tableColumn id="7" xr3:uid="{F6C1BD66-96F1-426D-B894-A0202B958CAB}" name="2025E" dataDxfId="411" dataCellStyle="Note"/>
    <tableColumn id="8" xr3:uid="{B428DF78-DFCC-464D-9B1F-79409FFD9992}" name="2026E" dataDxfId="410" dataCellStyle="Note"/>
    <tableColumn id="9" xr3:uid="{95BA2971-C587-4D5D-9591-97956EBD361C}" name="2027E" dataDxfId="409" dataCellStyle="Note"/>
    <tableColumn id="10" xr3:uid="{CB426D8C-1490-4FAE-BD97-08B961627DBB}" name="2028E" dataDxfId="408" dataCellStyle="Note"/>
    <tableColumn id="11" xr3:uid="{2B2AD554-B87F-41BC-A3BF-06ACEA1D8AEC}" name="2029E" dataDxfId="407" dataCellStyle="Note"/>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DA85155-623D-478D-8DA5-A4EBC5B45433}" name="Table10" displayName="Table10" ref="A2:K17" totalsRowShown="0" headerRowDxfId="406" dataDxfId="405" headerRowCellStyle="Note" dataCellStyle="Note">
  <autoFilter ref="A2:K17" xr:uid="{8DA85155-623D-478D-8DA5-A4EBC5B45433}"/>
  <tableColumns count="11">
    <tableColumn id="1" xr3:uid="{12C7A057-1E82-4750-94D9-E8899FF7DF12}" name="Common Size Income Statement – Mastercard" dataDxfId="404" dataCellStyle="Note"/>
    <tableColumn id="2" xr3:uid="{6D814337-D765-4C75-8FEF-2A65AA5C67C0}" name="2020" dataDxfId="403" dataCellStyle="Note"/>
    <tableColumn id="3" xr3:uid="{4FD0E15A-ED2A-429F-87C2-EE785E799B4D}" name="2021" dataDxfId="402" dataCellStyle="Note"/>
    <tableColumn id="4" xr3:uid="{1F0EAA14-BAF5-441F-965A-5BEAD12C0E63}" name="2022" dataDxfId="401" dataCellStyle="Note"/>
    <tableColumn id="5" xr3:uid="{1E8D502B-47FE-445F-9880-356D8132BE20}" name="2023" dataDxfId="400" dataCellStyle="Note"/>
    <tableColumn id="6" xr3:uid="{9B101C60-3AC2-424C-BC00-2A45DA55775C}" name="2024" dataDxfId="399" dataCellStyle="Note"/>
    <tableColumn id="7" xr3:uid="{FBD9C962-95D4-45FB-817D-676FCCFF9AD3}" name="2025" dataDxfId="398" dataCellStyle="Note"/>
    <tableColumn id="8" xr3:uid="{21377E22-6C9B-4062-B180-24AE28BDA217}" name="2026" dataDxfId="397" dataCellStyle="Note"/>
    <tableColumn id="9" xr3:uid="{B4EE6A98-FE74-4562-B796-83FD3AB54C40}" name="2027" dataDxfId="396" dataCellStyle="Note"/>
    <tableColumn id="10" xr3:uid="{2C2C81F9-8CE3-4CC7-A0FA-A3700D72AAEC}" name="2028" dataDxfId="395" dataCellStyle="Note"/>
    <tableColumn id="11" xr3:uid="{C643607E-134E-464D-A92B-B06B7FD04F3A}" name="2029" dataDxfId="394" dataCellStyle="Note"/>
  </tableColumns>
  <tableStyleInfo name="TableStyleMedium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141224-86C1-4F01-A226-A618DB8D5516}" name="Table11" displayName="Table11" ref="A19:K38" totalsRowShown="0" headerRowDxfId="393" dataDxfId="392" headerRowCellStyle="Note" dataCellStyle="Note">
  <autoFilter ref="A19:K38" xr:uid="{E2141224-86C1-4F01-A226-A618DB8D5516}"/>
  <tableColumns count="11">
    <tableColumn id="1" xr3:uid="{5A57010E-35D6-4B0E-A53A-61D1E52B8758}" name="Common Size Balance Sheet – Mastercard" dataDxfId="391" dataCellStyle="Note"/>
    <tableColumn id="2" xr3:uid="{5F908747-5833-40B5-B8A2-4A72CF8E6579}" name="2020" dataDxfId="390" dataCellStyle="Note"/>
    <tableColumn id="3" xr3:uid="{A2781A3B-DCF1-4C40-BE7F-73654B104B4D}" name="2021" dataDxfId="389" dataCellStyle="Note"/>
    <tableColumn id="4" xr3:uid="{4BB6BE20-15D8-43B6-9788-E958A91E8143}" name="2022" dataDxfId="388" dataCellStyle="Note"/>
    <tableColumn id="5" xr3:uid="{834C04F5-14BA-4431-827C-C514CFF0D923}" name="2023" dataDxfId="387" dataCellStyle="Note"/>
    <tableColumn id="6" xr3:uid="{0BC6D767-5BEA-41D9-A36E-EDA9CBFBB30E}" name="2024" dataDxfId="386" dataCellStyle="Note"/>
    <tableColumn id="7" xr3:uid="{92D646DB-66DF-4D90-AAC2-20271B43742F}" name="2025" dataDxfId="385" dataCellStyle="Note"/>
    <tableColumn id="8" xr3:uid="{568AA878-A5ED-45FC-8490-43D91A1514A3}" name="2026" dataDxfId="384" dataCellStyle="Note"/>
    <tableColumn id="9" xr3:uid="{B668CBA8-8253-4156-B393-DE0002FD89AF}" name="2027" dataDxfId="383" dataCellStyle="Note"/>
    <tableColumn id="10" xr3:uid="{6AFF9FE8-C70E-426D-950B-388DBCC99ED9}" name="2028" dataDxfId="382" dataCellStyle="Note"/>
    <tableColumn id="11" xr3:uid="{941A6CCA-0849-49AB-B31F-554B8E996A42}" name="2029" dataDxfId="381" dataCellStyle="Note"/>
  </tableColumns>
  <tableStyleInfo name="TableStyleMedium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77C2120-222B-4597-B6D0-08631A41424B}" name="Table12" displayName="Table12" ref="A40:K41" totalsRowShown="0" headerRowDxfId="380" dataDxfId="379" headerRowCellStyle="Note" dataCellStyle="Note">
  <autoFilter ref="A40:K41" xr:uid="{577C2120-222B-4597-B6D0-08631A41424B}"/>
  <tableColumns count="11">
    <tableColumn id="1" xr3:uid="{F6E89BDB-09DF-4A2F-ADDC-767B3CA3EFF5}" name="Asset Turnover Ratio" dataDxfId="378" dataCellStyle="Note"/>
    <tableColumn id="2" xr3:uid="{3B21753F-3B1B-4DE3-9310-C1131D3CBE64}" name="2020" dataDxfId="377" dataCellStyle="Note">
      <calculatedColumnFormula>'Profit Loss'!B4/Balance_Sheet!B17</calculatedColumnFormula>
    </tableColumn>
    <tableColumn id="3" xr3:uid="{D4CB54AF-5F3B-411E-B730-2AAC7D015607}" name="2021" dataDxfId="376" dataCellStyle="Note">
      <calculatedColumnFormula>'Profit Loss'!C4/Balance_Sheet!C17</calculatedColumnFormula>
    </tableColumn>
    <tableColumn id="4" xr3:uid="{DF62CF42-2763-4C29-BD0A-C79B1C97A3C6}" name="2022" dataDxfId="375" dataCellStyle="Note">
      <calculatedColumnFormula>'Profit Loss'!D4/Balance_Sheet!D17</calculatedColumnFormula>
    </tableColumn>
    <tableColumn id="5" xr3:uid="{E054E0C1-1E54-4853-9F39-EBBF58524AF9}" name="2023" dataDxfId="374" dataCellStyle="Note">
      <calculatedColumnFormula>'Profit Loss'!E4/Balance_Sheet!E17</calculatedColumnFormula>
    </tableColumn>
    <tableColumn id="6" xr3:uid="{033E00D4-DEAB-4767-9040-866418D7446F}" name="2024" dataDxfId="373" dataCellStyle="Note">
      <calculatedColumnFormula>'Profit Loss'!F4/Balance_Sheet!F17</calculatedColumnFormula>
    </tableColumn>
    <tableColumn id="7" xr3:uid="{59D109BB-D33C-4486-9D16-3B77CA3429ED}" name="2025E" dataDxfId="372" dataCellStyle="Note">
      <calculatedColumnFormula>'Profit Loss'!G4/Balance_Sheet!G17</calculatedColumnFormula>
    </tableColumn>
    <tableColumn id="8" xr3:uid="{CA857349-64DE-427E-BB08-CD202F86829E}" name="2026E" dataDxfId="371" dataCellStyle="Note">
      <calculatedColumnFormula>'Profit Loss'!H4/Balance_Sheet!H17</calculatedColumnFormula>
    </tableColumn>
    <tableColumn id="9" xr3:uid="{5607283B-CF00-4C36-BC7A-F17399E07189}" name="2027E" dataDxfId="370" dataCellStyle="Note">
      <calculatedColumnFormula>'Profit Loss'!I4/Balance_Sheet!I17</calculatedColumnFormula>
    </tableColumn>
    <tableColumn id="10" xr3:uid="{B8B969A6-C925-4DDB-9519-6344DEE6AA3F}" name="2028E" dataDxfId="369" dataCellStyle="Note">
      <calculatedColumnFormula>'Profit Loss'!J4/Balance_Sheet!J17</calculatedColumnFormula>
    </tableColumn>
    <tableColumn id="11" xr3:uid="{DF6DDC6C-698F-4A56-AE2B-98F8B0AA4CDC}" name="2029E" dataDxfId="368" dataCellStyle="Note">
      <calculatedColumnFormula>'Profit Loss'!K4/Balance_Sheet!K17</calculatedColumnFormula>
    </tableColumn>
  </tableColumns>
  <tableStyleInfo name="TableStyleMedium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E1584E-1752-4868-BDA2-E568FA587FC9}" name="Table4" displayName="Table4" ref="A43:K46" totalsRowShown="0" headerRowDxfId="367" dataDxfId="366" headerRowCellStyle="Note" dataCellStyle="Note">
  <autoFilter ref="A43:K46" xr:uid="{AEE1584E-1752-4868-BDA2-E568FA587FC9}"/>
  <tableColumns count="11">
    <tableColumn id="1" xr3:uid="{06D3B7A1-9AE4-4C5E-97DA-E5EE9EEAE6CF}" name="Debt Scheduling" dataDxfId="365" dataCellStyle="Note"/>
    <tableColumn id="2" xr3:uid="{23706571-7C7F-4BEA-BF53-6DA9104A3D61}" name="2020" dataDxfId="364" dataCellStyle="Note"/>
    <tableColumn id="3" xr3:uid="{393ECA8F-AC2D-466E-BF16-CC2401DEE25D}" name="2021" dataDxfId="363" dataCellStyle="Note"/>
    <tableColumn id="4" xr3:uid="{0F7FEEE2-BC2B-405E-AF30-507B9AA1B5C1}" name="2022" dataDxfId="362" dataCellStyle="Note"/>
    <tableColumn id="5" xr3:uid="{03E32DD8-B916-4A2F-B739-B6D6775580C7}" name="2023" dataDxfId="361" dataCellStyle="Note"/>
    <tableColumn id="6" xr3:uid="{239A102A-EE7A-4624-B210-0074B2BC7340}" name="2024" dataDxfId="360" dataCellStyle="Note"/>
    <tableColumn id="7" xr3:uid="{7EFAA294-EE86-4D23-BB44-0D97C4B45DFC}" name="2025E" dataDxfId="359" dataCellStyle="Note"/>
    <tableColumn id="8" xr3:uid="{31D8765C-8D8E-4543-A450-1AEEB86DDBD2}" name="2026E" dataDxfId="358" dataCellStyle="Note"/>
    <tableColumn id="9" xr3:uid="{BEFD2965-6D73-4C3E-9E26-773CD242A08C}" name="2027E" dataDxfId="357" dataCellStyle="Note"/>
    <tableColumn id="10" xr3:uid="{3AB1CA41-874B-43D0-A775-92120E1F388E}" name="2028E" dataDxfId="356" dataCellStyle="Note"/>
    <tableColumn id="11" xr3:uid="{84D017A0-9E0F-4311-9986-BA82927DEE46}" name="2029E" dataDxfId="355" dataCellStyle="Note"/>
  </tableColumns>
  <tableStyleInfo name="TableStyleMedium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4CBEBE8-095B-4FA4-8F76-D034EC21F372}" name="Table9" displayName="Table9" ref="A48:K51" totalsRowShown="0" headerRowDxfId="354" dataDxfId="353" headerRowCellStyle="Note" dataCellStyle="Note">
  <autoFilter ref="A48:K51" xr:uid="{B4CBEBE8-095B-4FA4-8F76-D034EC21F372}"/>
  <tableColumns count="11">
    <tableColumn id="1" xr3:uid="{D7605603-D836-4BE4-A3C8-AEF7FDFE7C9F}" name="Depreciation, Interest, and Tax Schedule" dataDxfId="352" dataCellStyle="Note"/>
    <tableColumn id="2" xr3:uid="{EBF0A80B-4447-48F8-9D23-6DC738C211DE}" name="2020" dataDxfId="351" dataCellStyle="Note"/>
    <tableColumn id="3" xr3:uid="{F8B209BC-9249-405B-9DF1-94720C5A9F35}" name="2021" dataDxfId="350" dataCellStyle="Note"/>
    <tableColumn id="4" xr3:uid="{D38C3F4C-725C-40B0-A3C8-0DE72A7CEE05}" name="2022" dataDxfId="349" dataCellStyle="Note"/>
    <tableColumn id="5" xr3:uid="{B0CBA7A6-38CB-42B0-8DD9-88A23020A0CA}" name="2023" dataDxfId="348" dataCellStyle="Note"/>
    <tableColumn id="6" xr3:uid="{215F522A-6550-4016-BCDE-5A40CA4D1689}" name="2024" dataDxfId="347" dataCellStyle="Note"/>
    <tableColumn id="7" xr3:uid="{9CCF28E4-ED7F-49A6-B555-484622F4BDF2}" name="2025E" dataDxfId="346" dataCellStyle="Note"/>
    <tableColumn id="8" xr3:uid="{FD2C8B4C-A6F0-4FC3-B99A-F0EEE7739E36}" name="2026E" dataDxfId="345" dataCellStyle="Note"/>
    <tableColumn id="9" xr3:uid="{B6461DDD-E9F5-474E-B4ED-6813D7AFC8BC}" name="2027E" dataDxfId="344" dataCellStyle="Note"/>
    <tableColumn id="10" xr3:uid="{F141B728-4F06-47BD-8406-46FEBB8BDB45}" name="2028E" dataDxfId="343" dataCellStyle="Note"/>
    <tableColumn id="11" xr3:uid="{91DA3274-6B46-4B5E-AA8A-025A830325EC}" name="2029E" dataDxfId="342" dataCellStyle="Note"/>
  </tableColumns>
  <tableStyleInfo name="TableStyleMedium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B6C75C-2D93-4BC9-861E-BA1AC96C37B8}" name="Table13" displayName="Table13" ref="A53:K57" totalsRowShown="0" headerRowDxfId="341" dataDxfId="340" headerRowCellStyle="Note" dataCellStyle="Note">
  <autoFilter ref="A53:K57" xr:uid="{A0B6C75C-2D93-4BC9-861E-BA1AC96C37B8}"/>
  <tableColumns count="11">
    <tableColumn id="1" xr3:uid="{3B89A94B-5BEB-488E-B43D-D07598FF7D3B}" name="Dividend Schedule" dataDxfId="339" dataCellStyle="Note"/>
    <tableColumn id="2" xr3:uid="{28DF116E-5369-4C3E-9471-EB99C61434BF}" name="2020" dataDxfId="338" dataCellStyle="Note"/>
    <tableColumn id="3" xr3:uid="{7FA5F1EB-E853-41CC-B102-EB1BA3328FAB}" name="2021" dataDxfId="337" dataCellStyle="Note"/>
    <tableColumn id="4" xr3:uid="{AB12E40E-BC09-44D0-BB0C-5FABBCBF7BB7}" name="2022" dataDxfId="336" dataCellStyle="Note"/>
    <tableColumn id="5" xr3:uid="{92CD0057-0BED-490C-B9D5-683CD24F4378}" name="2023" dataDxfId="335" dataCellStyle="Note"/>
    <tableColumn id="6" xr3:uid="{C8FB97CF-0605-4585-84BD-839472FB0E0B}" name="2024" dataDxfId="334" dataCellStyle="Note"/>
    <tableColumn id="7" xr3:uid="{F84B16E1-C639-4AB8-ADB7-8973BDB7EA1E}" name="2025E" dataDxfId="333" dataCellStyle="Note"/>
    <tableColumn id="8" xr3:uid="{73DAF3D7-7BDD-451F-8ED3-F871970B2C8E}" name="2026E" dataDxfId="332" dataCellStyle="Note"/>
    <tableColumn id="9" xr3:uid="{E885A013-7F34-43E5-8933-57DF06A7D4C8}" name="2027E" dataDxfId="331" dataCellStyle="Note"/>
    <tableColumn id="10" xr3:uid="{7F085ACB-997A-4E5F-97A7-1D04CD138399}" name="2028E" dataDxfId="330" dataCellStyle="Note"/>
    <tableColumn id="11" xr3:uid="{B99E7FCF-A642-4192-9183-E73A67125472}" name="2029E" dataDxfId="329" dataCellStyle="Note"/>
  </tableColumns>
  <tableStyleInfo name="TableStyleMedium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E6FD124-21D7-43DE-982E-78DA88E42DFB}" name="Table14" displayName="Table14" ref="A59:B63" totalsRowShown="0" headerRowDxfId="328" dataDxfId="327" headerRowCellStyle="Note" dataCellStyle="Note">
  <autoFilter ref="A59:B63" xr:uid="{1E6FD124-21D7-43DE-982E-78DA88E42DFB}"/>
  <tableColumns count="2">
    <tableColumn id="1" xr3:uid="{3C52B7E7-18E0-4DE5-AA2E-CCE6D75F634C}" name="CAPM Calculation" dataDxfId="326" dataCellStyle="Note"/>
    <tableColumn id="2" xr3:uid="{861DABCA-A32F-4D11-97CD-FC7335E8DD88}" name="Value" dataDxfId="325" dataCellStyle="Note"/>
  </tableColumns>
  <tableStyleInfo name="TableStyleMedium1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03E407A-6738-4C62-961F-3A68E7188DEA}" name="Table15" displayName="Table15" ref="A65:B71" totalsRowShown="0" headerRowDxfId="324" dataDxfId="323" headerRowCellStyle="Note" dataCellStyle="Note">
  <autoFilter ref="A65:B71" xr:uid="{503E407A-6738-4C62-961F-3A68E7188DEA}"/>
  <tableColumns count="2">
    <tableColumn id="1" xr3:uid="{F728B64E-B117-47FF-A084-C1D584DD0F20}" name="WACC Calculation" dataDxfId="322" dataCellStyle="Note"/>
    <tableColumn id="2" xr3:uid="{33A4BC8C-BFC6-49B6-9213-BD2973F2740A}" name="Value" dataDxfId="321" dataCellStyle="Note"/>
  </tableColumns>
  <tableStyleInfo name="TableStyleMedium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D65B1E9-9635-4BB5-B868-6DECDD5FCD34}" name="Table19" displayName="Table19" ref="A91:B96" totalsRowShown="0" headerRowDxfId="320" dataDxfId="319" headerRowCellStyle="Note" dataCellStyle="Note">
  <autoFilter ref="A91:B96" xr:uid="{7D65B1E9-9635-4BB5-B868-6DECDD5FCD34}"/>
  <tableColumns count="2">
    <tableColumn id="1" xr3:uid="{AE39D505-CF25-4595-B8C2-A374965C12ED}" name="Enterprise Value Calculation" dataDxfId="318" dataCellStyle="Note"/>
    <tableColumn id="2" xr3:uid="{A3504EF5-93A5-44AF-A12C-2768B7184091}" name="Company" dataDxfId="317" dataCellStyle="Note"/>
  </tableColumns>
  <tableStyleInfo name="TableStyleMedium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DACD67D-F633-477B-BAA5-9A0A5432220E}" name="Table20" displayName="Table20" ref="A98:C103" totalsRowShown="0" headerRowDxfId="316" dataDxfId="315" headerRowCellStyle="Note" dataCellStyle="Note">
  <autoFilter ref="A98:C103" xr:uid="{8DACD67D-F633-477B-BAA5-9A0A5432220E}"/>
  <tableColumns count="3">
    <tableColumn id="1" xr3:uid="{5BE7BA4C-E106-4623-9749-823735E608E9}" name="Valuation Ratios" dataDxfId="314" dataCellStyle="Note"/>
    <tableColumn id="2" xr3:uid="{42730CB0-1F26-4119-A54E-535BFF6857C1}" name="Formula" dataDxfId="313" dataCellStyle="Note"/>
    <tableColumn id="3" xr3:uid="{C36D9D1B-C219-4F09-9695-DE25501F0E02}" name="Company" dataDxfId="312" dataCellStyle="Note"/>
  </tableColumns>
  <tableStyleInfo name="TableStyleMedium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5DCE4C9-8CBA-4EA7-BACE-C1A086517777}" name="Table27" displayName="Table27" ref="A73:K89" totalsRowShown="0" headerRowDxfId="311" dataDxfId="309" headerRowBorderDxfId="310" tableBorderDxfId="308" totalsRowBorderDxfId="307" headerRowCellStyle="Note" dataCellStyle="Note">
  <autoFilter ref="A73:K89" xr:uid="{35DCE4C9-8CBA-4EA7-BACE-C1A086517777}"/>
  <tableColumns count="11">
    <tableColumn id="1" xr3:uid="{1A2F8A6E-5E70-4716-8A0A-DD671BE14060}" name="FCFF / FCFE Calculation" dataDxfId="306" dataCellStyle="Note"/>
    <tableColumn id="2" xr3:uid="{39D3915D-430A-45E9-AE07-A103547805CA}" name="2020" dataDxfId="305" dataCellStyle="Note"/>
    <tableColumn id="3" xr3:uid="{CD0DD9EB-25C9-43CE-96B2-127A74685E51}" name="2021" dataDxfId="304" dataCellStyle="Note"/>
    <tableColumn id="4" xr3:uid="{EE6F25E9-BBF8-4427-A37E-BC2B30602109}" name="2022" dataDxfId="303" dataCellStyle="Note"/>
    <tableColumn id="5" xr3:uid="{8435A766-00EF-4831-89FA-A7684801050C}" name="2023" dataDxfId="302" dataCellStyle="Note"/>
    <tableColumn id="6" xr3:uid="{7E8E4910-3EAF-48A9-B079-BD9FC5B85C76}" name="2024" dataDxfId="301" dataCellStyle="Note"/>
    <tableColumn id="7" xr3:uid="{AAF7CB2B-331E-4427-878A-64E9377FF66D}" name="2025E" dataDxfId="300" dataCellStyle="Note"/>
    <tableColumn id="8" xr3:uid="{13609E4B-B9F3-43AE-A8A2-3478D66C0A89}" name="2026E" dataDxfId="299" dataCellStyle="Note"/>
    <tableColumn id="9" xr3:uid="{21797EED-8AFF-43DD-8775-B58CFBA34692}" name="2027E" dataDxfId="298" dataCellStyle="Note"/>
    <tableColumn id="10" xr3:uid="{6A752F3F-EE17-4345-A7C7-A60D6A7C6CD3}" name="2028E" dataDxfId="297" dataCellStyle="Note"/>
    <tableColumn id="11" xr3:uid="{5625E271-5530-4BCB-B1BB-308DC58EA9BE}" name="2029E" dataDxfId="296" dataCellStyle="Note"/>
  </tableColumns>
  <tableStyleInfo name="TableStyleMedium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438EC65-C2E7-43AF-B172-03F0FE8B238F}" name="Table34" displayName="Table34" ref="F91:G94" totalsRowShown="0" headerRowDxfId="295" dataDxfId="294" headerRowCellStyle="Note" dataCellStyle="Note">
  <autoFilter ref="F91:G94" xr:uid="{D438EC65-C2E7-43AF-B172-03F0FE8B238F}"/>
  <tableColumns count="2">
    <tableColumn id="1" xr3:uid="{C7140E6C-81BE-4A82-B882-71F0A0EE16D6}" name="Input" dataDxfId="293" dataCellStyle="Note"/>
    <tableColumn id="2" xr3:uid="{62E2E46F-A80B-4BDB-8569-A515F42AAA31}" name="Assumptions" dataDxfId="292" dataCellStyle="Note"/>
  </tableColumns>
  <tableStyleInfo name="TableStyleMedium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F031BFB-CE3C-4D31-A23E-BEF20E42B81B}" name="Table35" displayName="Table35" ref="L3:Q13" totalsRowShown="0" headerRowDxfId="291" dataDxfId="290" headerRowCellStyle="Note" dataCellStyle="Note">
  <autoFilter ref="L3:Q13" xr:uid="{CF031BFB-CE3C-4D31-A23E-BEF20E42B81B}"/>
  <tableColumns count="6">
    <tableColumn id="1" xr3:uid="{5FF7A62D-A64F-4551-B474-D06DD23FC863}" name="Item" dataDxfId="289" dataCellStyle="Note"/>
    <tableColumn id="2" xr3:uid="{C4A1D064-DF3F-42A3-B6BD-BDF39C6EBFBE}" name="2025" dataDxfId="288" dataCellStyle="Note"/>
    <tableColumn id="3" xr3:uid="{7C927AEA-C328-4E6B-9A0B-9DF2B11CE4D9}" name="2026" dataDxfId="287" dataCellStyle="Note"/>
    <tableColumn id="4" xr3:uid="{41AFF671-6A96-43E3-B62C-E0783001B8BC}" name="2027" dataDxfId="286" dataCellStyle="Note"/>
    <tableColumn id="5" xr3:uid="{B24740C2-93E3-4B28-B7C3-B1DF70F65069}" name="2028" dataDxfId="285" dataCellStyle="Note"/>
    <tableColumn id="6" xr3:uid="{96A57D49-0D41-4785-AA32-4590C00373A3}" name="2029" dataDxfId="284" dataCellStyle="Note"/>
  </tableColumns>
  <tableStyleInfo name="TableStyleMedium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7685474-3FEF-4829-9209-BEAEA035090C}" name="Table38" displayName="Table38" ref="F96:G100" totalsRowShown="0" headerRowDxfId="283" dataDxfId="282" headerRowCellStyle="Note" dataCellStyle="Note">
  <autoFilter ref="F96:G100" xr:uid="{47685474-3FEF-4829-9209-BEAEA035090C}"/>
  <tableColumns count="2">
    <tableColumn id="1" xr3:uid="{BDA01FE0-EC73-406F-A0DF-7BFE40F6A615}" name="Terminal Growth Rate Used" dataDxfId="281" dataCellStyle="Note"/>
    <tableColumn id="2" xr3:uid="{230CADC5-1899-4C0C-BA77-DF2E06301FE7}" name="3-4%" dataDxfId="280" dataCellStyle="Note"/>
  </tableColumns>
  <tableStyleInfo name="TableStyleMedium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52132B-1C61-4274-8703-492778F44F5B}" name="Table5" displayName="Table5" ref="A1:F26" totalsRowCount="1" headerRowDxfId="279" dataDxfId="277" totalsRowDxfId="275" headerRowBorderDxfId="278" tableBorderDxfId="276" headerRowCellStyle="Note" dataCellStyle="Note" totalsRowCellStyle="Note">
  <autoFilter ref="A1:F25" xr:uid="{5452132B-1C61-4274-8703-492778F44F5B}"/>
  <tableColumns count="6">
    <tableColumn id="1" xr3:uid="{17303E08-FEBB-401D-89C4-737ACE0C3223}" name="Industry Consolidated Income Statement - USD ($) $ in Millions" totalsRowLabel="Total" dataDxfId="274" totalsRowDxfId="273" dataCellStyle="Note"/>
    <tableColumn id="2" xr3:uid="{01CAE104-18A1-4CC6-ACDC-449382B3FFFB}" name="2020" totalsRowFunction="custom" dataDxfId="272" totalsRowDxfId="271" dataCellStyle="Note">
      <totalsRowFormula>SUM(B3:B21)</totalsRowFormula>
    </tableColumn>
    <tableColumn id="3" xr3:uid="{08F94F08-78AD-46CC-A929-3FEC420FB501}" name="2021" totalsRowFunction="custom" dataDxfId="270" totalsRowDxfId="269" dataCellStyle="Note">
      <totalsRowFormula>SUM(C3:C21)</totalsRowFormula>
    </tableColumn>
    <tableColumn id="4" xr3:uid="{6BBE5EA9-B965-4601-9462-539C8B47565F}" name="2022" totalsRowFunction="custom" dataDxfId="268" totalsRowDxfId="267" dataCellStyle="Note">
      <totalsRowFormula>SUM(D3:D21)</totalsRowFormula>
    </tableColumn>
    <tableColumn id="5" xr3:uid="{9F616B35-2646-4A41-94DC-F0E23727F2E5}" name="2023" totalsRowFunction="custom" dataDxfId="266" totalsRowDxfId="265" dataCellStyle="Note">
      <totalsRowFormula>SUM(E3:E21)</totalsRowFormula>
    </tableColumn>
    <tableColumn id="6" xr3:uid="{E26C5965-0E50-42D5-930D-ABDF25B8D758}" name="2024" totalsRowFunction="custom" dataDxfId="264" totalsRowDxfId="263" dataCellStyle="Note">
      <totalsRowFormula>SUM(F3:F21)</totalsRow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F1A7EE-5D28-4C1F-87A5-D7775DA43959}" name="Table6" displayName="Table6" ref="A1:F35" totalsRowCount="1" headerRowDxfId="262" dataDxfId="261" totalsRowDxfId="260" headerRowCellStyle="Note" dataCellStyle="Note" totalsRowCellStyle="Note">
  <autoFilter ref="A1:F34" xr:uid="{6CF1A7EE-5D28-4C1F-87A5-D7775DA43959}"/>
  <tableColumns count="6">
    <tableColumn id="1" xr3:uid="{1E046AD3-F16F-4294-B0C6-535A2A74D86C}" name="Industry Consolidated Balance Sheet - USD ($) $ in Millions" totalsRowLabel="Total" dataDxfId="259" totalsRowDxfId="258" dataCellStyle="Note"/>
    <tableColumn id="2" xr3:uid="{9AFF5776-7125-489B-B68A-63D0483EA75C}" name="2020" totalsRowFunction="custom" dataDxfId="257" totalsRowDxfId="256" dataCellStyle="Note">
      <totalsRowFormula>SUM(B4:B34)</totalsRowFormula>
    </tableColumn>
    <tableColumn id="3" xr3:uid="{7D6BD983-E378-4185-B234-B6F8B3B3DF50}" name="2021" totalsRowFunction="custom" dataDxfId="255" totalsRowDxfId="254" dataCellStyle="Note">
      <totalsRowFormula>SUM(C4:C34)</totalsRowFormula>
    </tableColumn>
    <tableColumn id="4" xr3:uid="{D75B70EA-90A1-4848-A9AC-AF9C2A3E6292}" name="2022" totalsRowFunction="custom" dataDxfId="253" totalsRowDxfId="252" dataCellStyle="Note">
      <totalsRowFormula>SUM(D4:D34)</totalsRowFormula>
    </tableColumn>
    <tableColumn id="5" xr3:uid="{55E632D7-11A3-4087-9F5B-A129579FB37A}" name="2023" totalsRowFunction="custom" dataDxfId="251" totalsRowDxfId="250" dataCellStyle="Note">
      <totalsRowFormula>SUM(E4:E34)</totalsRowFormula>
    </tableColumn>
    <tableColumn id="6" xr3:uid="{6C636805-77F1-40D4-AE01-8FD11D5D8462}" name="2024" totalsRowFunction="sum" dataDxfId="249" totalsRowDxfId="248" dataCellStyle="Note"/>
  </tableColumns>
  <tableStyleInfo name="TableStyleMedium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E51B18-06FF-477E-98D0-F34993BA540A}" name="Table8" displayName="Table8" ref="A1:F31" totalsRowCount="1" headerRowDxfId="247" dataDxfId="246" totalsRowDxfId="245" headerRowCellStyle="Note" dataCellStyle="Note">
  <autoFilter ref="A1:F30" xr:uid="{28E51B18-06FF-477E-98D0-F34993BA540A}"/>
  <tableColumns count="6">
    <tableColumn id="1" xr3:uid="{39E0C9F6-7BF9-4EA6-8A96-334765D5E1D2}" name="Industry Cash Flow Statement - USD ($) $ in Millions" totalsRowLabel="Total" dataDxfId="244" totalsRowDxfId="243" dataCellStyle="Note"/>
    <tableColumn id="2" xr3:uid="{867C4598-8533-476A-8ACB-881F3FF096B3}" name="2020" totalsRowFunction="custom" dataDxfId="242" totalsRowDxfId="241" dataCellStyle="Note">
      <totalsRowFormula>SUM(B4:B30)</totalsRowFormula>
    </tableColumn>
    <tableColumn id="3" xr3:uid="{27BDF2E2-493D-47F4-AF12-BFEBA673C734}" name="2021" totalsRowFunction="custom" dataDxfId="240" totalsRowDxfId="239" dataCellStyle="Note">
      <totalsRowFormula>SUM(C4:C30)</totalsRowFormula>
    </tableColumn>
    <tableColumn id="4" xr3:uid="{DEDED4C9-DC1B-4764-8474-E157B520D924}" name="2022" totalsRowFunction="custom" dataDxfId="238" totalsRowDxfId="237" dataCellStyle="Note">
      <totalsRowFormula>SUM(D4:D30)</totalsRowFormula>
    </tableColumn>
    <tableColumn id="5" xr3:uid="{E1105D0B-42A2-44EB-AAA5-FA676C2BD1B6}" name="2023" totalsRowFunction="custom" dataDxfId="236" totalsRowDxfId="235" dataCellStyle="Note">
      <totalsRowFormula>SUM(E4:E30)</totalsRowFormula>
    </tableColumn>
    <tableColumn id="6" xr3:uid="{D949445A-628F-4701-B72E-1C98D64EA520}" name="2024" totalsRowFunction="custom" dataDxfId="234" totalsRowDxfId="233" dataCellStyle="Note">
      <totalsRowFormula>SUM(F4:F30)</totalsRowFormula>
    </tableColumn>
  </tableColumns>
  <tableStyleInfo name="TableStyleMedium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5C780CA-D1D2-46DA-B52B-71B58D7F6952}" name="Table22" displayName="Table22" ref="F4:G6" totalsRowShown="0" headerRowDxfId="232" dataDxfId="231" headerRowCellStyle="Note" dataCellStyle="Note">
  <autoFilter ref="F4:G6" xr:uid="{35C780CA-D1D2-46DA-B52B-71B58D7F6952}"/>
  <tableColumns count="2">
    <tableColumn id="1" xr3:uid="{ADB0BBEB-BD93-4E4B-99B4-FE1B82A6D72F}" name="Slope" dataDxfId="230" dataCellStyle="Note"/>
    <tableColumn id="2" xr3:uid="{0A3DE5D9-986E-457F-A7BF-ADCA6C730B45}" name="Value" dataDxfId="229" dataCellStyle="Note">
      <calculatedColumnFormula>SLOPE(E3:E1316, D3:D1316)</calculatedColumnFormula>
    </tableColumn>
  </tableColumns>
  <tableStyleInfo name="TableStyleMedium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F6BED2-7069-405F-B357-6EFD4DBE80BD}" name="Table23" displayName="Table23" ref="F7:G8" totalsRowShown="0" headerRowDxfId="228" dataDxfId="227" tableBorderDxfId="226" headerRowCellStyle="Note" dataCellStyle="Note">
  <autoFilter ref="F7:G8" xr:uid="{3DF6BED2-7069-405F-B357-6EFD4DBE80BD}"/>
  <tableColumns count="2">
    <tableColumn id="1" xr3:uid="{870FD4CC-12A1-4953-8DFB-0448E1B28492}" name="Beta" dataDxfId="225" dataCellStyle="Note"/>
    <tableColumn id="2" xr3:uid="{DAC248FC-6DE3-40F7-B61E-E19EBF45960B}" name="Value" dataDxfId="224" dataCellStyle="Note">
      <calculatedColumnFormula>_xlfn.COVARIANCE.P(E3:E1316, D3:D1316) / _xlfn.VAR.P(D3:D1316)</calculatedColumnFormula>
    </tableColumn>
  </tableColumns>
  <tableStyleInfo name="TableStyleLight10"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89BC6EE-9A9D-449E-92BC-E1D81A455933}" name="Table21" displayName="Table21" ref="A1:E1239" totalsRowShown="0" headerRowDxfId="223" dataDxfId="222" headerRowCellStyle="Note" dataCellStyle="Note">
  <autoFilter ref="A1:E1239" xr:uid="{A89BC6EE-9A9D-449E-92BC-E1D81A455933}"/>
  <tableColumns count="5">
    <tableColumn id="1" xr3:uid="{B1FB18EA-242A-4DD6-BD27-69CAEC34A54B}" name="Date" dataDxfId="221" dataCellStyle="Note"/>
    <tableColumn id="2" xr3:uid="{36E18C18-EB00-4EEF-8EB0-3A6296E54D88}" name="Index Close" dataDxfId="220" dataCellStyle="Note"/>
    <tableColumn id="3" xr3:uid="{9F912CE4-4A6E-466B-9EB6-0DEE6D50EEB1}" name="Stock Close" dataDxfId="219" dataCellStyle="Note"/>
    <tableColumn id="8" xr3:uid="{6159BDB5-6439-4D0D-B15C-39EC1338662C}" name="Index Return" dataDxfId="218" dataCellStyle="Note">
      <calculatedColumnFormula>(B3-B2)/B2</calculatedColumnFormula>
    </tableColumn>
    <tableColumn id="9" xr3:uid="{21100DC7-EC83-4FE7-9D33-886C4D86E245}" name="Stock Return" dataDxfId="217" dataCellStyle="Note"/>
  </tableColumns>
  <tableStyleInfo name="TableStyleMedium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028BDFA-42E4-49DE-B21E-337F4BE29C81}" name="Table24" displayName="Table24" ref="A1:O5" totalsRowShown="0" headerRowDxfId="216" dataDxfId="215" headerRowCellStyle="Note" dataCellStyle="Note">
  <autoFilter ref="A1:O5" xr:uid="{1028BDFA-42E4-49DE-B21E-337F4BE29C81}"/>
  <tableColumns count="15">
    <tableColumn id="1" xr3:uid="{72086944-8FF9-4AF2-BC92-6A7F78AB4A0B}" name="Subject Descripton" dataDxfId="214" dataCellStyle="Note"/>
    <tableColumn id="2" xr3:uid="{04A74591-2930-4351-A689-D41154ACA1AC}" name="Units" dataDxfId="213" dataCellStyle="Note"/>
    <tableColumn id="3" xr3:uid="{AEF28D86-424F-4A90-B405-3EA1C3E85941}" name="Scale" dataDxfId="212" dataCellStyle="Note"/>
    <tableColumn id="4" xr3:uid="{58CAFD8F-CD2B-400A-8C54-AE4D0EE3018B}" name="Country/Series-specific Notes" dataDxfId="211" dataCellStyle="Note"/>
    <tableColumn id="5" xr3:uid="{F225A106-AB9E-477B-ADE1-E3951A1481FF}" name="2020" dataDxfId="210" dataCellStyle="Note"/>
    <tableColumn id="6" xr3:uid="{AB5C21F0-191A-48E2-8742-29B9DFF0590E}" name="2021" dataDxfId="209" dataCellStyle="Note"/>
    <tableColumn id="7" xr3:uid="{03FF3FB0-4647-46C5-B76C-A3042E280E84}" name="2022" dataDxfId="208" dataCellStyle="Note"/>
    <tableColumn id="8" xr3:uid="{8FBEA74F-412A-483E-A0DD-A5201F7ACEFA}" name="2023" dataDxfId="207" dataCellStyle="Note"/>
    <tableColumn id="9" xr3:uid="{96E74E1B-A99E-4853-8709-A3AE200D2DE3}" name="2024" dataDxfId="206" dataCellStyle="Note"/>
    <tableColumn id="10" xr3:uid="{83C41048-E018-42B1-BD1D-F92495F735DC}" name="Column1" dataDxfId="205" dataCellStyle="Note"/>
    <tableColumn id="11" xr3:uid="{68683B3C-774D-4EDB-9EC6-D063CEC1E899}" name="Column2" dataDxfId="204" dataCellStyle="Note"/>
    <tableColumn id="12" xr3:uid="{23CD5523-D86A-451F-A3C4-E6DCDA0E331E}" name="Column3" dataDxfId="203" dataCellStyle="Note"/>
    <tableColumn id="13" xr3:uid="{77A5A545-4A3D-4B6B-99A1-12EAD5A62014}" name="Column4" dataDxfId="202" dataCellStyle="Note"/>
    <tableColumn id="14" xr3:uid="{E906B67B-C226-47F5-8160-E11388593A38}" name="Column5" dataDxfId="201" dataCellStyle="Note"/>
    <tableColumn id="15" xr3:uid="{DB758212-DD06-47FA-AC2F-15C3096FB473}" name="Column6" dataDxfId="200" dataCellStyle="Note"/>
  </tableColumns>
  <tableStyleInfo name="TableStyleMedium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7D4862C-3C4A-4AB6-B18B-667FF7B85712}" name="Table25" displayName="Table25" ref="A7:G17" totalsRowShown="0" headerRowDxfId="199" dataDxfId="198" headerRowCellStyle="Note" dataCellStyle="Note">
  <autoFilter ref="A7:G17" xr:uid="{C7D4862C-3C4A-4AB6-B18B-667FF7B85712}"/>
  <tableColumns count="7">
    <tableColumn id="1" xr3:uid="{8B5B2831-964C-40F9-88AD-843485B2F10A}" name="Years" dataDxfId="197" dataCellStyle="Note"/>
    <tableColumn id="2" xr3:uid="{80D47AF6-C6ED-446D-98C8-6819142FD865}" name="GDP" dataDxfId="196" dataCellStyle="Note"/>
    <tableColumn id="3" xr3:uid="{C546FC65-8B15-442D-B6B4-5DFBAF176EAA}" name="% Change in GDP" dataDxfId="195" dataCellStyle="Note"/>
    <tableColumn id="4" xr3:uid="{B0DC9B66-D7AB-41E8-B1E1-E9E3AB5121D4}" name="Inflation" dataDxfId="194" dataCellStyle="Note"/>
    <tableColumn id="5" xr3:uid="{3FA800B1-A2D6-47AF-BCE9-BA6FFF33261C}" name="% Change in Inflation" dataDxfId="193" dataCellStyle="Note"/>
    <tableColumn id="6" xr3:uid="{31C3E4DF-4996-46FF-940D-A996411B0818}" name="Industry" dataDxfId="192" dataCellStyle="Note"/>
    <tableColumn id="7" xr3:uid="{3048C768-D50A-46A4-9BB3-E8B3F03E1F4E}" name="Company" dataDxfId="191" dataCellStyle="Note"/>
  </tableColumns>
  <tableStyleInfo name="TableStyleMedium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F62271-C347-4925-BB69-EA9CCF81902E}" name="Table16" displayName="Table16" ref="A2:L14" totalsRowShown="0" headerRowDxfId="190" dataDxfId="189" headerRowCellStyle="Note" dataCellStyle="Note">
  <autoFilter ref="A2:L14" xr:uid="{95F62271-C347-4925-BB69-EA9CCF81902E}"/>
  <tableColumns count="12">
    <tableColumn id="1" xr3:uid="{C485BA11-2BD0-4192-91C7-D48DF4D878F4}" name="Dividend Discount Model (Reference Only)" dataDxfId="188" dataCellStyle="Note"/>
    <tableColumn id="2" xr3:uid="{E1474EC0-4794-4C1A-BCE3-3DAB06076C08}" name="Amount" dataDxfId="187" dataCellStyle="Note"/>
    <tableColumn id="3" xr3:uid="{040CEF7A-2609-4B03-A3A3-6A208E7F2FDA}" name="2020" dataDxfId="186" dataCellStyle="Note"/>
    <tableColumn id="4" xr3:uid="{A76D0C6F-3131-43E4-8898-87C820143EB1}" name="2021" dataDxfId="185" dataCellStyle="Note"/>
    <tableColumn id="5" xr3:uid="{B482CC25-86AC-4425-A226-914B6AB27E7F}" name="2022" dataDxfId="184" dataCellStyle="Note"/>
    <tableColumn id="6" xr3:uid="{586B3B90-C0C3-4D81-BCFF-77B267907487}" name="2023" dataDxfId="183" dataCellStyle="Note"/>
    <tableColumn id="7" xr3:uid="{4DD17C73-934A-4B48-A7E2-5ABE8E8F0F86}" name="2024" dataDxfId="182" dataCellStyle="Note"/>
    <tableColumn id="8" xr3:uid="{D7CDF18C-5640-4F14-AD3C-434920FE3C0A}" name="2025" dataDxfId="181" dataCellStyle="Note"/>
    <tableColumn id="9" xr3:uid="{C8D06C1D-2BC5-4626-90FB-2DEB3DE4ABBE}" name="2026" dataDxfId="180" dataCellStyle="Note"/>
    <tableColumn id="10" xr3:uid="{B7CE4DBA-2652-47AB-91D8-A74EEEA85AB4}" name="2027" dataDxfId="179" dataCellStyle="Note"/>
    <tableColumn id="11" xr3:uid="{C08B5DE1-729E-44D5-8A05-8D5A54BBC938}" name="2028" dataDxfId="178" dataCellStyle="Note"/>
    <tableColumn id="12" xr3:uid="{D106F021-95F4-4F99-9B11-0FEE786E5020}" name="2029" dataDxfId="177" dataCellStyle="Note"/>
  </tableColumns>
  <tableStyleInfo name="TableStyleMedium10"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85AE37-A739-469A-AA34-A59820963BA1}" name="Table17" displayName="Table17" ref="A16:L30" totalsRowShown="0" headerRowDxfId="176" dataDxfId="175" headerRowCellStyle="Note" dataCellStyle="Note">
  <autoFilter ref="A16:L30" xr:uid="{1385AE37-A739-469A-AA34-A59820963BA1}"/>
  <tableColumns count="12">
    <tableColumn id="1" xr3:uid="{A23BC210-46C5-480A-AC97-28690326DE59}" name="Legacy DDM Check" dataDxfId="174" dataCellStyle="Note"/>
    <tableColumn id="2" xr3:uid="{B50622E5-670D-4F96-839C-A973EF138BB0}" name="Amount" dataDxfId="173" dataCellStyle="Note"/>
    <tableColumn id="3" xr3:uid="{5C7E96B5-6AFF-485D-8465-D11B22F6FA45}" name="2020" dataDxfId="172" dataCellStyle="Note"/>
    <tableColumn id="4" xr3:uid="{6580AAE2-F02F-462F-A30E-D1469B1CE33B}" name="2021" dataDxfId="171" dataCellStyle="Note"/>
    <tableColumn id="5" xr3:uid="{7D23E022-9DFD-4573-99AE-2FFB77EB757E}" name="2022" dataDxfId="170" dataCellStyle="Note"/>
    <tableColumn id="6" xr3:uid="{7E08E62A-7C31-496B-A001-7EC9C94104F6}" name="2023" dataDxfId="169" dataCellStyle="Note"/>
    <tableColumn id="7" xr3:uid="{DF45DE8B-08C6-4C8A-AB29-29E5894248B7}" name="2024" dataDxfId="168" dataCellStyle="Note"/>
    <tableColumn id="8" xr3:uid="{F24418D0-34A5-447B-A5B3-8047F6BB196A}" name="2025" dataDxfId="167" dataCellStyle="Note"/>
    <tableColumn id="9" xr3:uid="{AE91A29B-EE21-420A-AC04-55F70981043E}" name="2026" dataDxfId="166" dataCellStyle="Note"/>
    <tableColumn id="10" xr3:uid="{0D6447DC-F40C-488C-951A-DA1D68C7C4CD}" name="2027" dataDxfId="165" dataCellStyle="Note"/>
    <tableColumn id="11" xr3:uid="{9A2B550E-BBDC-4CBE-80AA-711EAFC912AA}" name="2028" dataDxfId="164" dataCellStyle="Note"/>
    <tableColumn id="12" xr3:uid="{1A6B65BE-4AE2-4D2D-825B-CADDEA742755}" name="2029" dataDxfId="163" dataCellStyle="Note"/>
  </tableColumns>
  <tableStyleInfo name="TableStyleMedium3"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2C3E7C-1B14-4045-819D-78B81CF58CF1}" name="Table18" displayName="Table18" ref="G32:H41" totalsRowShown="0" headerRowDxfId="162" dataDxfId="161" headerRowCellStyle="Note" dataCellStyle="Note">
  <autoFilter ref="G32:H41" xr:uid="{832C3E7C-1B14-4045-819D-78B81CF58CF1}"/>
  <tableColumns count="2">
    <tableColumn id="1" xr3:uid="{96055E02-32F2-4252-BA81-B98F2CFA6388}" name="Calculations" dataDxfId="160" dataCellStyle="Note"/>
    <tableColumn id="2" xr3:uid="{FC3359DF-EFBB-4EDC-8AC6-2C6AF525440C}" name="Values" dataDxfId="159" dataCellStyle="Note"/>
  </tableColumns>
  <tableStyleInfo name="TableStyleMedium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61D39C9-32C4-4735-9FF3-740B373F3912}" name="Table26" displayName="Table26" ref="A32:E54" totalsRowShown="0" headerRowDxfId="158" dataDxfId="157" headerRowCellStyle="Note" dataCellStyle="Note">
  <autoFilter ref="A32:E54" xr:uid="{761D39C9-32C4-4735-9FF3-740B373F3912}"/>
  <tableColumns count="5">
    <tableColumn id="1" xr3:uid="{20B8861E-97FE-4EC4-9131-97289F820BB7}" name="Relative Valuation" dataDxfId="156" dataCellStyle="Note"/>
    <tableColumn id="2" xr3:uid="{674C4734-836D-432B-9764-CF617BC6BC97}" name="Company" dataDxfId="155" dataCellStyle="Note"/>
    <tableColumn id="3" xr3:uid="{18705CD3-CF31-4690-A6F9-E8FB2673BAD2}" name="Industry" dataDxfId="154" dataCellStyle="Note"/>
    <tableColumn id="4" xr3:uid="{87C76E09-3B63-49F6-8F70-8D2CA71E7006}" name="Implied " dataDxfId="153" dataCellStyle="Note"/>
    <tableColumn id="5" xr3:uid="{4FB7EFEE-2D41-475D-B64C-3600B9F58F2B}" name="Price" dataDxfId="152" dataCellStyle="Note"/>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6DD7EB3-5EC4-4961-B73E-9456E13118AB}" name="Table29" displayName="Table29" ref="J32:N42" totalsRowShown="0" headerRowDxfId="151" dataDxfId="150" headerRowCellStyle="Note" dataCellStyle="Note">
  <autoFilter ref="J32:N42" xr:uid="{D6DD7EB3-5EC4-4961-B73E-9456E13118AB}"/>
  <tableColumns count="5">
    <tableColumn id="1" xr3:uid="{2E5DAFFC-945A-49D1-A1F6-9516A1258344}" name="Year" dataDxfId="149" dataCellStyle="Note"/>
    <tableColumn id="2" xr3:uid="{743092EE-172F-4C44-8E89-B72C51A9F73A}" name="Total Dividend" dataDxfId="148" dataCellStyle="Note"/>
    <tableColumn id="3" xr3:uid="{8F54AAB7-99A1-408F-9029-8ABEA1F9AEC6}" name="Dividend Per Share (DPS)" dataDxfId="147" dataCellStyle="Note"/>
    <tableColumn id="4" xr3:uid="{647388C2-1DE4-4173-8DB7-12003D003012}" name="PV of DPS" dataDxfId="146" dataCellStyle="Note"/>
    <tableColumn id="5" xr3:uid="{FCFDC771-A32C-4EDF-8A0A-14D93C2A4DFF}" name="Implied Valuation:" dataDxfId="145" dataCellStyle="Note"/>
  </tableColumns>
  <tableStyleInfo name="TableStyleMedium3"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0305597-275C-46ED-AF75-2021C88F12C1}" name="Table31" displayName="Table31" ref="G42:H48" totalsRowShown="0" headerRowDxfId="144" dataDxfId="143" headerRowCellStyle="Note" dataCellStyle="Note">
  <autoFilter ref="G42:H48" xr:uid="{E0305597-275C-46ED-AF75-2021C88F12C1}"/>
  <tableColumns count="2">
    <tableColumn id="1" xr3:uid="{B2BAAB19-D2A4-424A-922C-106B50C2418A}" name="Input" dataDxfId="142" dataCellStyle="Note"/>
    <tableColumn id="2" xr3:uid="{5C4D22FD-3547-4395-A54F-D64B6745EAB5}" name="Value" dataDxfId="141" dataCellStyle="Note"/>
  </tableColumns>
  <tableStyleInfo name="TableStyleMedium3"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BB849EF-32FC-4EAA-8F29-2DB3D4D52DDB}" name="Table32" displayName="Table32" ref="G49:J52" totalsRowShown="0" headerRowDxfId="140" dataDxfId="139" headerRowCellStyle="Note" dataCellStyle="Note">
  <autoFilter ref="G49:J52" xr:uid="{2BB849EF-32FC-4EAA-8F29-2DB3D4D52DDB}"/>
  <tableColumns count="4">
    <tableColumn id="1" xr3:uid="{A1409E65-C6C0-4AEA-841B-EBC123153F15}" name="g \ Ke" dataDxfId="138" dataCellStyle="Note"/>
    <tableColumn id="2" xr3:uid="{EFD8D2E4-13E9-4005-8B7B-AB2662E67260}" name="9%" dataDxfId="137" dataCellStyle="Note"/>
    <tableColumn id="3" xr3:uid="{34F39FB3-FD16-4ED7-98A3-E98257A0C41A}" name="10%" dataDxfId="136" dataCellStyle="Note"/>
    <tableColumn id="4" xr3:uid="{E35B697B-8CBE-4C35-9DAF-BB5DA632CE0C}" name="11%" dataDxfId="135" dataCellStyle="Note"/>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802A937-D717-478A-B54A-ED724B35137D}" name="Table33" displayName="Table33" ref="A56:I61" totalsRowShown="0" headerRowDxfId="134" dataDxfId="133" headerRowCellStyle="Note" dataCellStyle="Note">
  <autoFilter ref="A56:I61" xr:uid="{8802A937-D717-478A-B54A-ED724B35137D}"/>
  <tableColumns count="9">
    <tableColumn id="1" xr3:uid="{5C3FF4B5-1B6A-47FF-B140-E14B24B33CC6}" name="Method" dataDxfId="132" dataCellStyle="Note"/>
    <tableColumn id="2" xr3:uid="{F00A4D20-42C5-4174-88C2-26DEAC65B544}" name="Value" dataDxfId="131" dataCellStyle="Note"/>
    <tableColumn id="3" xr3:uid="{83B10226-B4BB-4480-9F26-15C936D0D72B}" name="Item" dataDxfId="130" dataCellStyle="Note"/>
    <tableColumn id="4" xr3:uid="{02587AD9-88F7-4DA7-9DBE-51ABF2FE6263}" name="Price Recommendation" dataDxfId="129" dataCellStyle="Note"/>
    <tableColumn id="5" xr3:uid="{8AA1D85B-5A57-4D72-BD7F-0A2C5621E60C}" name="Method2" dataDxfId="128" dataCellStyle="Note"/>
    <tableColumn id="6" xr3:uid="{7F8D90C3-70EB-459F-9323-D6161BA8E13D}" name="Role" dataDxfId="127" dataCellStyle="Note"/>
    <tableColumn id="7" xr3:uid="{9AD1B598-7598-4A37-9233-E3D1112C9D88}" name="Weight" dataDxfId="126" dataCellStyle="Note"/>
    <tableColumn id="8" xr3:uid="{BE7C3C90-1087-43B3-996B-ACF2C23E5EC7}" name="Investment Thesis" dataDxfId="125" dataCellStyle="Note"/>
    <tableColumn id="9" xr3:uid="{D35FD9A9-F149-41D7-89A2-6860CD0C9F23}" name="Risk Factors" dataDxfId="124" dataCellStyle="Note"/>
  </tableColumns>
  <tableStyleInfo name="TableStyleMedium3"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87B9FF0-8E78-46DC-9958-7DB50E36DAC4}" name="Table36" displayName="Table36" ref="A63:H79" totalsRowShown="0" headerRowDxfId="123" dataDxfId="122" headerRowCellStyle="Note" dataCellStyle="Note">
  <autoFilter ref="A63:H79" xr:uid="{487B9FF0-8E78-46DC-9958-7DB50E36DAC4}"/>
  <tableColumns count="8">
    <tableColumn id="1" xr3:uid="{4B250EBA-B5AC-4384-9596-AC67EEA2A449}" name="Year" dataDxfId="121" dataCellStyle="Note"/>
    <tableColumn id="2" xr3:uid="{CD42F65B-28B9-45F4-A8ED-D474EBC46A32}" name="Revenue Growth" dataDxfId="120" dataCellStyle="Note"/>
    <tableColumn id="3" xr3:uid="{FCB4A988-DC52-47F2-B65F-DF073B216033}" name="EBIT Margin" dataDxfId="119" dataCellStyle="Note"/>
    <tableColumn id="4" xr3:uid="{16EF71E3-04CB-4857-BA32-33C9C513D86B}" name="Tax Rate" dataDxfId="118" dataCellStyle="Note"/>
    <tableColumn id="5" xr3:uid="{5572158D-0B52-49A9-98A3-2F0962051464}" name="Dep % of Revenue" dataDxfId="117" dataCellStyle="Note"/>
    <tableColumn id="6" xr3:uid="{EAAB73B7-04D9-4932-B02D-E804F9F84110}" name="Capex % of Revenue" dataDxfId="116" dataCellStyle="Note"/>
    <tableColumn id="7" xr3:uid="{E5E71151-A6E1-47DB-9BE7-04C150B7AA36}" name="Working Capital % of Revenue" dataDxfId="115" dataCellStyle="Note"/>
    <tableColumn id="8" xr3:uid="{AB5A5BBA-7BB7-4196-A632-3100E8EA3F9D}" name="FCFE Growth (if used)" dataDxfId="114" dataCellStyle="Note"/>
  </tableColumns>
  <tableStyleInfo name="TableStyleMedium3"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A433F72-0E18-425D-AAA3-8E58259AD145}" name="Table37" displayName="Table37" ref="J63:N69" totalsRowShown="0" headerRowDxfId="113" dataDxfId="112" headerRowCellStyle="Note" dataCellStyle="Note">
  <autoFilter ref="J63:N69" xr:uid="{AA433F72-0E18-425D-AAA3-8E58259AD145}"/>
  <tableColumns count="5">
    <tableColumn id="1" xr3:uid="{BB5097EA-EA68-4F93-BBED-C97E895D3D17}" name="Year" dataDxfId="111" dataCellStyle="Note"/>
    <tableColumn id="2" xr3:uid="{CC414655-10D3-44F5-B46A-CF681736B837}" name="EBIT Growth" dataDxfId="110" dataCellStyle="Note"/>
    <tableColumn id="3" xr3:uid="{182D1E57-4B7D-4ED0-A095-378E1171AF0A}" name="Dep Growth" dataDxfId="109" dataCellStyle="Note"/>
    <tableColumn id="4" xr3:uid="{428C5ACA-BDC9-4EF8-8608-23A8B118A615}" name="Capex Growth" dataDxfId="108" dataCellStyle="Note"/>
    <tableColumn id="5" xr3:uid="{029E8EC1-CB65-45F2-9CBD-6D90B37DEFE4}" name="WC Growth" dataDxfId="107" dataCellStyle="Note"/>
  </tableColumns>
  <tableStyleInfo name="TableStyleMedium3"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79FB896-D9EC-4BAA-AC0C-18B02C326159}" name="Table30" displayName="Table30" ref="N16:O22" totalsRowShown="0" headerRowDxfId="106" dataDxfId="105" headerRowCellStyle="Note" dataCellStyle="Note">
  <autoFilter ref="N16:O22" xr:uid="{C79FB896-D9EC-4BAA-AC0C-18B02C326159}"/>
  <tableColumns count="2">
    <tableColumn id="1" xr3:uid="{B4EADA7F-F713-4A65-A3DC-5890D336B6E7}" name="Column1" dataDxfId="104" dataCellStyle="Note"/>
    <tableColumn id="2" xr3:uid="{FFAEA8C5-41D4-4B19-A554-FFDDD8200F05}" name="Column2" dataDxfId="103" dataCellStyle="Note"/>
  </tableColumns>
  <tableStyleInfo name="TableStyleMedium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457D6C-2CBD-44C1-BCCB-4BD47BBD33EE}" name="Table7" displayName="Table7" ref="A103:B107" totalsRowShown="0" headerRowDxfId="102" dataDxfId="100" headerRowBorderDxfId="101" tableBorderDxfId="99" totalsRowBorderDxfId="98">
  <autoFilter ref="A103:B107" xr:uid="{09457D6C-2CBD-44C1-BCCB-4BD47BBD33EE}"/>
  <tableColumns count="2">
    <tableColumn id="1" xr3:uid="{C23FB493-E721-4859-86A0-4C3B056C04BD}" name="Recommendation Box" dataDxfId="97" dataCellStyle="Note"/>
    <tableColumn id="2" xr3:uid="{B18BEA7B-FEFA-4017-B219-C2966FD452F3}" name="Values" dataDxfId="96"/>
  </tableColumns>
  <tableStyleInfo name="TableStyleLight10"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3EF68D-B7D0-48D6-90AC-B2A8FE6B3DFE}" name="Table28" displayName="Table28" ref="A1:O8" totalsRowCount="1" headerRowDxfId="95" dataDxfId="94" totalsRowDxfId="93" headerRowCellStyle="Note" dataCellStyle="Note" totalsRowCellStyle="Note">
  <autoFilter ref="A1:O7" xr:uid="{123EF68D-B7D0-48D6-90AC-B2A8FE6B3DFE}"/>
  <tableColumns count="15">
    <tableColumn id="1" xr3:uid="{361AE8C4-D6BF-496D-ACFC-16088D9F0589}" name="Comparable Company Analysis (Comps)" dataDxfId="92" totalsRowDxfId="91" dataCellStyle="Note"/>
    <tableColumn id="2" xr3:uid="{7BF3DD1A-81DB-47B1-85C5-EAC950E006B8}" name="Last Price" dataDxfId="90" totalsRowDxfId="89" dataCellStyle="Note"/>
    <tableColumn id="3" xr3:uid="{9D6938F8-CA4E-4E75-A2A0-0E5C3B0F1B12}" name="Market Cap ($ mn)" totalsRowFunction="custom" dataDxfId="88" totalsRowDxfId="87" dataCellStyle="Note">
      <totalsRowFormula>SUM(Table28[Market Cap ($ mn)])</totalsRowFormula>
    </tableColumn>
    <tableColumn id="4" xr3:uid="{6B31E7E2-4728-4F8E-8337-EBAEAFA95171}" name="Sales ($ mn)" dataDxfId="86" totalsRowDxfId="85" dataCellStyle="Note"/>
    <tableColumn id="5" xr3:uid="{41844F55-9DD9-4F5F-8165-D137CF09A7CA}" name="Net Profit ($ mn)" totalsRowFunction="sum" dataDxfId="84" totalsRowDxfId="83" dataCellStyle="Note"/>
    <tableColumn id="6" xr3:uid="{BA4C0083-D87F-488D-85FD-C0E24DAD25F9}" name="Total Assets ($ mn)" totalsRowLabel="Industry Averages" dataDxfId="82" totalsRowDxfId="81" dataCellStyle="Note"/>
    <tableColumn id="7" xr3:uid="{594145D0-852F-424D-9C22-8FEC63D0BF5D}" name="P/E" totalsRowFunction="custom" dataDxfId="80" totalsRowDxfId="79" dataCellStyle="Note">
      <totalsRowFormula>AVERAGE(G3:G7)</totalsRowFormula>
    </tableColumn>
    <tableColumn id="8" xr3:uid="{C1BE3610-5F5F-4254-A7DB-074AFAEA24C8}" name="P/S" totalsRowFunction="custom" dataDxfId="78" totalsRowDxfId="77" dataCellStyle="Note">
      <totalsRowFormula>AVERAGE(H3:H7)</totalsRowFormula>
    </tableColumn>
    <tableColumn id="9" xr3:uid="{C96C4CE9-B54C-4B5F-B44D-1A1026B4A34A}" name="EV/Sales" totalsRowFunction="custom" dataDxfId="76" totalsRowDxfId="75" dataCellStyle="Note">
      <totalsRowFormula>AVERAGE(Table28[EV/Sales])</totalsRowFormula>
    </tableColumn>
    <tableColumn id="10" xr3:uid="{FE075D9F-BF16-4C26-8B20-E258089D9A87}" name="EV/EBITDA" totalsRowFunction="custom" dataDxfId="74" totalsRowDxfId="73" dataCellStyle="Note">
      <totalsRowFormula>AVERAGE(J3:J7)</totalsRowFormula>
    </tableColumn>
    <tableColumn id="11" xr3:uid="{4107AA1C-D232-4FB2-A4E0-4F134B97EBCB}" name="Net Profit Margin" totalsRowFunction="custom" dataDxfId="72" totalsRowDxfId="71" dataCellStyle="Note">
      <totalsRowFormula>AVERAGE(K3:K7)</totalsRowFormula>
    </tableColumn>
    <tableColumn id="12" xr3:uid="{EAB630D0-EFB0-4DAD-A844-C8E4036FC798}" name="ROA" totalsRowFunction="custom" dataDxfId="70" totalsRowDxfId="69" dataCellStyle="Note">
      <totalsRowFormula>AVERAGE(L3:L7)</totalsRowFormula>
    </tableColumn>
    <tableColumn id="13" xr3:uid="{EE8C9172-C9D1-4B3D-8685-BBBFD5395F7D}" name="ROE" totalsRowFunction="custom" dataDxfId="68" totalsRowDxfId="67" dataCellStyle="Note">
      <totalsRowFormula>(M3+M4+M5+M6+M7)/5</totalsRowFormula>
    </tableColumn>
    <tableColumn id="14" xr3:uid="{6E781AB3-C569-42C6-A502-0941EF99B6EE}" name="EBITDA" totalsRowFunction="custom" dataDxfId="66" totalsRowDxfId="65" dataCellStyle="Percent">
      <totalsRowFormula>AVERAGE(N3:N7)</totalsRowFormula>
    </tableColumn>
    <tableColumn id="15" xr3:uid="{68978416-5F06-49E5-A909-85F0A60D51A4}" name="EV" totalsRowFunction="custom" dataDxfId="64" totalsRowDxfId="63" dataCellStyle="Note">
      <totalsRowFormula>AVERAGE(O3:O7)</totalsRowFormula>
    </tableColumn>
  </tableColumns>
  <tableStyleInfo name="TableStyleMedium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4506A0B-FA0F-4474-8786-7B1B030EA2EF}" name="Table39" displayName="Table39" ref="A2:N73" headerRowDxfId="62" dataDxfId="61" totalsRowDxfId="60" headerRowCellStyle="Note" dataCellStyle="Note" totalsRowCellStyle="Note">
  <autoFilter ref="A2:N73" xr:uid="{64506A0B-FA0F-4474-8786-7B1B030EA2EF}"/>
  <tableColumns count="14">
    <tableColumn id="1" xr3:uid="{81CCF371-3E32-4338-929B-0C648713243E}" name="Column1" totalsRowLabel="Total" dataDxfId="59" totalsRowDxfId="58" dataCellStyle="Note"/>
    <tableColumn id="2" xr3:uid="{2985F98F-919A-43A2-ACE4-D923251D1742}" name="Column2" dataDxfId="12" totalsRowDxfId="57" dataCellStyle="Note"/>
    <tableColumn id="3" xr3:uid="{6E6518F7-C576-40A1-994E-DE79D55C7D7A}" name="Column3" dataDxfId="11" totalsRowDxfId="56" dataCellStyle="Note"/>
    <tableColumn id="4" xr3:uid="{015358E3-88C6-49E2-A094-B5D81370B7BA}" name="Column4" dataDxfId="10" totalsRowDxfId="55" dataCellStyle="Note"/>
    <tableColumn id="5" xr3:uid="{1F7DCAE9-487B-422C-B73E-82A6D058B3A3}" name="Column5" dataDxfId="9" totalsRowDxfId="54" dataCellStyle="Note"/>
    <tableColumn id="6" xr3:uid="{AD31754B-8F4E-4012-B781-5EF699066C20}" name="Column6" dataDxfId="8" totalsRowDxfId="53" dataCellStyle="Note"/>
    <tableColumn id="7" xr3:uid="{AF991820-376E-471D-A266-9B6669CF0F8D}" name="Column7" dataDxfId="7" totalsRowDxfId="52" dataCellStyle="Note"/>
    <tableColumn id="8" xr3:uid="{BBC31584-8F2C-430E-931F-073CD5CF41B6}" name="Column8" dataDxfId="6" totalsRowDxfId="51" dataCellStyle="Note"/>
    <tableColumn id="9" xr3:uid="{7C9996FB-4DCB-4B2C-9749-1C018C604CD1}" name="Column9" dataDxfId="5" totalsRowDxfId="50" dataCellStyle="Note"/>
    <tableColumn id="10" xr3:uid="{3146963B-C867-48ED-9CD7-F835CB38CE8F}" name="Column10" dataDxfId="4" totalsRowDxfId="49" dataCellStyle="Note"/>
    <tableColumn id="11" xr3:uid="{F822E955-6ADC-4895-981E-3F043B07A199}" name="Column11" dataDxfId="3" totalsRowDxfId="48" dataCellStyle="Note"/>
    <tableColumn id="12" xr3:uid="{EA1A3C8F-9039-4B0B-9016-5D6893F09A11}" name="Column12" dataDxfId="2" totalsRowDxfId="47" dataCellStyle="Note"/>
    <tableColumn id="13" xr3:uid="{12F82C2E-4898-4263-BA2F-FF826BAB03E8}" name="Column13" totalsRowFunction="count" dataDxfId="0" totalsRowDxfId="46" dataCellStyle="Note">
      <calculatedColumnFormula>AVERAGE(I3:L3)</calculatedColumnFormula>
    </tableColumn>
    <tableColumn id="14" xr3:uid="{39AE360C-95A8-46CB-9DED-5AF7A85E635D}" name="Column14" dataDxfId="1" totalsRowDxfId="45" dataCellStyle="Note" totalsRowCellStyle="Note"/>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E3B1FF9-8C65-4199-9F78-603004D460E9}" name="Table41" displayName="Table41" ref="A1:N326" totalsRowShown="0" headerRowDxfId="44" dataDxfId="43" headerRowCellStyle="Note" dataCellStyle="Note">
  <autoFilter ref="A1:N326" xr:uid="{BE3B1FF9-8C65-4199-9F78-603004D460E9}"/>
  <tableColumns count="14">
    <tableColumn id="1" xr3:uid="{BA189D56-8D34-4AB9-9D67-9D6499AC1FF8}" name="Column1" dataDxfId="42" dataCellStyle="Note"/>
    <tableColumn id="2" xr3:uid="{A90C2920-54B5-4B2A-9E9E-947434137ACC}" name="Column2" dataDxfId="41" dataCellStyle="Note"/>
    <tableColumn id="3" xr3:uid="{0D14538A-DEE8-4D98-841E-B32467111B75}" name="Column3" dataDxfId="40" dataCellStyle="Note"/>
    <tableColumn id="4" xr3:uid="{8FE3DF91-F22C-460F-A8AD-20E3E669CFDB}" name="Column4" dataDxfId="39" dataCellStyle="Note"/>
    <tableColumn id="5" xr3:uid="{D6B0ED03-BCB7-4EEB-840B-567F39B751BC}" name="Column5" dataDxfId="38" dataCellStyle="Note"/>
    <tableColumn id="6" xr3:uid="{AED4988E-C5A8-41B3-8443-B6FB256509B1}" name="Column6" dataDxfId="37" dataCellStyle="Note"/>
    <tableColumn id="7" xr3:uid="{514CA0E4-DEFB-4BC2-A06B-FF45D4124CC5}" name="Column7" dataDxfId="36" dataCellStyle="Note"/>
    <tableColumn id="8" xr3:uid="{978ECBE9-3946-463C-B794-332AD9B3AA9E}" name="Column8" dataDxfId="35" dataCellStyle="Note"/>
    <tableColumn id="9" xr3:uid="{8F93027C-B975-4EEC-B15A-E51D44567986}" name="Column9" dataDxfId="34" dataCellStyle="Note"/>
    <tableColumn id="10" xr3:uid="{4DCFBCB6-F9CD-42D2-8C2F-2967ECE61186}" name="Column10" dataDxfId="33" dataCellStyle="Note"/>
    <tableColumn id="11" xr3:uid="{F2700B4C-89E2-40C3-915D-A29027B29DA7}" name="Column11" dataDxfId="32" dataCellStyle="Note"/>
    <tableColumn id="12" xr3:uid="{EF39771C-1EAB-47CE-9992-372E559DA6D3}" name="Column12" dataDxfId="31" dataCellStyle="Note"/>
    <tableColumn id="13" xr3:uid="{C376FE15-A7B1-4F67-BA86-7C4E55CEE6D8}" name="Column13" dataDxfId="30" dataCellStyle="Note"/>
    <tableColumn id="14" xr3:uid="{927E4A2C-E668-43DF-88BE-E196A6B10F92}" name="Column14" dataDxfId="29" dataCellStyle="Note"/>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25BDDAA-5081-4979-9211-F62EDD454475}" name="Table42" displayName="Table42" ref="A1:F27" totalsRowShown="0" headerRowDxfId="28" dataDxfId="27" headerRowCellStyle="Note" dataCellStyle="Note">
  <autoFilter ref="A1:F27" xr:uid="{825BDDAA-5081-4979-9211-F62EDD454475}"/>
  <tableColumns count="6">
    <tableColumn id="1" xr3:uid="{D8434951-6A60-4769-BEB4-5428113DDB37}" name="Column1" dataDxfId="26" dataCellStyle="Note"/>
    <tableColumn id="2" xr3:uid="{34BDCA97-D7BF-48ED-9B26-3BE52296542D}" name="Column2" dataDxfId="25" dataCellStyle="Note"/>
    <tableColumn id="3" xr3:uid="{E2092D04-0055-4125-BCA5-5CB6A106E2D0}" name="Column3" dataDxfId="24" dataCellStyle="Note"/>
    <tableColumn id="4" xr3:uid="{B97325B6-6413-4876-9722-FF5DB77E9F5A}" name="Column4" dataDxfId="23" dataCellStyle="Note"/>
    <tableColumn id="5" xr3:uid="{D3A601FE-E103-482F-9CD9-5245EFAC9F11}" name="Column5" dataDxfId="22" dataCellStyle="Note"/>
    <tableColumn id="6" xr3:uid="{DF967627-0BFF-4110-8175-9DBC0234A567}" name="Column6" dataDxfId="21" dataCellStyle="Note"/>
  </tableColumns>
  <tableStyleInfo name="TableStyleMedium4"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EF92FF-7E34-4062-9BC5-C2E7A75E8865}" name="Table44" displayName="Table44" ref="A1:F49" totalsRowShown="0" headerRowDxfId="20" dataDxfId="19" headerRowCellStyle="Note" dataCellStyle="Note">
  <autoFilter ref="A1:F49" xr:uid="{8CEF92FF-7E34-4062-9BC5-C2E7A75E8865}"/>
  <tableColumns count="6">
    <tableColumn id="1" xr3:uid="{EF607F8C-C079-452A-BF91-4D8944D82792}" name="Column1" dataDxfId="18" dataCellStyle="Note"/>
    <tableColumn id="2" xr3:uid="{670C9DDD-92E8-4A17-A1B7-5EF71456B54F}" name="Column2" dataDxfId="17" dataCellStyle="Note"/>
    <tableColumn id="3" xr3:uid="{AA4D3345-7937-4655-B637-BF7D7381721F}" name="Column3" dataDxfId="16" dataCellStyle="Note"/>
    <tableColumn id="4" xr3:uid="{E1575589-31D2-4F66-B801-83ECAE1376BA}" name="Column4" dataDxfId="15" dataCellStyle="Note"/>
    <tableColumn id="5" xr3:uid="{6DC8BC92-1715-46E1-A61A-642D66D06C22}" name="Column5" dataDxfId="14" dataCellStyle="Note"/>
    <tableColumn id="6" xr3:uid="{57166804-2C0F-4EEC-9588-88CFA3DF30DE}" name="Column6" dataDxfId="13" dataCellStyle="Not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6.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3" Type="http://schemas.openxmlformats.org/officeDocument/2006/relationships/table" Target="../tables/table8.xml"/><Relationship Id="rId7" Type="http://schemas.openxmlformats.org/officeDocument/2006/relationships/table" Target="../tables/table12.xml"/><Relationship Id="rId12" Type="http://schemas.openxmlformats.org/officeDocument/2006/relationships/table" Target="../tables/table17.xml"/><Relationship Id="rId2" Type="http://schemas.openxmlformats.org/officeDocument/2006/relationships/drawing" Target="../drawings/drawing12.xml"/><Relationship Id="rId16" Type="http://schemas.openxmlformats.org/officeDocument/2006/relationships/table" Target="../tables/table21.xml"/><Relationship Id="rId1" Type="http://schemas.openxmlformats.org/officeDocument/2006/relationships/printerSettings" Target="../printerSettings/printerSettings7.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drawing" Target="../drawings/drawing16.xml"/><Relationship Id="rId1" Type="http://schemas.openxmlformats.org/officeDocument/2006/relationships/printerSettings" Target="../printerSettings/printerSettings9.bin"/><Relationship Id="rId5" Type="http://schemas.openxmlformats.org/officeDocument/2006/relationships/table" Target="../tables/table27.xml"/><Relationship Id="rId4"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0.bin"/><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8" Type="http://schemas.openxmlformats.org/officeDocument/2006/relationships/table" Target="../tables/table35.xml"/><Relationship Id="rId13" Type="http://schemas.openxmlformats.org/officeDocument/2006/relationships/table" Target="../tables/table40.xml"/><Relationship Id="rId3" Type="http://schemas.openxmlformats.org/officeDocument/2006/relationships/table" Target="../tables/table30.xml"/><Relationship Id="rId7" Type="http://schemas.openxmlformats.org/officeDocument/2006/relationships/table" Target="../tables/table34.xml"/><Relationship Id="rId12" Type="http://schemas.openxmlformats.org/officeDocument/2006/relationships/table" Target="../tables/table39.xml"/><Relationship Id="rId2" Type="http://schemas.openxmlformats.org/officeDocument/2006/relationships/drawing" Target="../drawings/drawing19.xml"/><Relationship Id="rId1" Type="http://schemas.openxmlformats.org/officeDocument/2006/relationships/printerSettings" Target="../printerSettings/printerSettings12.bin"/><Relationship Id="rId6" Type="http://schemas.openxmlformats.org/officeDocument/2006/relationships/table" Target="../tables/table33.xml"/><Relationship Id="rId11" Type="http://schemas.openxmlformats.org/officeDocument/2006/relationships/table" Target="../tables/table38.xml"/><Relationship Id="rId5" Type="http://schemas.openxmlformats.org/officeDocument/2006/relationships/table" Target="../tables/table32.xml"/><Relationship Id="rId10" Type="http://schemas.openxmlformats.org/officeDocument/2006/relationships/table" Target="../tables/table37.xml"/><Relationship Id="rId4" Type="http://schemas.openxmlformats.org/officeDocument/2006/relationships/table" Target="../tables/table31.xml"/><Relationship Id="rId9" Type="http://schemas.openxmlformats.org/officeDocument/2006/relationships/table" Target="../tables/table36.xml"/><Relationship Id="rId14" Type="http://schemas.openxmlformats.org/officeDocument/2006/relationships/table" Target="../tables/table4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4813-5A44-480F-8603-5A8BA81E8237}">
  <dimension ref="A1:AC111"/>
  <sheetViews>
    <sheetView tabSelected="1" zoomScale="55" zoomScaleNormal="80" workbookViewId="0"/>
  </sheetViews>
  <sheetFormatPr defaultColWidth="9.1640625" defaultRowHeight="12.5"/>
  <cols>
    <col min="1" max="1" width="77.75" style="2" customWidth="1"/>
    <col min="2" max="2" width="68.25" style="2" customWidth="1"/>
    <col min="3" max="3" width="59.4140625" style="2" customWidth="1"/>
    <col min="4" max="4" width="61.4140625" style="2" customWidth="1"/>
    <col min="5" max="5" width="54" style="2" customWidth="1"/>
    <col min="6" max="6" width="22.75" style="2" customWidth="1"/>
    <col min="7" max="7" width="29.25" style="2" customWidth="1"/>
    <col min="8" max="8" width="33.25" style="2" customWidth="1"/>
    <col min="9" max="9" width="31.75" style="2" customWidth="1"/>
    <col min="10" max="10" width="33.83203125" style="2" customWidth="1"/>
    <col min="11" max="11" width="52.75" style="2" customWidth="1"/>
    <col min="12" max="12" width="16.75" style="2" customWidth="1"/>
    <col min="13" max="13" width="16.1640625" style="2" customWidth="1"/>
    <col min="14" max="16" width="9.1640625" style="2"/>
    <col min="17" max="17" width="18.83203125" style="2" customWidth="1"/>
    <col min="18" max="16384" width="9.1640625" style="2"/>
  </cols>
  <sheetData>
    <row r="1" spans="1:29" ht="15.75" customHeight="1">
      <c r="A1" s="413" t="s">
        <v>420</v>
      </c>
      <c r="B1" s="409" t="s">
        <v>421</v>
      </c>
      <c r="C1" s="409" t="s">
        <v>749</v>
      </c>
      <c r="D1" s="409" t="s">
        <v>750</v>
      </c>
      <c r="E1" s="43" t="s">
        <v>1180</v>
      </c>
      <c r="F1" s="409" t="s">
        <v>752</v>
      </c>
      <c r="G1" s="409" t="s">
        <v>753</v>
      </c>
      <c r="H1" s="409" t="s">
        <v>754</v>
      </c>
      <c r="I1" s="409" t="s">
        <v>755</v>
      </c>
      <c r="J1" s="409" t="s">
        <v>756</v>
      </c>
      <c r="K1" s="409" t="s">
        <v>757</v>
      </c>
      <c r="L1" s="409" t="s">
        <v>758</v>
      </c>
      <c r="M1" s="409" t="s">
        <v>759</v>
      </c>
      <c r="N1" s="406"/>
      <c r="O1" s="406"/>
      <c r="P1" s="406"/>
      <c r="Q1" s="407"/>
      <c r="R1" s="407"/>
      <c r="S1" s="407"/>
      <c r="T1" s="407"/>
      <c r="U1" s="407"/>
      <c r="V1" s="407"/>
      <c r="W1" s="407"/>
      <c r="X1" s="407"/>
      <c r="Y1" s="407"/>
      <c r="Z1" s="407"/>
      <c r="AA1" s="407"/>
      <c r="AB1" s="407"/>
      <c r="AC1" s="407"/>
    </row>
    <row r="2" spans="1:29" ht="12.65" customHeight="1">
      <c r="A2" s="44" t="s">
        <v>485</v>
      </c>
      <c r="B2" s="44"/>
      <c r="C2" s="44" t="s">
        <v>985</v>
      </c>
      <c r="D2" s="44"/>
      <c r="E2" s="34" t="s">
        <v>1181</v>
      </c>
      <c r="F2" s="558" t="s">
        <v>2695</v>
      </c>
      <c r="G2" s="406"/>
      <c r="H2" s="406"/>
      <c r="I2" s="406"/>
      <c r="J2" s="406"/>
      <c r="K2" s="406"/>
      <c r="L2" s="406"/>
      <c r="M2" s="406"/>
      <c r="N2" s="406"/>
      <c r="O2" s="406"/>
      <c r="P2" s="406"/>
      <c r="Q2" s="407"/>
      <c r="R2" s="407"/>
      <c r="S2" s="407"/>
      <c r="T2" s="407"/>
      <c r="U2" s="407"/>
      <c r="V2" s="407"/>
      <c r="W2" s="407"/>
      <c r="X2" s="407"/>
      <c r="Y2" s="407"/>
      <c r="Z2" s="407"/>
      <c r="AA2" s="407"/>
      <c r="AB2" s="407"/>
      <c r="AC2" s="407"/>
    </row>
    <row r="3" spans="1:29" ht="13">
      <c r="A3" s="369" t="s">
        <v>1623</v>
      </c>
      <c r="B3" s="49"/>
      <c r="C3" s="44" t="s">
        <v>451</v>
      </c>
      <c r="D3" s="44" t="s">
        <v>117</v>
      </c>
      <c r="E3" s="544">
        <f>Ratios!C16</f>
        <v>0.41899222273054049</v>
      </c>
      <c r="F3" s="547" t="s">
        <v>143</v>
      </c>
      <c r="G3" s="406"/>
      <c r="H3" s="406"/>
      <c r="I3" s="406"/>
      <c r="J3" s="406"/>
      <c r="K3" s="406"/>
      <c r="L3" s="406"/>
      <c r="M3" s="406"/>
      <c r="N3" s="406"/>
      <c r="O3" s="406"/>
      <c r="P3" s="406"/>
      <c r="Q3" s="407"/>
      <c r="R3" s="407"/>
      <c r="S3" s="407"/>
      <c r="T3" s="407"/>
      <c r="U3" s="407"/>
      <c r="V3" s="407"/>
      <c r="W3" s="407"/>
      <c r="X3" s="407"/>
      <c r="Y3" s="407"/>
      <c r="Z3" s="407"/>
      <c r="AA3" s="407"/>
      <c r="AB3" s="407"/>
      <c r="AC3" s="407"/>
    </row>
    <row r="4" spans="1:29" ht="13">
      <c r="A4" s="45" t="s">
        <v>982</v>
      </c>
      <c r="B4" s="279" t="s">
        <v>1294</v>
      </c>
      <c r="C4" s="322" t="s">
        <v>1176</v>
      </c>
      <c r="D4" s="553">
        <f>B36</f>
        <v>450</v>
      </c>
      <c r="E4" s="544">
        <f>Ratios!D28</f>
        <v>0.46001906375767848</v>
      </c>
      <c r="F4" s="556">
        <f>B20</f>
        <v>0.16481027951126981</v>
      </c>
      <c r="G4" s="406"/>
      <c r="H4" s="406"/>
      <c r="I4" s="406"/>
      <c r="J4" s="406"/>
      <c r="K4" s="406"/>
      <c r="L4" s="406"/>
      <c r="M4" s="406"/>
      <c r="N4" s="406"/>
      <c r="O4" s="406"/>
      <c r="P4" s="406"/>
      <c r="Q4" s="407"/>
      <c r="R4" s="407"/>
      <c r="S4" s="407"/>
      <c r="T4" s="407"/>
      <c r="U4" s="407"/>
      <c r="V4" s="407"/>
      <c r="W4" s="407"/>
      <c r="X4" s="407"/>
      <c r="Y4" s="407"/>
      <c r="Z4" s="407"/>
      <c r="AA4" s="407"/>
      <c r="AB4" s="407"/>
      <c r="AC4" s="407"/>
    </row>
    <row r="5" spans="1:29" ht="13">
      <c r="A5" s="322" t="s">
        <v>490</v>
      </c>
      <c r="B5" s="206" t="s">
        <v>116</v>
      </c>
      <c r="C5" s="322" t="s">
        <v>814</v>
      </c>
      <c r="D5" s="554">
        <f>B33</f>
        <v>389.90639339738749</v>
      </c>
      <c r="E5" s="544">
        <f>Ratios!E28</f>
        <v>0.44655304222691911</v>
      </c>
      <c r="F5" s="547" t="s">
        <v>1605</v>
      </c>
      <c r="G5" s="406"/>
      <c r="H5" s="406"/>
      <c r="I5" s="406"/>
      <c r="J5" s="406"/>
      <c r="K5" s="406"/>
      <c r="L5" s="406"/>
      <c r="M5" s="406"/>
      <c r="N5" s="406"/>
      <c r="O5" s="406"/>
      <c r="P5" s="406"/>
      <c r="Q5" s="407"/>
      <c r="R5" s="407"/>
      <c r="S5" s="407"/>
      <c r="T5" s="407"/>
      <c r="U5" s="407"/>
      <c r="V5" s="407"/>
      <c r="W5" s="407"/>
      <c r="X5" s="407"/>
      <c r="Y5" s="407"/>
      <c r="Z5" s="407"/>
      <c r="AA5" s="407"/>
      <c r="AB5" s="407"/>
      <c r="AC5" s="407"/>
    </row>
    <row r="6" spans="1:29" ht="13">
      <c r="A6" s="322" t="s">
        <v>246</v>
      </c>
      <c r="B6" s="206" t="s">
        <v>1819</v>
      </c>
      <c r="C6" s="322" t="s">
        <v>1836</v>
      </c>
      <c r="D6" s="555">
        <f>B38</f>
        <v>-0.13354134800580558</v>
      </c>
      <c r="E6" s="544">
        <f>Ratios!F28</f>
        <v>0.44605147820543467</v>
      </c>
      <c r="F6" s="556">
        <v>0.54500000000000004</v>
      </c>
      <c r="G6" s="406"/>
      <c r="H6" s="406"/>
      <c r="I6" s="406"/>
      <c r="J6" s="406"/>
      <c r="K6" s="406"/>
      <c r="L6" s="406"/>
      <c r="M6" s="406"/>
      <c r="N6" s="406"/>
      <c r="O6" s="406"/>
      <c r="P6" s="406"/>
      <c r="Q6" s="407"/>
      <c r="R6" s="407"/>
      <c r="S6" s="407"/>
      <c r="T6" s="407"/>
      <c r="U6" s="407"/>
      <c r="V6" s="407"/>
      <c r="W6" s="407"/>
      <c r="X6" s="407"/>
      <c r="Y6" s="407"/>
      <c r="Z6" s="407"/>
      <c r="AA6" s="407"/>
      <c r="AB6" s="407"/>
      <c r="AC6" s="407"/>
    </row>
    <row r="7" spans="1:29" ht="13">
      <c r="A7" s="322" t="s">
        <v>487</v>
      </c>
      <c r="B7" s="206" t="s">
        <v>482</v>
      </c>
      <c r="C7" s="406"/>
      <c r="D7" s="406"/>
      <c r="E7" s="544">
        <f>Ratios!G28</f>
        <v>0.45705967976710332</v>
      </c>
      <c r="F7" s="547" t="s">
        <v>198</v>
      </c>
      <c r="G7" s="406"/>
      <c r="H7" s="406"/>
      <c r="I7" s="406"/>
      <c r="J7" s="406"/>
      <c r="K7" s="406"/>
      <c r="L7" s="406"/>
      <c r="M7" s="406"/>
      <c r="N7" s="406"/>
      <c r="O7" s="406"/>
      <c r="P7" s="406"/>
      <c r="Q7" s="407"/>
      <c r="R7" s="407"/>
      <c r="S7" s="407"/>
      <c r="T7" s="407"/>
      <c r="U7" s="407"/>
      <c r="V7" s="407"/>
      <c r="W7" s="407"/>
      <c r="X7" s="407"/>
      <c r="Y7" s="407"/>
      <c r="Z7" s="407"/>
      <c r="AA7" s="407"/>
      <c r="AB7" s="407"/>
      <c r="AC7" s="407"/>
    </row>
    <row r="8" spans="1:29" ht="13">
      <c r="A8" s="322" t="s">
        <v>488</v>
      </c>
      <c r="B8" s="206" t="s">
        <v>1175</v>
      </c>
      <c r="C8" s="44" t="s">
        <v>1297</v>
      </c>
      <c r="D8" s="43" t="s">
        <v>1177</v>
      </c>
      <c r="E8" s="406"/>
      <c r="F8" s="556">
        <f>WACC!B28</f>
        <v>9.4791293758066303E-2</v>
      </c>
      <c r="G8" s="406"/>
      <c r="H8" s="406"/>
      <c r="I8" s="406"/>
      <c r="J8" s="406"/>
      <c r="K8" s="406"/>
      <c r="L8" s="406"/>
      <c r="M8" s="406"/>
      <c r="N8" s="406"/>
      <c r="O8" s="406"/>
      <c r="P8" s="406"/>
      <c r="Q8" s="407"/>
      <c r="R8" s="407"/>
      <c r="S8" s="407"/>
      <c r="T8" s="407"/>
      <c r="U8" s="407"/>
      <c r="V8" s="407"/>
      <c r="W8" s="407"/>
      <c r="X8" s="407"/>
      <c r="Y8" s="407"/>
      <c r="Z8" s="407"/>
      <c r="AA8" s="407"/>
      <c r="AB8" s="407"/>
      <c r="AC8" s="407"/>
    </row>
    <row r="9" spans="1:29" ht="13">
      <c r="A9" s="322" t="s">
        <v>1812</v>
      </c>
      <c r="B9" s="206" t="s">
        <v>1862</v>
      </c>
      <c r="C9" s="322" t="s">
        <v>1298</v>
      </c>
      <c r="D9" s="43" t="s">
        <v>1178</v>
      </c>
      <c r="E9" s="43" t="s">
        <v>1179</v>
      </c>
      <c r="F9" s="547" t="s">
        <v>498</v>
      </c>
      <c r="G9" s="406"/>
      <c r="H9" s="406"/>
      <c r="I9" s="406"/>
      <c r="J9" s="406"/>
      <c r="K9" s="406"/>
      <c r="L9" s="406"/>
      <c r="M9" s="406"/>
      <c r="N9" s="406"/>
      <c r="O9" s="406"/>
      <c r="P9" s="406"/>
      <c r="Q9" s="407"/>
      <c r="R9" s="407"/>
      <c r="S9" s="407"/>
      <c r="T9" s="407"/>
      <c r="U9" s="407"/>
      <c r="V9" s="407"/>
      <c r="W9" s="407"/>
      <c r="X9" s="407"/>
      <c r="Y9" s="407"/>
      <c r="Z9" s="407"/>
      <c r="AA9" s="407"/>
      <c r="AB9" s="407"/>
      <c r="AC9" s="407"/>
    </row>
    <row r="10" spans="1:29" ht="13">
      <c r="A10" s="322" t="s">
        <v>2292</v>
      </c>
      <c r="B10" s="89"/>
      <c r="C10" s="322" t="s">
        <v>1299</v>
      </c>
      <c r="D10" s="550">
        <f>'Profit Loss'!B4</f>
        <v>15301</v>
      </c>
      <c r="E10" s="548">
        <f>'Profit Loss'!B21</f>
        <v>6.4</v>
      </c>
      <c r="F10" s="557">
        <f>B37</f>
        <v>389.90639339738749</v>
      </c>
      <c r="G10" s="406"/>
      <c r="H10" s="406"/>
      <c r="I10" s="406"/>
      <c r="J10" s="406"/>
      <c r="K10" s="406"/>
      <c r="L10" s="406"/>
      <c r="M10" s="406"/>
      <c r="N10" s="406"/>
      <c r="O10" s="406"/>
      <c r="P10" s="406"/>
      <c r="Q10" s="407"/>
      <c r="R10" s="407"/>
      <c r="S10" s="407"/>
      <c r="T10" s="407"/>
      <c r="U10" s="407"/>
      <c r="V10" s="407"/>
      <c r="W10" s="407"/>
      <c r="X10" s="407"/>
      <c r="Y10" s="407"/>
      <c r="Z10" s="407"/>
      <c r="AA10" s="407"/>
      <c r="AB10" s="407"/>
      <c r="AC10" s="407"/>
    </row>
    <row r="11" spans="1:29" ht="13">
      <c r="A11" s="44" t="s">
        <v>489</v>
      </c>
      <c r="B11" s="279"/>
      <c r="C11" s="322" t="s">
        <v>1300</v>
      </c>
      <c r="D11" s="550">
        <f>'Profit Loss'!C4</f>
        <v>18884</v>
      </c>
      <c r="E11" s="548">
        <f>'Profit Loss'!C21</f>
        <v>8.7899999999999991</v>
      </c>
      <c r="F11" s="547" t="s">
        <v>2694</v>
      </c>
      <c r="G11" s="406"/>
      <c r="H11" s="406"/>
      <c r="I11" s="406"/>
      <c r="J11" s="406"/>
      <c r="K11" s="406"/>
      <c r="L11" s="406"/>
      <c r="M11" s="406"/>
      <c r="N11" s="406"/>
      <c r="O11" s="406"/>
      <c r="P11" s="406"/>
      <c r="Q11" s="407"/>
      <c r="R11" s="407"/>
      <c r="S11" s="407"/>
      <c r="T11" s="407"/>
      <c r="U11" s="407"/>
      <c r="V11" s="407"/>
      <c r="W11" s="407"/>
      <c r="X11" s="407"/>
      <c r="Y11" s="407"/>
      <c r="Z11" s="407"/>
      <c r="AA11" s="407"/>
      <c r="AB11" s="407"/>
      <c r="AC11" s="407"/>
    </row>
    <row r="12" spans="1:29" ht="13">
      <c r="A12" s="44" t="s">
        <v>491</v>
      </c>
      <c r="B12" s="279" t="s">
        <v>284</v>
      </c>
      <c r="C12" s="322" t="s">
        <v>1301</v>
      </c>
      <c r="D12" s="550">
        <f>'Profit Loss'!D4</f>
        <v>22237</v>
      </c>
      <c r="E12" s="548">
        <f>'Profit Loss'!D21</f>
        <v>10.26</v>
      </c>
      <c r="F12" s="560">
        <f>B38</f>
        <v>-0.13354134800580558</v>
      </c>
      <c r="G12" s="406"/>
      <c r="H12" s="406"/>
      <c r="I12" s="406"/>
      <c r="J12" s="406"/>
      <c r="K12" s="406"/>
      <c r="L12" s="406"/>
      <c r="M12" s="406"/>
      <c r="N12" s="406"/>
      <c r="O12" s="406"/>
      <c r="P12" s="406"/>
      <c r="Q12" s="407"/>
      <c r="R12" s="407"/>
      <c r="S12" s="407"/>
      <c r="T12" s="407"/>
      <c r="U12" s="407"/>
      <c r="V12" s="407"/>
      <c r="W12" s="407"/>
      <c r="X12" s="407"/>
      <c r="Y12" s="407"/>
      <c r="Z12" s="407"/>
      <c r="AA12" s="407"/>
      <c r="AB12" s="407"/>
      <c r="AC12" s="407"/>
    </row>
    <row r="13" spans="1:29" ht="13">
      <c r="A13" s="322" t="s">
        <v>143</v>
      </c>
      <c r="B13" s="204">
        <f>'Valuation Dashboard'!B12</f>
        <v>0.11494394297551902</v>
      </c>
      <c r="C13" s="322" t="s">
        <v>1834</v>
      </c>
      <c r="D13" s="550">
        <f>'Profit Loss'!E4</f>
        <v>25098</v>
      </c>
      <c r="E13" s="548">
        <f>'Profit Loss'!E21</f>
        <v>11.86</v>
      </c>
      <c r="F13" s="406"/>
      <c r="G13" s="406"/>
      <c r="H13" s="406"/>
      <c r="I13" s="406"/>
      <c r="J13" s="406"/>
      <c r="K13" s="406"/>
      <c r="L13" s="406"/>
      <c r="M13" s="406"/>
      <c r="N13" s="406"/>
      <c r="O13" s="406"/>
      <c r="P13" s="406"/>
      <c r="Q13" s="407"/>
      <c r="R13" s="407"/>
      <c r="S13" s="407"/>
      <c r="T13" s="407"/>
      <c r="U13" s="407"/>
      <c r="V13" s="407"/>
      <c r="W13" s="407"/>
      <c r="X13" s="407"/>
      <c r="Y13" s="407"/>
      <c r="Z13" s="407"/>
      <c r="AA13" s="407"/>
      <c r="AB13" s="407"/>
      <c r="AC13" s="407"/>
    </row>
    <row r="14" spans="1:29" ht="13">
      <c r="A14" s="322" t="s">
        <v>957</v>
      </c>
      <c r="B14" s="204">
        <f>'Profit Loss'!K20/'Profit Loss'!K4</f>
        <v>0.48585982487560309</v>
      </c>
      <c r="C14" s="406"/>
      <c r="D14" s="550">
        <f>'Profit Loss'!F4</f>
        <v>28167</v>
      </c>
      <c r="E14" s="549">
        <f>'Profit Loss'!F21</f>
        <v>13.91</v>
      </c>
      <c r="F14" s="410"/>
      <c r="G14" s="406"/>
      <c r="H14" s="406"/>
      <c r="I14" s="406"/>
      <c r="J14" s="406"/>
      <c r="K14" s="406"/>
      <c r="L14" s="406"/>
      <c r="M14" s="406"/>
      <c r="N14" s="406"/>
      <c r="O14" s="406"/>
      <c r="P14" s="406"/>
      <c r="Q14" s="407"/>
      <c r="R14" s="407"/>
      <c r="S14" s="407"/>
      <c r="T14" s="407"/>
      <c r="U14" s="407"/>
      <c r="V14" s="407"/>
      <c r="W14" s="407"/>
      <c r="X14" s="407"/>
      <c r="Y14" s="407"/>
      <c r="Z14" s="407"/>
      <c r="AA14" s="407"/>
      <c r="AB14" s="407"/>
      <c r="AC14" s="407"/>
    </row>
    <row r="15" spans="1:29" ht="15.5">
      <c r="A15" s="322" t="s">
        <v>330</v>
      </c>
      <c r="B15" s="204">
        <f>'Profit Loss'!K20/Balance_Sheet!K40</f>
        <v>1.2358409936200008</v>
      </c>
      <c r="C15" s="62" t="s">
        <v>863</v>
      </c>
      <c r="D15" s="550">
        <f>'Profit Loss'!G4</f>
        <v>31547.040000000005</v>
      </c>
      <c r="E15" s="549">
        <f>'Profit Loss'!G21</f>
        <v>16.11343042471043</v>
      </c>
      <c r="F15" s="410"/>
      <c r="G15" s="406"/>
      <c r="H15" s="406"/>
      <c r="I15" s="406"/>
      <c r="J15" s="406"/>
      <c r="K15" s="406"/>
      <c r="L15" s="406"/>
      <c r="M15" s="406"/>
      <c r="N15" s="406"/>
      <c r="O15" s="406"/>
      <c r="P15" s="406"/>
      <c r="Q15" s="407"/>
      <c r="R15" s="407"/>
      <c r="S15" s="407"/>
      <c r="T15" s="407"/>
      <c r="U15" s="407"/>
      <c r="V15" s="407"/>
      <c r="W15" s="407"/>
      <c r="X15" s="407"/>
      <c r="Y15" s="407"/>
      <c r="Z15" s="407"/>
      <c r="AA15" s="407"/>
      <c r="AB15" s="407"/>
      <c r="AC15" s="407"/>
    </row>
    <row r="16" spans="1:29" ht="20">
      <c r="A16" s="322" t="s">
        <v>1160</v>
      </c>
      <c r="B16" s="405">
        <f>'DCF Valuation'!G23</f>
        <v>111160.97902511453</v>
      </c>
      <c r="C16" s="523" t="s">
        <v>1992</v>
      </c>
      <c r="D16" s="550">
        <f>'Profit Loss'!H4</f>
        <v>35648.155200000001</v>
      </c>
      <c r="E16" s="549">
        <f>'Profit Loss'!H21</f>
        <v>18.941557114805768</v>
      </c>
      <c r="F16" s="411"/>
      <c r="G16" s="406"/>
      <c r="H16" s="406"/>
      <c r="I16" s="406"/>
      <c r="J16" s="406"/>
      <c r="K16" s="406"/>
      <c r="L16" s="406"/>
      <c r="M16" s="406"/>
      <c r="N16" s="406"/>
      <c r="O16" s="406"/>
      <c r="P16" s="406"/>
      <c r="Q16" s="407"/>
      <c r="R16" s="407"/>
      <c r="S16" s="407"/>
      <c r="T16" s="407"/>
      <c r="U16" s="407"/>
      <c r="V16" s="407"/>
      <c r="W16" s="407"/>
      <c r="X16" s="407"/>
      <c r="Y16" s="407"/>
      <c r="Z16" s="407"/>
      <c r="AA16" s="407"/>
      <c r="AB16" s="407"/>
      <c r="AC16" s="407"/>
    </row>
    <row r="17" spans="1:29" ht="15.5">
      <c r="A17" s="406"/>
      <c r="B17" s="414"/>
      <c r="C17" s="427" t="s">
        <v>2489</v>
      </c>
      <c r="D17" s="550">
        <f>'Profit Loss'!I4</f>
        <v>39925.933824000007</v>
      </c>
      <c r="E17" s="549">
        <f>'Profit Loss'!I21</f>
        <v>21.862616578896503</v>
      </c>
      <c r="F17" s="410"/>
      <c r="G17" s="406"/>
      <c r="H17" s="406"/>
      <c r="I17" s="406"/>
      <c r="J17" s="406"/>
      <c r="K17" s="406"/>
      <c r="L17" s="406"/>
      <c r="M17" s="406"/>
      <c r="N17" s="406"/>
      <c r="O17" s="406"/>
      <c r="P17" s="406"/>
      <c r="Q17" s="407"/>
      <c r="R17" s="407"/>
      <c r="S17" s="407"/>
      <c r="T17" s="407"/>
      <c r="U17" s="407"/>
      <c r="V17" s="407"/>
      <c r="W17" s="407"/>
      <c r="X17" s="407"/>
      <c r="Y17" s="407"/>
      <c r="Z17" s="407"/>
      <c r="AA17" s="407"/>
      <c r="AB17" s="407"/>
      <c r="AC17" s="407"/>
    </row>
    <row r="18" spans="1:29" ht="15.5">
      <c r="A18" s="44" t="s">
        <v>494</v>
      </c>
      <c r="B18" s="279"/>
      <c r="C18" s="427" t="s">
        <v>1993</v>
      </c>
      <c r="D18" s="550">
        <f>'Profit Loss'!J4</f>
        <v>44317.78654464001</v>
      </c>
      <c r="E18" s="549">
        <f>'Profit Loss'!J21</f>
        <v>25.001704480714007</v>
      </c>
      <c r="F18" s="406"/>
      <c r="G18" s="406"/>
      <c r="H18" s="406"/>
      <c r="I18" s="406"/>
      <c r="J18" s="406"/>
      <c r="K18" s="406"/>
      <c r="L18" s="406"/>
      <c r="M18" s="406"/>
      <c r="N18" s="406"/>
      <c r="O18" s="406"/>
      <c r="P18" s="406"/>
      <c r="Q18" s="407"/>
      <c r="R18" s="407"/>
      <c r="S18" s="407"/>
      <c r="T18" s="407"/>
      <c r="U18" s="407"/>
      <c r="V18" s="407"/>
      <c r="W18" s="407"/>
      <c r="X18" s="407"/>
      <c r="Y18" s="407"/>
      <c r="Z18" s="407"/>
      <c r="AA18" s="407"/>
      <c r="AB18" s="407"/>
      <c r="AC18" s="407"/>
    </row>
    <row r="19" spans="1:29" ht="15.5">
      <c r="A19" s="44" t="s">
        <v>760</v>
      </c>
      <c r="B19" s="279" t="s">
        <v>284</v>
      </c>
      <c r="C19" s="448" t="s">
        <v>2496</v>
      </c>
      <c r="D19" s="550">
        <f>'Profit Loss'!K4</f>
        <v>48749.565199104014</v>
      </c>
      <c r="E19" s="549">
        <f>'Profit Loss'!K21</f>
        <v>28.327589779329557</v>
      </c>
      <c r="F19" s="406"/>
      <c r="G19" s="406"/>
      <c r="H19" s="406"/>
      <c r="I19" s="406"/>
      <c r="J19" s="406"/>
      <c r="K19" s="406"/>
      <c r="L19" s="406"/>
      <c r="M19" s="406"/>
      <c r="N19" s="406"/>
      <c r="O19" s="406"/>
      <c r="P19" s="406"/>
      <c r="Q19" s="407"/>
      <c r="R19" s="407"/>
      <c r="S19" s="407"/>
      <c r="T19" s="407"/>
      <c r="U19" s="407"/>
      <c r="V19" s="407"/>
      <c r="W19" s="407"/>
      <c r="X19" s="407"/>
      <c r="Y19" s="407"/>
      <c r="Z19" s="407"/>
      <c r="AA19" s="407"/>
      <c r="AB19" s="407"/>
      <c r="AC19" s="407"/>
    </row>
    <row r="20" spans="1:29" ht="13">
      <c r="A20" s="322" t="s">
        <v>495</v>
      </c>
      <c r="B20" s="204">
        <f>'CAGR Projections'!G4</f>
        <v>0.16481027951126981</v>
      </c>
      <c r="C20" s="546" t="s">
        <v>1994</v>
      </c>
      <c r="D20" s="546"/>
      <c r="E20" s="411"/>
      <c r="F20" s="411"/>
      <c r="G20" s="406"/>
      <c r="H20" s="406"/>
      <c r="I20" s="406"/>
      <c r="J20" s="406"/>
      <c r="K20" s="406"/>
      <c r="L20" s="406"/>
      <c r="M20" s="406"/>
      <c r="N20" s="406"/>
      <c r="O20" s="406"/>
      <c r="P20" s="406"/>
      <c r="Q20" s="407"/>
      <c r="R20" s="407"/>
      <c r="S20" s="407"/>
      <c r="T20" s="407"/>
      <c r="U20" s="407"/>
      <c r="V20" s="407"/>
      <c r="W20" s="407"/>
      <c r="X20" s="407"/>
      <c r="Y20" s="407"/>
      <c r="Z20" s="407"/>
      <c r="AA20" s="407"/>
      <c r="AB20" s="407"/>
      <c r="AC20" s="407"/>
    </row>
    <row r="21" spans="1:29" ht="14">
      <c r="A21" s="322" t="s">
        <v>496</v>
      </c>
      <c r="B21" s="204">
        <f>'CAGR Projections'!G7</f>
        <v>0.21419038379049193</v>
      </c>
      <c r="C21" s="19" t="s">
        <v>1191</v>
      </c>
      <c r="D21" s="43" t="s">
        <v>1183</v>
      </c>
      <c r="E21" s="43" t="s">
        <v>1182</v>
      </c>
      <c r="F21" s="43" t="s">
        <v>2000</v>
      </c>
      <c r="G21" s="406"/>
      <c r="H21" s="406"/>
      <c r="I21" s="406"/>
      <c r="J21" s="406"/>
      <c r="K21" s="406"/>
      <c r="L21" s="406"/>
      <c r="M21" s="406"/>
      <c r="N21" s="406"/>
      <c r="O21" s="406"/>
      <c r="P21" s="406"/>
      <c r="Q21" s="407"/>
      <c r="R21" s="407"/>
      <c r="S21" s="407"/>
      <c r="T21" s="407"/>
      <c r="U21" s="407"/>
      <c r="V21" s="407"/>
      <c r="W21" s="407"/>
      <c r="X21" s="407"/>
      <c r="Y21" s="407"/>
      <c r="Z21" s="407"/>
      <c r="AA21" s="407"/>
      <c r="AB21" s="407"/>
      <c r="AC21" s="407"/>
    </row>
    <row r="22" spans="1:29" ht="14">
      <c r="A22" s="322" t="s">
        <v>503</v>
      </c>
      <c r="B22" s="204">
        <f>AVERAGE(Ratios!C13:G13)</f>
        <v>1.4616260837895618</v>
      </c>
      <c r="C22" s="323" t="s">
        <v>1187</v>
      </c>
      <c r="D22" s="544">
        <f>Ratios!C41</f>
        <v>0.52813541598588332</v>
      </c>
      <c r="E22" s="544">
        <f>Ratios!C13</f>
        <v>0.98813193588162762</v>
      </c>
      <c r="F22" s="36">
        <f>'Profit Loss'!B25</f>
        <v>8661</v>
      </c>
      <c r="G22" s="406"/>
      <c r="H22" s="406"/>
      <c r="I22" s="406"/>
      <c r="J22" s="406"/>
      <c r="K22" s="406"/>
      <c r="L22" s="406"/>
      <c r="M22" s="406"/>
      <c r="N22" s="406"/>
      <c r="O22" s="406"/>
      <c r="P22" s="406"/>
      <c r="Q22" s="407"/>
      <c r="R22" s="407"/>
      <c r="S22" s="407"/>
      <c r="T22" s="407"/>
      <c r="U22" s="407"/>
      <c r="V22" s="407"/>
      <c r="W22" s="407"/>
      <c r="X22" s="407"/>
      <c r="Y22" s="407"/>
      <c r="Z22" s="407"/>
      <c r="AA22" s="407"/>
      <c r="AB22" s="407"/>
      <c r="AC22" s="407"/>
    </row>
    <row r="23" spans="1:29" ht="14">
      <c r="A23" s="322" t="s">
        <v>504</v>
      </c>
      <c r="B23" s="204">
        <f>AVERAGE(Ratios!C41:G41)</f>
        <v>0.54497449207231408</v>
      </c>
      <c r="C23" s="323" t="s">
        <v>1188</v>
      </c>
      <c r="D23" s="544">
        <f>Ratios!D41</f>
        <v>0.53389112476170308</v>
      </c>
      <c r="E23" s="544">
        <f>Ratios!D13</f>
        <v>1.1766219693891371</v>
      </c>
      <c r="F23" s="36">
        <f>'Profit Loss'!C25</f>
        <v>10808</v>
      </c>
      <c r="G23" s="406"/>
      <c r="H23" s="406"/>
      <c r="I23" s="406"/>
      <c r="J23" s="406"/>
      <c r="K23" s="406"/>
      <c r="L23" s="406"/>
      <c r="M23" s="406"/>
      <c r="N23" s="406"/>
      <c r="O23" s="406"/>
      <c r="P23" s="406"/>
      <c r="Q23" s="407"/>
      <c r="R23" s="407"/>
      <c r="S23" s="407"/>
      <c r="T23" s="407"/>
      <c r="U23" s="407"/>
      <c r="V23" s="407"/>
      <c r="W23" s="407"/>
      <c r="X23" s="407"/>
      <c r="Y23" s="407"/>
      <c r="Z23" s="407"/>
      <c r="AA23" s="407"/>
      <c r="AB23" s="407"/>
      <c r="AC23" s="407"/>
    </row>
    <row r="24" spans="1:29" ht="14">
      <c r="A24" s="322" t="s">
        <v>1995</v>
      </c>
      <c r="B24" s="412"/>
      <c r="C24" s="323" t="s">
        <v>1189</v>
      </c>
      <c r="D24" s="544">
        <f>Ratios!E41</f>
        <v>0.55151324369294419</v>
      </c>
      <c r="E24" s="544">
        <f>Ratios!E13</f>
        <v>1.5623033354310887</v>
      </c>
      <c r="F24" s="36">
        <f>'Profit Loss'!D25</f>
        <v>13014</v>
      </c>
      <c r="G24" s="406"/>
      <c r="H24" s="406"/>
      <c r="I24" s="406"/>
      <c r="J24" s="406"/>
      <c r="K24" s="406"/>
      <c r="L24" s="406"/>
      <c r="M24" s="406"/>
      <c r="N24" s="406"/>
      <c r="O24" s="406"/>
      <c r="P24" s="406"/>
      <c r="Q24" s="407"/>
      <c r="R24" s="407"/>
      <c r="S24" s="407"/>
      <c r="T24" s="407"/>
      <c r="U24" s="407"/>
      <c r="V24" s="407"/>
      <c r="W24" s="407"/>
      <c r="X24" s="407"/>
      <c r="Y24" s="407"/>
      <c r="Z24" s="407"/>
      <c r="AA24" s="407"/>
      <c r="AB24" s="407"/>
      <c r="AC24" s="407"/>
    </row>
    <row r="25" spans="1:29" ht="14">
      <c r="A25" s="406"/>
      <c r="B25" s="412"/>
      <c r="C25" s="323" t="s">
        <v>1190</v>
      </c>
      <c r="D25" s="544">
        <f>Ratios!F41</f>
        <v>0.55813212208144081</v>
      </c>
      <c r="E25" s="544">
        <f>Ratios!F13</f>
        <v>1.6050179211469533</v>
      </c>
      <c r="F25" s="36">
        <f>Table1[[#This Row],[2023]]</f>
        <v>14807</v>
      </c>
      <c r="G25" s="406"/>
      <c r="H25" s="406"/>
      <c r="I25" s="406"/>
      <c r="J25" s="406"/>
      <c r="K25" s="406"/>
      <c r="L25" s="406"/>
      <c r="M25" s="406"/>
      <c r="N25" s="406"/>
      <c r="O25" s="406"/>
      <c r="P25" s="406"/>
      <c r="Q25" s="407"/>
      <c r="R25" s="407"/>
      <c r="S25" s="407"/>
      <c r="T25" s="407"/>
      <c r="U25" s="407"/>
      <c r="V25" s="407"/>
      <c r="W25" s="407"/>
      <c r="X25" s="407"/>
      <c r="Y25" s="407"/>
      <c r="Z25" s="407"/>
      <c r="AA25" s="407"/>
      <c r="AB25" s="407"/>
      <c r="AC25" s="407"/>
    </row>
    <row r="26" spans="1:29" ht="13">
      <c r="A26" s="44" t="s">
        <v>1856</v>
      </c>
      <c r="B26" s="279"/>
      <c r="C26" s="322" t="s">
        <v>1555</v>
      </c>
      <c r="D26" s="204">
        <f>Ratios!G41</f>
        <v>0.55320055383959954</v>
      </c>
      <c r="E26" s="544">
        <f>Ratios!G13</f>
        <v>1.9760552570990022</v>
      </c>
      <c r="F26" s="36">
        <f>'Profit Loss'!F25</f>
        <v>16479</v>
      </c>
      <c r="G26" s="406"/>
      <c r="H26" s="406"/>
      <c r="I26" s="406"/>
      <c r="J26" s="406"/>
      <c r="K26" s="406"/>
      <c r="L26" s="406"/>
      <c r="M26" s="406"/>
      <c r="N26" s="406"/>
      <c r="O26" s="406"/>
      <c r="P26" s="406"/>
      <c r="Q26" s="407"/>
      <c r="R26" s="407"/>
      <c r="S26" s="407"/>
      <c r="T26" s="407"/>
      <c r="U26" s="407"/>
      <c r="V26" s="407"/>
      <c r="W26" s="407"/>
      <c r="X26" s="407"/>
      <c r="Y26" s="407"/>
      <c r="Z26" s="407"/>
      <c r="AA26" s="407"/>
      <c r="AB26" s="407"/>
      <c r="AC26" s="407"/>
    </row>
    <row r="27" spans="1:29" ht="13">
      <c r="A27" s="44" t="s">
        <v>442</v>
      </c>
      <c r="B27" s="192" t="s">
        <v>1295</v>
      </c>
      <c r="C27" s="406"/>
      <c r="D27" s="44" t="s">
        <v>1296</v>
      </c>
      <c r="E27" s="44"/>
      <c r="F27" s="545">
        <f>'Profit Loss'!G25</f>
        <v>18297.283200000002</v>
      </c>
      <c r="G27" s="406"/>
      <c r="H27" s="406"/>
      <c r="I27" s="406"/>
      <c r="J27" s="406"/>
      <c r="K27" s="406"/>
      <c r="L27" s="406"/>
      <c r="M27" s="406"/>
      <c r="N27" s="406"/>
      <c r="O27" s="406"/>
      <c r="P27" s="406"/>
      <c r="Q27" s="407"/>
      <c r="R27" s="407"/>
      <c r="S27" s="407"/>
      <c r="T27" s="407"/>
      <c r="U27" s="407"/>
      <c r="V27" s="407"/>
      <c r="W27" s="407"/>
      <c r="X27" s="407"/>
      <c r="Y27" s="407"/>
      <c r="Z27" s="407"/>
      <c r="AA27" s="407"/>
      <c r="AB27" s="407"/>
      <c r="AC27" s="407"/>
    </row>
    <row r="28" spans="1:29" ht="14">
      <c r="A28" s="322" t="s">
        <v>1996</v>
      </c>
      <c r="B28" s="205">
        <f>'DCF Valuation'!B35</f>
        <v>386.11179448578162</v>
      </c>
      <c r="C28" s="19" t="s">
        <v>1554</v>
      </c>
      <c r="D28" s="322" t="s">
        <v>442</v>
      </c>
      <c r="E28" s="43" t="s">
        <v>2004</v>
      </c>
      <c r="F28" s="545">
        <f>'Profit Loss'!H25</f>
        <v>20996.763412799999</v>
      </c>
      <c r="G28" s="406"/>
      <c r="H28" s="406"/>
      <c r="I28" s="406"/>
      <c r="J28" s="406"/>
      <c r="K28" s="406"/>
      <c r="L28" s="406"/>
      <c r="M28" s="406"/>
      <c r="N28" s="406"/>
      <c r="O28" s="406"/>
      <c r="P28" s="406"/>
      <c r="Q28" s="407"/>
      <c r="R28" s="407"/>
      <c r="S28" s="407"/>
      <c r="T28" s="407"/>
      <c r="U28" s="407"/>
      <c r="V28" s="407"/>
      <c r="W28" s="407"/>
      <c r="X28" s="407"/>
      <c r="Y28" s="407"/>
      <c r="Z28" s="407"/>
      <c r="AA28" s="407"/>
      <c r="AB28" s="407"/>
      <c r="AC28" s="407"/>
    </row>
    <row r="29" spans="1:29" ht="13">
      <c r="A29" s="322" t="s">
        <v>1860</v>
      </c>
      <c r="B29" s="205">
        <f>'Investment Recommendation'!D23</f>
        <v>118.33343868546643</v>
      </c>
      <c r="C29" s="322" t="s">
        <v>1550</v>
      </c>
      <c r="D29" s="322" t="s">
        <v>351</v>
      </c>
      <c r="E29" s="545">
        <v>450</v>
      </c>
      <c r="F29" s="545">
        <f>'Profit Loss'!I25</f>
        <v>23676.078757632004</v>
      </c>
      <c r="G29" s="406"/>
      <c r="H29" s="406"/>
      <c r="I29" s="406"/>
      <c r="J29" s="406"/>
      <c r="K29" s="406"/>
      <c r="L29" s="406"/>
      <c r="M29" s="406"/>
      <c r="N29" s="406"/>
      <c r="O29" s="406"/>
      <c r="P29" s="406"/>
      <c r="Q29" s="407"/>
      <c r="R29" s="407"/>
      <c r="S29" s="407"/>
      <c r="T29" s="407"/>
      <c r="U29" s="407"/>
      <c r="V29" s="407"/>
      <c r="W29" s="407"/>
      <c r="X29" s="407"/>
      <c r="Y29" s="407"/>
      <c r="Z29" s="407"/>
      <c r="AA29" s="407"/>
      <c r="AB29" s="407"/>
      <c r="AC29" s="407"/>
    </row>
    <row r="30" spans="1:29" ht="13">
      <c r="A30" s="322" t="s">
        <v>1861</v>
      </c>
      <c r="B30" s="370">
        <f>'Investment Recommendation'!B22</f>
        <v>335.44642561631332</v>
      </c>
      <c r="C30" s="322" t="s">
        <v>1551</v>
      </c>
      <c r="D30" s="322" t="s">
        <v>840</v>
      </c>
      <c r="E30" s="545">
        <f>B28</f>
        <v>386.11179448578162</v>
      </c>
      <c r="F30" s="545">
        <f>'Profit Loss'!J25</f>
        <v>26457.718567150088</v>
      </c>
      <c r="G30" s="406"/>
      <c r="H30" s="406"/>
      <c r="I30" s="406"/>
      <c r="J30" s="406"/>
      <c r="K30" s="406"/>
      <c r="L30" s="406"/>
      <c r="M30" s="406"/>
      <c r="N30" s="406"/>
      <c r="O30" s="406"/>
      <c r="P30" s="406"/>
      <c r="Q30" s="407"/>
      <c r="R30" s="407"/>
      <c r="S30" s="407"/>
      <c r="T30" s="407"/>
      <c r="U30" s="407"/>
      <c r="V30" s="407"/>
      <c r="W30" s="407"/>
      <c r="X30" s="407"/>
      <c r="Y30" s="407"/>
      <c r="Z30" s="407"/>
      <c r="AA30" s="407"/>
      <c r="AB30" s="407"/>
      <c r="AC30" s="407"/>
    </row>
    <row r="31" spans="1:29" ht="13">
      <c r="A31" s="322" t="s">
        <v>443</v>
      </c>
      <c r="B31" s="205" t="s">
        <v>1833</v>
      </c>
      <c r="C31" s="322" t="s">
        <v>1552</v>
      </c>
      <c r="D31" s="322" t="s">
        <v>205</v>
      </c>
      <c r="E31" s="545">
        <f>B29</f>
        <v>118.33343868546643</v>
      </c>
      <c r="F31" s="545">
        <f>'Profit Loss'!K25</f>
        <v>29298.488684661512</v>
      </c>
      <c r="G31" s="406"/>
      <c r="H31" s="406"/>
      <c r="I31" s="406"/>
      <c r="J31" s="406"/>
      <c r="K31" s="406"/>
      <c r="L31" s="406"/>
      <c r="M31" s="406"/>
      <c r="N31" s="406"/>
      <c r="O31" s="406"/>
      <c r="P31" s="406"/>
      <c r="Q31" s="407"/>
      <c r="R31" s="407"/>
      <c r="S31" s="407"/>
      <c r="T31" s="407"/>
      <c r="U31" s="407"/>
      <c r="V31" s="407"/>
      <c r="W31" s="407"/>
      <c r="X31" s="407"/>
      <c r="Y31" s="407"/>
      <c r="Z31" s="407"/>
      <c r="AA31" s="407"/>
      <c r="AB31" s="407"/>
      <c r="AC31" s="407"/>
    </row>
    <row r="32" spans="1:29" ht="13">
      <c r="A32" s="322" t="s">
        <v>261</v>
      </c>
      <c r="B32" s="205">
        <f>'Investment Recommendation'!D21</f>
        <v>170.93902702702704</v>
      </c>
      <c r="C32" s="322" t="s">
        <v>1553</v>
      </c>
      <c r="D32" s="322" t="s">
        <v>443</v>
      </c>
      <c r="E32" s="551" t="str">
        <f>B31</f>
        <v>DDM not applicable due to low dividend yield focus</v>
      </c>
      <c r="F32" s="406"/>
      <c r="G32" s="406"/>
      <c r="H32" s="406"/>
      <c r="I32" s="406"/>
      <c r="J32" s="406"/>
      <c r="K32" s="406"/>
      <c r="L32" s="406"/>
      <c r="M32" s="406"/>
      <c r="N32" s="406"/>
      <c r="O32" s="406"/>
      <c r="P32" s="406"/>
      <c r="Q32" s="407"/>
      <c r="R32" s="407"/>
      <c r="S32" s="407"/>
      <c r="T32" s="407"/>
      <c r="U32" s="407"/>
      <c r="V32" s="407"/>
      <c r="W32" s="407"/>
      <c r="X32" s="407"/>
      <c r="Y32" s="407"/>
      <c r="Z32" s="407"/>
      <c r="AA32" s="407"/>
      <c r="AB32" s="407"/>
      <c r="AC32" s="407"/>
    </row>
    <row r="33" spans="1:29" ht="13">
      <c r="A33" s="322" t="s">
        <v>1846</v>
      </c>
      <c r="B33" s="405">
        <f>'Investment Recommendation'!B25</f>
        <v>389.90639339738749</v>
      </c>
      <c r="C33" s="69"/>
      <c r="D33" s="322" t="s">
        <v>261</v>
      </c>
      <c r="E33" s="545">
        <f>B32</f>
        <v>170.93902702702704</v>
      </c>
      <c r="F33" s="406"/>
      <c r="G33" s="406"/>
      <c r="H33" s="406"/>
      <c r="I33" s="406"/>
      <c r="J33" s="406"/>
      <c r="K33" s="406"/>
      <c r="L33" s="406"/>
      <c r="M33" s="406"/>
      <c r="N33" s="406"/>
      <c r="O33" s="406"/>
      <c r="P33" s="406"/>
      <c r="Q33" s="407"/>
      <c r="R33" s="407"/>
      <c r="S33" s="407"/>
      <c r="T33" s="407"/>
      <c r="U33" s="407"/>
      <c r="V33" s="407"/>
      <c r="W33" s="407"/>
      <c r="X33" s="407"/>
      <c r="Y33" s="407"/>
      <c r="Z33" s="407"/>
      <c r="AA33" s="407"/>
      <c r="AB33" s="407"/>
      <c r="AC33" s="407"/>
    </row>
    <row r="34" spans="1:29" ht="13">
      <c r="A34" s="406"/>
      <c r="B34" s="412"/>
      <c r="C34" s="406"/>
      <c r="D34" s="322" t="s">
        <v>1223</v>
      </c>
      <c r="E34" s="545">
        <f>B33</f>
        <v>389.90639339738749</v>
      </c>
      <c r="F34" s="406"/>
      <c r="G34" s="406"/>
      <c r="H34" s="406"/>
      <c r="I34" s="406"/>
      <c r="J34" s="406"/>
      <c r="K34" s="406"/>
      <c r="L34" s="406"/>
      <c r="M34" s="406"/>
      <c r="N34" s="406"/>
      <c r="O34" s="406"/>
      <c r="P34" s="406"/>
      <c r="Q34" s="407"/>
      <c r="R34" s="407"/>
      <c r="S34" s="407"/>
      <c r="T34" s="407"/>
      <c r="U34" s="407"/>
      <c r="V34" s="407"/>
      <c r="W34" s="407"/>
      <c r="X34" s="407"/>
      <c r="Y34" s="407"/>
      <c r="Z34" s="407"/>
      <c r="AA34" s="407"/>
      <c r="AB34" s="407"/>
      <c r="AC34" s="407"/>
    </row>
    <row r="35" spans="1:29" ht="13">
      <c r="A35" s="44" t="s">
        <v>1558</v>
      </c>
      <c r="B35" s="279" t="s">
        <v>284</v>
      </c>
      <c r="C35" s="44" t="s">
        <v>1184</v>
      </c>
      <c r="D35" s="406"/>
      <c r="E35" s="561"/>
      <c r="F35" s="406"/>
      <c r="G35" s="406"/>
      <c r="H35" s="406"/>
      <c r="I35" s="406"/>
      <c r="J35" s="406"/>
      <c r="K35" s="406"/>
      <c r="L35" s="406"/>
      <c r="M35" s="406"/>
      <c r="N35" s="406"/>
      <c r="O35" s="406"/>
      <c r="P35" s="406"/>
      <c r="Q35" s="407"/>
      <c r="R35" s="407"/>
      <c r="S35" s="407"/>
      <c r="T35" s="407"/>
      <c r="U35" s="407"/>
      <c r="V35" s="407"/>
      <c r="W35" s="407"/>
      <c r="X35" s="407"/>
      <c r="Y35" s="407"/>
      <c r="Z35" s="407"/>
      <c r="AA35" s="407"/>
      <c r="AB35" s="407"/>
      <c r="AC35" s="407"/>
    </row>
    <row r="36" spans="1:29" ht="13">
      <c r="A36" s="322" t="s">
        <v>500</v>
      </c>
      <c r="B36" s="473">
        <f>'DCF Valuation'!B36</f>
        <v>450</v>
      </c>
      <c r="C36" s="43" t="s">
        <v>1185</v>
      </c>
      <c r="D36" s="34" t="s">
        <v>117</v>
      </c>
      <c r="E36" s="44"/>
      <c r="F36" s="406"/>
      <c r="G36" s="406"/>
      <c r="H36" s="406"/>
      <c r="I36" s="406"/>
      <c r="J36" s="406"/>
      <c r="K36" s="406"/>
      <c r="L36" s="406"/>
      <c r="M36" s="406"/>
      <c r="N36" s="406"/>
      <c r="O36" s="406"/>
      <c r="P36" s="406"/>
      <c r="Q36" s="407"/>
      <c r="R36" s="407"/>
      <c r="S36" s="407"/>
      <c r="T36" s="407"/>
      <c r="U36" s="407"/>
      <c r="V36" s="407"/>
      <c r="W36" s="407"/>
      <c r="X36" s="407"/>
      <c r="Y36" s="407"/>
      <c r="Z36" s="407"/>
      <c r="AA36" s="407"/>
      <c r="AB36" s="407"/>
      <c r="AC36" s="407"/>
    </row>
    <row r="37" spans="1:29" ht="13">
      <c r="A37" s="322" t="s">
        <v>864</v>
      </c>
      <c r="B37" s="474">
        <f>B33</f>
        <v>389.90639339738749</v>
      </c>
      <c r="C37" s="404">
        <v>2025</v>
      </c>
      <c r="D37" s="545">
        <f>'DCF Valuation'!B23</f>
        <v>18784.948275775998</v>
      </c>
      <c r="E37" s="69"/>
      <c r="F37" s="406"/>
      <c r="G37" s="406"/>
      <c r="H37" s="406"/>
      <c r="I37" s="406"/>
      <c r="J37" s="406"/>
      <c r="K37" s="406"/>
      <c r="L37" s="406"/>
      <c r="M37" s="406"/>
      <c r="N37" s="406"/>
      <c r="O37" s="406"/>
      <c r="P37" s="406"/>
      <c r="Q37" s="407"/>
      <c r="R37" s="407"/>
      <c r="S37" s="407"/>
      <c r="T37" s="407"/>
      <c r="U37" s="407"/>
      <c r="V37" s="407"/>
      <c r="W37" s="407"/>
      <c r="X37" s="407"/>
      <c r="Y37" s="407"/>
      <c r="Z37" s="407"/>
      <c r="AA37" s="407"/>
      <c r="AB37" s="407"/>
      <c r="AC37" s="407"/>
    </row>
    <row r="38" spans="1:29" ht="13">
      <c r="A38" s="322" t="s">
        <v>501</v>
      </c>
      <c r="B38" s="475">
        <f>(B37-B36)/B36</f>
        <v>-0.13354134800580558</v>
      </c>
      <c r="C38" s="404">
        <v>2026</v>
      </c>
      <c r="D38" s="545">
        <f>'DCF Valuation'!C23</f>
        <v>19435.741645375994</v>
      </c>
      <c r="E38" s="69"/>
      <c r="F38" s="406"/>
      <c r="G38" s="406"/>
      <c r="H38" s="406"/>
      <c r="I38" s="406"/>
      <c r="J38" s="406"/>
      <c r="K38" s="406"/>
      <c r="L38" s="406"/>
      <c r="M38" s="406"/>
      <c r="N38" s="406"/>
      <c r="O38" s="406"/>
      <c r="P38" s="406"/>
      <c r="Q38" s="407"/>
      <c r="R38" s="407"/>
      <c r="S38" s="407"/>
      <c r="T38" s="407"/>
      <c r="U38" s="407"/>
      <c r="V38" s="407"/>
      <c r="W38" s="407"/>
      <c r="X38" s="407"/>
      <c r="Y38" s="407"/>
      <c r="Z38" s="407"/>
      <c r="AA38" s="407"/>
      <c r="AB38" s="407"/>
      <c r="AC38" s="407"/>
    </row>
    <row r="39" spans="1:29" ht="20">
      <c r="A39" s="521" t="s">
        <v>502</v>
      </c>
      <c r="B39" s="522" t="str">
        <f>'Investment Recommendation'!B45</f>
        <v>SELL</v>
      </c>
      <c r="C39" s="404">
        <v>2027</v>
      </c>
      <c r="D39" s="545">
        <f>'DCF Valuation'!D23</f>
        <v>21798.440108364801</v>
      </c>
      <c r="E39" s="69"/>
      <c r="F39" s="406"/>
      <c r="G39" s="406"/>
      <c r="H39" s="406"/>
      <c r="I39" s="406"/>
      <c r="J39" s="406"/>
      <c r="K39" s="406"/>
      <c r="L39" s="406"/>
      <c r="M39" s="406"/>
      <c r="N39" s="406"/>
      <c r="O39" s="406"/>
      <c r="P39" s="406"/>
      <c r="Q39" s="407"/>
      <c r="R39" s="407"/>
      <c r="S39" s="407"/>
      <c r="T39" s="407"/>
      <c r="U39" s="407"/>
      <c r="V39" s="407"/>
      <c r="W39" s="407"/>
      <c r="X39" s="407"/>
      <c r="Y39" s="407"/>
      <c r="Z39" s="407"/>
      <c r="AA39" s="407"/>
      <c r="AB39" s="407"/>
      <c r="AC39" s="407"/>
    </row>
    <row r="40" spans="1:29" ht="13">
      <c r="A40" s="322" t="s">
        <v>1837</v>
      </c>
      <c r="B40" s="322"/>
      <c r="C40" s="89">
        <v>2028</v>
      </c>
      <c r="D40" s="545">
        <f>'DCF Valuation'!E23</f>
        <v>24283.100438018817</v>
      </c>
      <c r="E40" s="69"/>
      <c r="F40" s="406"/>
      <c r="G40" s="406"/>
      <c r="H40" s="406"/>
      <c r="I40" s="406"/>
      <c r="J40" s="406"/>
      <c r="K40" s="406"/>
      <c r="L40" s="406"/>
      <c r="M40" s="406"/>
      <c r="N40" s="406"/>
      <c r="O40" s="406"/>
      <c r="P40" s="406"/>
      <c r="Q40" s="407"/>
      <c r="R40" s="407"/>
      <c r="S40" s="407"/>
      <c r="T40" s="407"/>
      <c r="U40" s="407"/>
      <c r="V40" s="407"/>
      <c r="W40" s="407"/>
      <c r="X40" s="407"/>
      <c r="Y40" s="407"/>
      <c r="Z40" s="407"/>
      <c r="AA40" s="407"/>
      <c r="AB40" s="407"/>
      <c r="AC40" s="407"/>
    </row>
    <row r="41" spans="1:29" ht="13">
      <c r="A41" s="43" t="s">
        <v>1320</v>
      </c>
      <c r="B41" s="45"/>
      <c r="C41" s="89">
        <v>2029</v>
      </c>
      <c r="D41" s="545">
        <f>'DCF Valuation'!F23</f>
        <v>26858.748557578921</v>
      </c>
      <c r="E41" s="69"/>
      <c r="F41" s="406"/>
      <c r="G41" s="406"/>
      <c r="H41" s="406"/>
      <c r="I41" s="406"/>
      <c r="J41" s="406"/>
      <c r="K41" s="406"/>
      <c r="L41" s="406"/>
      <c r="M41" s="406"/>
      <c r="N41" s="406"/>
      <c r="O41" s="406"/>
      <c r="P41" s="406"/>
      <c r="Q41" s="407"/>
      <c r="R41" s="407"/>
      <c r="S41" s="407"/>
      <c r="T41" s="407"/>
      <c r="U41" s="407"/>
      <c r="V41" s="407"/>
      <c r="W41" s="407"/>
      <c r="X41" s="407"/>
      <c r="Y41" s="407"/>
      <c r="Z41" s="407"/>
      <c r="AA41" s="407"/>
      <c r="AB41" s="407"/>
      <c r="AC41" s="407"/>
    </row>
    <row r="42" spans="1:29" ht="14">
      <c r="A42" s="455" t="s">
        <v>1423</v>
      </c>
      <c r="B42" s="44" t="s">
        <v>2699</v>
      </c>
      <c r="C42" s="406"/>
      <c r="D42" s="406"/>
      <c r="E42" s="406"/>
      <c r="F42" s="406"/>
      <c r="G42" s="406"/>
      <c r="H42" s="406"/>
      <c r="I42" s="406"/>
      <c r="J42" s="406"/>
      <c r="K42" s="406"/>
      <c r="L42" s="406"/>
      <c r="M42" s="406"/>
      <c r="N42" s="406"/>
      <c r="O42" s="406"/>
      <c r="P42" s="406"/>
      <c r="Q42" s="407"/>
      <c r="R42" s="407"/>
      <c r="S42" s="407"/>
      <c r="T42" s="407"/>
      <c r="U42" s="407"/>
      <c r="V42" s="407"/>
      <c r="W42" s="407"/>
      <c r="X42" s="407"/>
      <c r="Y42" s="407"/>
      <c r="Z42" s="407"/>
      <c r="AA42" s="407"/>
      <c r="AB42" s="407"/>
      <c r="AC42" s="407"/>
    </row>
    <row r="43" spans="1:29" ht="14">
      <c r="A43" s="455" t="s">
        <v>1424</v>
      </c>
      <c r="B43" s="44" t="s">
        <v>2699</v>
      </c>
      <c r="C43" s="44" t="s">
        <v>1557</v>
      </c>
      <c r="D43" s="69"/>
      <c r="E43" s="69"/>
      <c r="F43" s="69"/>
      <c r="G43" s="406"/>
      <c r="H43" s="406"/>
      <c r="I43" s="406"/>
      <c r="J43" s="406"/>
      <c r="K43" s="406"/>
      <c r="L43" s="406"/>
      <c r="M43" s="406"/>
      <c r="N43" s="406"/>
      <c r="O43" s="406"/>
      <c r="P43" s="406"/>
      <c r="Q43" s="407"/>
      <c r="R43" s="407"/>
      <c r="S43" s="407"/>
      <c r="T43" s="407"/>
      <c r="U43" s="407"/>
      <c r="V43" s="407"/>
      <c r="W43" s="407"/>
      <c r="X43" s="407"/>
      <c r="Y43" s="407"/>
      <c r="Z43" s="407"/>
      <c r="AA43" s="407"/>
      <c r="AB43" s="407"/>
      <c r="AC43" s="407"/>
    </row>
    <row r="44" spans="1:29" ht="14">
      <c r="A44" s="455" t="s">
        <v>1229</v>
      </c>
      <c r="B44" s="44" t="s">
        <v>2699</v>
      </c>
      <c r="C44" s="308" t="s">
        <v>442</v>
      </c>
      <c r="D44" s="308" t="s">
        <v>999</v>
      </c>
      <c r="E44" s="308" t="s">
        <v>952</v>
      </c>
      <c r="F44" s="308" t="s">
        <v>1000</v>
      </c>
      <c r="G44" s="406"/>
      <c r="H44" s="406"/>
      <c r="I44" s="406"/>
      <c r="J44" s="406"/>
      <c r="K44" s="406"/>
      <c r="L44" s="406"/>
      <c r="M44" s="406"/>
      <c r="N44" s="406"/>
      <c r="O44" s="406"/>
      <c r="P44" s="406"/>
      <c r="Q44" s="407"/>
      <c r="R44" s="407"/>
      <c r="S44" s="407"/>
      <c r="T44" s="407"/>
      <c r="U44" s="407"/>
      <c r="V44" s="407"/>
      <c r="W44" s="407"/>
      <c r="X44" s="407"/>
      <c r="Y44" s="407"/>
      <c r="Z44" s="407"/>
      <c r="AA44" s="407"/>
      <c r="AB44" s="407"/>
      <c r="AC44" s="407"/>
    </row>
    <row r="45" spans="1:29" ht="14">
      <c r="A45" s="455" t="s">
        <v>1230</v>
      </c>
      <c r="B45" s="44" t="s">
        <v>2699</v>
      </c>
      <c r="C45" s="324" t="s">
        <v>840</v>
      </c>
      <c r="D45" s="324">
        <v>120</v>
      </c>
      <c r="E45" s="324">
        <v>136.18</v>
      </c>
      <c r="F45" s="324">
        <v>160</v>
      </c>
      <c r="G45" s="406"/>
      <c r="H45" s="406"/>
      <c r="I45" s="406"/>
      <c r="J45" s="406"/>
      <c r="K45" s="406"/>
      <c r="L45" s="406"/>
      <c r="M45" s="406"/>
      <c r="N45" s="406"/>
      <c r="O45" s="406"/>
      <c r="P45" s="406"/>
      <c r="Q45" s="407"/>
      <c r="R45" s="407"/>
      <c r="S45" s="407"/>
      <c r="T45" s="407"/>
      <c r="U45" s="407"/>
      <c r="V45" s="407"/>
      <c r="W45" s="407"/>
      <c r="X45" s="407"/>
      <c r="Y45" s="407"/>
      <c r="Z45" s="407"/>
      <c r="AA45" s="407"/>
      <c r="AB45" s="407"/>
      <c r="AC45" s="407"/>
    </row>
    <row r="46" spans="1:29" ht="14">
      <c r="A46" s="455" t="s">
        <v>1162</v>
      </c>
      <c r="B46" s="44" t="s">
        <v>2699</v>
      </c>
      <c r="C46" s="324" t="s">
        <v>205</v>
      </c>
      <c r="D46" s="324">
        <v>140</v>
      </c>
      <c r="E46" s="324">
        <v>156</v>
      </c>
      <c r="F46" s="324">
        <v>180</v>
      </c>
      <c r="G46" s="406"/>
      <c r="H46" s="406"/>
      <c r="I46" s="406"/>
      <c r="J46" s="406"/>
      <c r="K46" s="406"/>
      <c r="L46" s="406"/>
      <c r="M46" s="406"/>
      <c r="N46" s="406"/>
      <c r="O46" s="406"/>
      <c r="P46" s="406"/>
      <c r="Q46" s="407"/>
      <c r="R46" s="407"/>
      <c r="S46" s="407"/>
      <c r="T46" s="407"/>
      <c r="U46" s="407"/>
      <c r="V46" s="407"/>
      <c r="W46" s="407"/>
      <c r="X46" s="407"/>
      <c r="Y46" s="407"/>
      <c r="Z46" s="407"/>
      <c r="AA46" s="407"/>
      <c r="AB46" s="407"/>
      <c r="AC46" s="407"/>
    </row>
    <row r="47" spans="1:29" ht="15.65" customHeight="1">
      <c r="A47" s="455" t="s">
        <v>1163</v>
      </c>
      <c r="B47" s="44" t="s">
        <v>2699</v>
      </c>
      <c r="C47" s="324" t="s">
        <v>443</v>
      </c>
      <c r="D47" s="324">
        <v>60</v>
      </c>
      <c r="E47" s="324">
        <v>64.5</v>
      </c>
      <c r="F47" s="324">
        <v>70</v>
      </c>
      <c r="G47" s="406"/>
      <c r="H47" s="406"/>
      <c r="I47" s="406"/>
      <c r="J47" s="406"/>
      <c r="K47" s="406"/>
      <c r="L47" s="406"/>
      <c r="M47" s="406"/>
      <c r="N47" s="406"/>
      <c r="O47" s="406"/>
      <c r="P47" s="406"/>
      <c r="Q47" s="407"/>
      <c r="R47" s="407"/>
      <c r="S47" s="407"/>
      <c r="T47" s="407"/>
      <c r="U47" s="407"/>
      <c r="V47" s="407"/>
      <c r="W47" s="407"/>
      <c r="X47" s="407"/>
      <c r="Y47" s="407"/>
      <c r="Z47" s="407"/>
      <c r="AA47" s="407"/>
      <c r="AB47" s="407"/>
      <c r="AC47" s="407"/>
    </row>
    <row r="48" spans="1:29" ht="14">
      <c r="A48" s="455" t="s">
        <v>1164</v>
      </c>
      <c r="B48" s="44" t="s">
        <v>2699</v>
      </c>
      <c r="C48" s="324" t="s">
        <v>1556</v>
      </c>
      <c r="D48" s="324">
        <v>55</v>
      </c>
      <c r="E48" s="324">
        <v>64</v>
      </c>
      <c r="F48" s="324">
        <v>75</v>
      </c>
      <c r="G48" s="406"/>
      <c r="H48" s="406"/>
      <c r="I48" s="406"/>
      <c r="J48" s="406"/>
      <c r="K48" s="406"/>
      <c r="L48" s="406"/>
      <c r="M48" s="406"/>
      <c r="N48" s="406"/>
      <c r="O48" s="406"/>
      <c r="P48" s="406"/>
      <c r="Q48" s="407"/>
      <c r="R48" s="407"/>
      <c r="S48" s="407"/>
      <c r="T48" s="407"/>
      <c r="U48" s="407"/>
      <c r="V48" s="407"/>
      <c r="W48" s="407"/>
      <c r="X48" s="407"/>
      <c r="Y48" s="407"/>
      <c r="Z48" s="407"/>
      <c r="AA48" s="407"/>
      <c r="AB48" s="407"/>
      <c r="AC48" s="407"/>
    </row>
    <row r="49" spans="1:29" ht="15" customHeight="1">
      <c r="A49" s="455" t="s">
        <v>1165</v>
      </c>
      <c r="B49" s="44" t="s">
        <v>2699</v>
      </c>
      <c r="C49" s="406"/>
      <c r="D49" s="559" t="s">
        <v>2696</v>
      </c>
      <c r="E49" s="406"/>
      <c r="F49" s="406"/>
      <c r="G49" s="406"/>
      <c r="H49" s="406"/>
      <c r="I49" s="406"/>
      <c r="J49" s="406"/>
      <c r="K49" s="406"/>
      <c r="L49" s="406"/>
      <c r="M49" s="406"/>
      <c r="N49" s="406"/>
      <c r="O49" s="406"/>
      <c r="P49" s="406"/>
      <c r="Q49" s="407"/>
      <c r="R49" s="407"/>
      <c r="S49" s="407"/>
      <c r="T49" s="407"/>
      <c r="U49" s="407"/>
      <c r="V49" s="407"/>
      <c r="W49" s="407"/>
      <c r="X49" s="407"/>
      <c r="Y49" s="407"/>
      <c r="Z49" s="407"/>
      <c r="AA49" s="407"/>
      <c r="AB49" s="407"/>
      <c r="AC49" s="407"/>
    </row>
    <row r="50" spans="1:29" ht="15" customHeight="1">
      <c r="A50" s="455" t="s">
        <v>1166</v>
      </c>
      <c r="B50" s="44" t="s">
        <v>2699</v>
      </c>
      <c r="C50" s="44" t="s">
        <v>1305</v>
      </c>
      <c r="D50" s="44"/>
      <c r="E50" s="44"/>
      <c r="F50" s="44"/>
      <c r="G50" s="44"/>
      <c r="H50" s="406"/>
      <c r="I50" s="406"/>
      <c r="J50" s="406"/>
      <c r="K50" s="406"/>
      <c r="L50" s="406"/>
      <c r="M50" s="406"/>
      <c r="N50" s="406"/>
      <c r="O50" s="406"/>
      <c r="P50" s="406"/>
      <c r="Q50" s="407"/>
      <c r="R50" s="407"/>
      <c r="S50" s="407"/>
      <c r="T50" s="407"/>
      <c r="U50" s="407"/>
      <c r="V50" s="407"/>
      <c r="W50" s="407"/>
      <c r="X50" s="407"/>
      <c r="Y50" s="407"/>
      <c r="Z50" s="407"/>
      <c r="AA50" s="407"/>
      <c r="AB50" s="407"/>
      <c r="AC50" s="407"/>
    </row>
    <row r="51" spans="1:29" ht="15.75" customHeight="1">
      <c r="A51" s="455" t="s">
        <v>1167</v>
      </c>
      <c r="B51" s="44" t="s">
        <v>2699</v>
      </c>
      <c r="C51" s="44" t="s">
        <v>442</v>
      </c>
      <c r="D51" s="44" t="s">
        <v>1302</v>
      </c>
      <c r="E51" s="44" t="s">
        <v>1004</v>
      </c>
      <c r="F51" s="44" t="s">
        <v>1304</v>
      </c>
      <c r="G51" s="44" t="s">
        <v>1303</v>
      </c>
      <c r="H51" s="406"/>
      <c r="I51" s="406"/>
      <c r="J51" s="406"/>
      <c r="K51" s="406"/>
      <c r="L51" s="406"/>
      <c r="M51" s="406"/>
      <c r="N51" s="406"/>
      <c r="O51" s="406"/>
      <c r="P51" s="406"/>
      <c r="Q51" s="407"/>
      <c r="R51" s="407"/>
      <c r="S51" s="407"/>
      <c r="T51" s="407"/>
      <c r="U51" s="407"/>
      <c r="V51" s="407"/>
      <c r="W51" s="407"/>
      <c r="X51" s="407"/>
      <c r="Y51" s="407"/>
      <c r="Z51" s="407"/>
      <c r="AA51" s="407"/>
      <c r="AB51" s="407"/>
      <c r="AC51" s="407"/>
    </row>
    <row r="52" spans="1:29" ht="14.5" customHeight="1">
      <c r="A52" s="455" t="s">
        <v>1168</v>
      </c>
      <c r="B52" s="44" t="s">
        <v>2699</v>
      </c>
      <c r="C52" s="322" t="s">
        <v>443</v>
      </c>
      <c r="D52" s="550">
        <v>60</v>
      </c>
      <c r="E52" s="549">
        <f>Table43[[#This Row],[Column8]]-Table43[[#This Row],[Column5]]</f>
        <v>10</v>
      </c>
      <c r="F52" s="550">
        <f>D56</f>
        <v>389.90639339738749</v>
      </c>
      <c r="G52" s="549">
        <v>70</v>
      </c>
      <c r="H52" s="406"/>
      <c r="I52" s="406"/>
      <c r="J52" s="406"/>
      <c r="K52" s="406"/>
      <c r="L52" s="406"/>
      <c r="M52" s="406"/>
      <c r="N52" s="406"/>
      <c r="O52" s="406"/>
      <c r="P52" s="406"/>
      <c r="Q52" s="407"/>
      <c r="R52" s="407"/>
      <c r="S52" s="407"/>
      <c r="T52" s="407"/>
      <c r="U52" s="407"/>
      <c r="V52" s="407"/>
      <c r="W52" s="407"/>
      <c r="X52" s="407"/>
      <c r="Y52" s="407"/>
      <c r="Z52" s="407"/>
      <c r="AA52" s="407"/>
      <c r="AB52" s="407"/>
      <c r="AC52" s="407"/>
    </row>
    <row r="53" spans="1:29" ht="14">
      <c r="A53" s="455" t="s">
        <v>1169</v>
      </c>
      <c r="B53" s="44" t="s">
        <v>2699</v>
      </c>
      <c r="C53" s="322" t="s">
        <v>840</v>
      </c>
      <c r="D53" s="550">
        <v>120</v>
      </c>
      <c r="E53" s="549">
        <f>Table43[[#This Row],[Column8]]-Table43[[#This Row],[Column5]]</f>
        <v>40</v>
      </c>
      <c r="F53" s="550">
        <f>F52</f>
        <v>389.90639339738749</v>
      </c>
      <c r="G53" s="549">
        <v>160</v>
      </c>
      <c r="H53" s="406"/>
      <c r="I53" s="406"/>
      <c r="J53" s="406"/>
      <c r="K53" s="406"/>
      <c r="L53" s="406"/>
      <c r="M53" s="406"/>
      <c r="N53" s="406"/>
      <c r="O53" s="406"/>
      <c r="P53" s="406"/>
      <c r="Q53" s="407"/>
      <c r="R53" s="407"/>
      <c r="S53" s="407"/>
      <c r="T53" s="407"/>
      <c r="U53" s="407"/>
      <c r="V53" s="407"/>
      <c r="W53" s="407"/>
      <c r="X53" s="407"/>
      <c r="Y53" s="407"/>
      <c r="Z53" s="407"/>
      <c r="AA53" s="407"/>
      <c r="AB53" s="407"/>
      <c r="AC53" s="407"/>
    </row>
    <row r="54" spans="1:29" ht="14">
      <c r="A54" s="455" t="s">
        <v>1170</v>
      </c>
      <c r="B54" s="44" t="s">
        <v>2699</v>
      </c>
      <c r="C54" s="322" t="s">
        <v>205</v>
      </c>
      <c r="D54" s="550">
        <v>140</v>
      </c>
      <c r="E54" s="549">
        <f>Table43[[#This Row],[Column8]]-Table43[[#This Row],[Column5]]</f>
        <v>40</v>
      </c>
      <c r="F54" s="550">
        <f>F53</f>
        <v>389.90639339738749</v>
      </c>
      <c r="G54" s="549">
        <v>180</v>
      </c>
      <c r="H54" s="406"/>
      <c r="I54" s="406"/>
      <c r="J54" s="406"/>
      <c r="K54" s="406"/>
      <c r="L54" s="406"/>
      <c r="M54" s="406"/>
      <c r="N54" s="406"/>
      <c r="O54" s="406"/>
      <c r="P54" s="406"/>
      <c r="Q54" s="407"/>
      <c r="R54" s="407"/>
      <c r="S54" s="407"/>
      <c r="T54" s="407"/>
      <c r="U54" s="407"/>
      <c r="V54" s="407"/>
      <c r="W54" s="407"/>
      <c r="X54" s="407"/>
      <c r="Y54" s="407"/>
      <c r="Z54" s="407"/>
      <c r="AA54" s="407"/>
      <c r="AB54" s="407"/>
      <c r="AC54" s="407"/>
    </row>
    <row r="55" spans="1:29" ht="14.25" customHeight="1">
      <c r="A55" s="455" t="s">
        <v>1171</v>
      </c>
      <c r="B55" s="44" t="s">
        <v>2699</v>
      </c>
      <c r="C55" s="322" t="s">
        <v>261</v>
      </c>
      <c r="D55" s="550">
        <v>55</v>
      </c>
      <c r="E55" s="549">
        <f>Table43[[#This Row],[Column8]]-Table43[[#This Row],[Column5]]</f>
        <v>20</v>
      </c>
      <c r="F55" s="550">
        <f>F54</f>
        <v>389.90639339738749</v>
      </c>
      <c r="G55" s="549">
        <v>75</v>
      </c>
      <c r="H55" s="406"/>
      <c r="I55" s="406"/>
      <c r="J55" s="406"/>
      <c r="K55" s="406"/>
      <c r="L55" s="406"/>
      <c r="M55" s="406"/>
      <c r="N55" s="406"/>
      <c r="O55" s="406"/>
      <c r="P55" s="406"/>
      <c r="Q55" s="407"/>
      <c r="R55" s="407"/>
      <c r="S55" s="407"/>
      <c r="T55" s="407"/>
      <c r="U55" s="407"/>
      <c r="V55" s="407"/>
      <c r="W55" s="407"/>
      <c r="X55" s="407"/>
      <c r="Y55" s="407"/>
      <c r="Z55" s="407"/>
      <c r="AA55" s="407"/>
      <c r="AB55" s="407"/>
      <c r="AC55" s="407"/>
    </row>
    <row r="56" spans="1:29" ht="14.25" customHeight="1">
      <c r="A56" s="455" t="s">
        <v>1172</v>
      </c>
      <c r="B56" s="44" t="s">
        <v>2699</v>
      </c>
      <c r="C56" s="322" t="s">
        <v>864</v>
      </c>
      <c r="D56" s="550">
        <f>E34</f>
        <v>389.90639339738749</v>
      </c>
      <c r="E56" s="549">
        <f>Table43[[#This Row],[Column8]]-Table43[[#This Row],[Column5]]</f>
        <v>18.163606602612504</v>
      </c>
      <c r="F56" s="550">
        <f>F55</f>
        <v>389.90639339738749</v>
      </c>
      <c r="G56" s="549">
        <f>408.07</f>
        <v>408.07</v>
      </c>
      <c r="H56" s="406"/>
      <c r="I56" s="406"/>
      <c r="J56" s="406"/>
      <c r="K56" s="406"/>
      <c r="L56" s="406"/>
      <c r="M56" s="406"/>
      <c r="N56" s="406"/>
      <c r="O56" s="406"/>
      <c r="P56" s="406"/>
      <c r="Q56" s="407"/>
      <c r="R56" s="407"/>
      <c r="S56" s="407"/>
      <c r="T56" s="407"/>
      <c r="U56" s="407"/>
      <c r="V56" s="407"/>
      <c r="W56" s="407"/>
      <c r="X56" s="407"/>
      <c r="Y56" s="407"/>
      <c r="Z56" s="407"/>
      <c r="AA56" s="407"/>
      <c r="AB56" s="407"/>
      <c r="AC56" s="407"/>
    </row>
    <row r="57" spans="1:29" ht="13.5" customHeight="1">
      <c r="A57" s="455" t="s">
        <v>1173</v>
      </c>
      <c r="B57" s="44" t="s">
        <v>2699</v>
      </c>
      <c r="C57" s="406"/>
      <c r="D57" s="406"/>
      <c r="E57" s="43" t="s">
        <v>2513</v>
      </c>
      <c r="F57" s="406"/>
      <c r="G57" s="406"/>
      <c r="H57" s="406"/>
      <c r="I57" s="406"/>
      <c r="J57" s="406"/>
      <c r="K57" s="406"/>
      <c r="L57" s="406"/>
      <c r="M57" s="406"/>
      <c r="N57" s="406"/>
      <c r="O57" s="406"/>
      <c r="P57" s="406"/>
      <c r="Q57" s="407"/>
      <c r="R57" s="407"/>
      <c r="S57" s="407"/>
      <c r="T57" s="407"/>
      <c r="U57" s="407"/>
      <c r="V57" s="407"/>
      <c r="W57" s="407"/>
      <c r="X57" s="407"/>
      <c r="Y57" s="407"/>
      <c r="Z57" s="407"/>
      <c r="AA57" s="407"/>
      <c r="AB57" s="407"/>
      <c r="AC57" s="407"/>
    </row>
    <row r="58" spans="1:29" ht="13" customHeight="1">
      <c r="A58" s="455" t="s">
        <v>1174</v>
      </c>
      <c r="B58" s="44" t="s">
        <v>2699</v>
      </c>
      <c r="C58" s="44" t="s">
        <v>2002</v>
      </c>
      <c r="D58" s="44" t="s">
        <v>2003</v>
      </c>
      <c r="E58" s="526" t="s">
        <v>2514</v>
      </c>
      <c r="F58" s="44" t="s">
        <v>491</v>
      </c>
      <c r="G58" s="44" t="s">
        <v>1470</v>
      </c>
      <c r="H58" s="406"/>
      <c r="I58" s="406"/>
      <c r="J58" s="406"/>
      <c r="K58" s="406"/>
      <c r="L58" s="406"/>
      <c r="M58" s="406"/>
      <c r="N58" s="407"/>
      <c r="O58" s="407"/>
      <c r="P58" s="407"/>
      <c r="Q58" s="407"/>
      <c r="R58" s="407"/>
      <c r="S58" s="407"/>
      <c r="T58" s="407"/>
      <c r="U58" s="407"/>
      <c r="V58" s="407"/>
      <c r="W58" s="407"/>
      <c r="X58" s="407"/>
      <c r="Y58" s="407"/>
      <c r="Z58" s="407"/>
      <c r="AA58" s="407"/>
      <c r="AB58" s="407"/>
      <c r="AC58" s="407"/>
    </row>
    <row r="59" spans="1:29" ht="14">
      <c r="A59" s="455" t="s">
        <v>2015</v>
      </c>
      <c r="B59" s="44" t="s">
        <v>2699</v>
      </c>
      <c r="C59" s="322" t="s">
        <v>2001</v>
      </c>
      <c r="D59" s="34">
        <f>'DCF Valuation'!B36</f>
        <v>450</v>
      </c>
      <c r="E59" s="526" t="s">
        <v>2515</v>
      </c>
      <c r="F59" s="322" t="s">
        <v>492</v>
      </c>
      <c r="G59" s="449">
        <v>0.16500000000000001</v>
      </c>
      <c r="H59" s="406"/>
      <c r="I59" s="406"/>
      <c r="J59" s="406"/>
      <c r="K59" s="406"/>
      <c r="L59" s="406"/>
      <c r="M59" s="406"/>
      <c r="N59" s="407"/>
      <c r="O59" s="407"/>
      <c r="P59" s="407"/>
      <c r="Q59" s="407"/>
      <c r="R59" s="407"/>
      <c r="S59" s="407"/>
      <c r="T59" s="407"/>
      <c r="U59" s="407"/>
      <c r="V59" s="407"/>
      <c r="W59" s="407"/>
      <c r="X59" s="407"/>
      <c r="Y59" s="407"/>
      <c r="Z59" s="407"/>
      <c r="AA59" s="407"/>
      <c r="AB59" s="407"/>
      <c r="AC59" s="407"/>
    </row>
    <row r="60" spans="1:29" ht="13">
      <c r="A60" s="322" t="s">
        <v>2016</v>
      </c>
      <c r="B60" s="44" t="s">
        <v>2699</v>
      </c>
      <c r="C60" s="322" t="s">
        <v>864</v>
      </c>
      <c r="D60" s="552">
        <f>'DCF Valuation'!B35</f>
        <v>386.11179448578162</v>
      </c>
      <c r="E60" s="527" t="s">
        <v>2516</v>
      </c>
      <c r="F60" s="322" t="s">
        <v>278</v>
      </c>
      <c r="G60" s="449">
        <v>0.214</v>
      </c>
      <c r="H60" s="406"/>
      <c r="I60" s="406"/>
      <c r="J60" s="406"/>
      <c r="K60" s="406"/>
      <c r="L60" s="406"/>
      <c r="M60" s="406"/>
      <c r="N60" s="407"/>
      <c r="O60" s="407"/>
      <c r="P60" s="407"/>
      <c r="Q60" s="407"/>
      <c r="R60" s="407"/>
      <c r="S60" s="407"/>
      <c r="T60" s="407"/>
      <c r="U60" s="407"/>
      <c r="V60" s="407"/>
      <c r="W60" s="407"/>
      <c r="X60" s="407"/>
      <c r="Y60" s="407"/>
      <c r="Z60" s="407"/>
      <c r="AA60" s="407"/>
      <c r="AB60" s="407"/>
      <c r="AC60" s="407"/>
    </row>
    <row r="61" spans="1:29" ht="13">
      <c r="A61" s="322" t="s">
        <v>2017</v>
      </c>
      <c r="B61" s="44" t="s">
        <v>2699</v>
      </c>
      <c r="C61" s="406"/>
      <c r="D61" s="454"/>
      <c r="E61" s="527" t="s">
        <v>2517</v>
      </c>
      <c r="F61" s="406"/>
      <c r="G61" s="406"/>
      <c r="H61" s="406"/>
      <c r="I61" s="406"/>
      <c r="J61" s="406"/>
      <c r="K61" s="406"/>
      <c r="L61" s="406"/>
      <c r="M61" s="406"/>
      <c r="N61" s="407"/>
      <c r="O61" s="407"/>
      <c r="P61" s="407"/>
      <c r="Q61" s="407"/>
      <c r="R61" s="407"/>
      <c r="S61" s="407"/>
      <c r="T61" s="407"/>
      <c r="U61" s="407"/>
      <c r="V61" s="407"/>
      <c r="W61" s="407"/>
      <c r="X61" s="407"/>
      <c r="Y61" s="407"/>
      <c r="Z61" s="407"/>
      <c r="AA61" s="407"/>
      <c r="AB61" s="407"/>
      <c r="AC61" s="407"/>
    </row>
    <row r="62" spans="1:29" ht="13">
      <c r="A62" s="322" t="s">
        <v>2018</v>
      </c>
      <c r="B62" s="44" t="s">
        <v>2699</v>
      </c>
      <c r="C62" s="322" t="s">
        <v>2293</v>
      </c>
      <c r="D62" s="322"/>
      <c r="E62" s="527" t="s">
        <v>2518</v>
      </c>
      <c r="F62" s="406"/>
      <c r="G62" s="406"/>
      <c r="H62" s="406"/>
      <c r="I62" s="406"/>
      <c r="J62" s="406"/>
      <c r="K62" s="406"/>
      <c r="L62" s="406"/>
      <c r="M62" s="406"/>
      <c r="N62" s="407"/>
      <c r="O62" s="407"/>
      <c r="P62" s="407"/>
      <c r="Q62" s="407"/>
      <c r="R62" s="407"/>
      <c r="S62" s="407"/>
      <c r="T62" s="407"/>
      <c r="U62" s="407"/>
      <c r="V62" s="407"/>
      <c r="W62" s="407"/>
      <c r="X62" s="407"/>
      <c r="Y62" s="407"/>
      <c r="Z62" s="407"/>
      <c r="AA62" s="407"/>
      <c r="AB62" s="407"/>
      <c r="AC62" s="407"/>
    </row>
    <row r="63" spans="1:29" ht="13">
      <c r="A63" s="322" t="s">
        <v>2019</v>
      </c>
      <c r="B63" s="44" t="s">
        <v>2699</v>
      </c>
      <c r="C63" s="406"/>
      <c r="D63" s="406"/>
      <c r="E63" s="406"/>
      <c r="F63" s="406"/>
      <c r="G63" s="406"/>
      <c r="H63" s="406"/>
      <c r="I63" s="406"/>
      <c r="J63" s="406"/>
      <c r="K63" s="406"/>
      <c r="L63" s="406"/>
      <c r="M63" s="406"/>
      <c r="N63" s="407"/>
      <c r="O63" s="407"/>
      <c r="P63" s="407"/>
      <c r="Q63" s="407"/>
      <c r="R63" s="407"/>
      <c r="S63" s="407"/>
      <c r="T63" s="407"/>
      <c r="U63" s="407"/>
      <c r="V63" s="407"/>
      <c r="W63" s="407"/>
      <c r="X63" s="407"/>
      <c r="Y63" s="407"/>
      <c r="Z63" s="407"/>
      <c r="AA63" s="407"/>
      <c r="AB63" s="407"/>
      <c r="AC63" s="407"/>
    </row>
    <row r="64" spans="1:29" ht="13">
      <c r="A64" s="322" t="s">
        <v>2020</v>
      </c>
      <c r="B64" s="44" t="s">
        <v>2699</v>
      </c>
      <c r="C64" s="44" t="s">
        <v>997</v>
      </c>
      <c r="D64" s="44" t="s">
        <v>2006</v>
      </c>
      <c r="E64" s="44" t="s">
        <v>247</v>
      </c>
      <c r="F64" s="44" t="s">
        <v>218</v>
      </c>
      <c r="G64" s="406"/>
      <c r="H64" s="406"/>
      <c r="I64" s="406"/>
      <c r="J64" s="406"/>
      <c r="K64" s="406"/>
      <c r="L64" s="406"/>
      <c r="M64" s="406"/>
      <c r="N64" s="407"/>
      <c r="O64" s="407"/>
      <c r="P64" s="407"/>
      <c r="Q64" s="407"/>
      <c r="R64" s="407"/>
      <c r="S64" s="407"/>
      <c r="T64" s="407"/>
      <c r="U64" s="407"/>
      <c r="V64" s="407"/>
      <c r="W64" s="407"/>
      <c r="X64" s="407"/>
      <c r="Y64" s="407"/>
      <c r="Z64" s="407"/>
      <c r="AA64" s="407"/>
      <c r="AB64" s="407"/>
      <c r="AC64" s="407"/>
    </row>
    <row r="65" spans="1:29" ht="13">
      <c r="A65" s="89" t="s">
        <v>2021</v>
      </c>
      <c r="B65" s="44" t="s">
        <v>2699</v>
      </c>
      <c r="C65" s="322" t="s">
        <v>492</v>
      </c>
      <c r="D65" s="450">
        <f>'Profit Loss'!K4</f>
        <v>48749.565199104014</v>
      </c>
      <c r="E65" s="322" t="s">
        <v>296</v>
      </c>
      <c r="F65" s="322" t="s">
        <v>2007</v>
      </c>
      <c r="G65" s="406"/>
      <c r="H65" s="406"/>
      <c r="I65" s="406"/>
      <c r="J65" s="406"/>
      <c r="K65" s="406"/>
      <c r="L65" s="406"/>
      <c r="M65" s="406"/>
      <c r="N65" s="407"/>
      <c r="O65" s="407"/>
      <c r="P65" s="407"/>
      <c r="Q65" s="407"/>
      <c r="R65" s="407"/>
      <c r="S65" s="407"/>
      <c r="T65" s="407"/>
      <c r="U65" s="407"/>
      <c r="V65" s="407"/>
      <c r="W65" s="407"/>
      <c r="X65" s="407"/>
      <c r="Y65" s="407"/>
      <c r="Z65" s="407"/>
      <c r="AA65" s="407"/>
      <c r="AB65" s="407"/>
      <c r="AC65" s="407"/>
    </row>
    <row r="66" spans="1:29" ht="13">
      <c r="A66" s="89" t="s">
        <v>2022</v>
      </c>
      <c r="B66" s="44" t="s">
        <v>2699</v>
      </c>
      <c r="C66" s="322" t="s">
        <v>139</v>
      </c>
      <c r="D66" s="450">
        <f>'Profit Loss'!K25</f>
        <v>29298.488684661512</v>
      </c>
      <c r="E66" s="322" t="s">
        <v>295</v>
      </c>
      <c r="F66" s="322" t="s">
        <v>2008</v>
      </c>
      <c r="G66" s="406"/>
      <c r="H66" s="406"/>
      <c r="I66" s="406"/>
      <c r="J66" s="406"/>
      <c r="K66" s="406"/>
      <c r="L66" s="406"/>
      <c r="M66" s="406"/>
      <c r="N66" s="407"/>
      <c r="O66" s="407"/>
      <c r="P66" s="407"/>
      <c r="Q66" s="407"/>
      <c r="R66" s="407"/>
      <c r="S66" s="407"/>
      <c r="T66" s="407"/>
      <c r="U66" s="407"/>
      <c r="V66" s="407"/>
      <c r="W66" s="407"/>
      <c r="X66" s="407"/>
      <c r="Y66" s="407"/>
      <c r="Z66" s="407"/>
      <c r="AA66" s="407"/>
      <c r="AB66" s="407"/>
      <c r="AC66" s="407"/>
    </row>
    <row r="67" spans="1:29" ht="13">
      <c r="A67" s="322" t="s">
        <v>2023</v>
      </c>
      <c r="B67" s="44" t="s">
        <v>2699</v>
      </c>
      <c r="C67" s="322" t="s">
        <v>2005</v>
      </c>
      <c r="D67" s="453">
        <f>Assumptions!B14</f>
        <v>0.16</v>
      </c>
      <c r="E67" s="322" t="s">
        <v>298</v>
      </c>
      <c r="F67" s="322" t="s">
        <v>2009</v>
      </c>
      <c r="G67" s="406"/>
      <c r="H67" s="406"/>
      <c r="I67" s="406"/>
      <c r="J67" s="406"/>
      <c r="K67" s="406"/>
      <c r="L67" s="406"/>
      <c r="M67" s="406"/>
      <c r="N67" s="407"/>
      <c r="O67" s="407"/>
      <c r="P67" s="407"/>
      <c r="Q67" s="407"/>
      <c r="R67" s="407"/>
      <c r="S67" s="407"/>
      <c r="T67" s="407"/>
      <c r="U67" s="407"/>
      <c r="V67" s="407"/>
      <c r="W67" s="407"/>
      <c r="X67" s="407"/>
      <c r="Y67" s="407"/>
      <c r="Z67" s="407"/>
      <c r="AA67" s="407"/>
      <c r="AB67" s="407"/>
      <c r="AC67" s="407"/>
    </row>
    <row r="68" spans="1:29" ht="13">
      <c r="A68" s="89" t="s">
        <v>2024</v>
      </c>
      <c r="B68" s="44" t="s">
        <v>2699</v>
      </c>
      <c r="C68" s="322" t="s">
        <v>853</v>
      </c>
      <c r="D68" s="451">
        <f>'DCF Valuation'!F21</f>
        <v>313.96526437500006</v>
      </c>
      <c r="E68" s="322" t="s">
        <v>2010</v>
      </c>
      <c r="F68" s="322" t="s">
        <v>2011</v>
      </c>
      <c r="G68" s="406"/>
      <c r="H68" s="406"/>
      <c r="I68" s="406"/>
      <c r="J68" s="406"/>
      <c r="K68" s="406"/>
      <c r="L68" s="406"/>
      <c r="M68" s="406"/>
      <c r="N68" s="407"/>
      <c r="O68" s="407"/>
      <c r="P68" s="407"/>
      <c r="Q68" s="407"/>
      <c r="R68" s="407"/>
      <c r="S68" s="407"/>
      <c r="T68" s="407"/>
      <c r="U68" s="407"/>
      <c r="V68" s="407"/>
      <c r="W68" s="407"/>
      <c r="X68" s="407"/>
      <c r="Y68" s="407"/>
      <c r="Z68" s="407"/>
      <c r="AA68" s="407"/>
      <c r="AB68" s="407"/>
      <c r="AC68" s="407"/>
    </row>
    <row r="69" spans="1:29" ht="13">
      <c r="A69" s="89" t="s">
        <v>2025</v>
      </c>
      <c r="B69" s="44" t="s">
        <v>2699</v>
      </c>
      <c r="C69" s="322" t="s">
        <v>942</v>
      </c>
      <c r="D69" s="452">
        <f>Balance_Sheet!K50</f>
        <v>-6907.1685970942599</v>
      </c>
      <c r="E69" s="406"/>
      <c r="F69" s="406"/>
      <c r="G69" s="406"/>
      <c r="H69" s="406"/>
      <c r="I69" s="406"/>
      <c r="J69" s="406"/>
      <c r="K69" s="406"/>
      <c r="L69" s="406"/>
      <c r="M69" s="406"/>
      <c r="N69" s="407"/>
      <c r="O69" s="407"/>
      <c r="P69" s="407"/>
      <c r="Q69" s="407"/>
      <c r="R69" s="407"/>
      <c r="S69" s="407"/>
      <c r="T69" s="407"/>
      <c r="U69" s="407"/>
      <c r="V69" s="407"/>
      <c r="W69" s="407"/>
      <c r="X69" s="407"/>
      <c r="Y69" s="407"/>
      <c r="Z69" s="407"/>
      <c r="AA69" s="407"/>
      <c r="AB69" s="407"/>
      <c r="AC69" s="407"/>
    </row>
    <row r="70" spans="1:29" ht="13">
      <c r="A70" s="89" t="s">
        <v>2026</v>
      </c>
      <c r="B70" s="44" t="s">
        <v>2699</v>
      </c>
      <c r="C70" s="322" t="s">
        <v>1185</v>
      </c>
      <c r="D70" s="451">
        <f>'Cash Flow'!K61</f>
        <v>26858.748557578921</v>
      </c>
      <c r="E70" s="322" t="s">
        <v>2426</v>
      </c>
      <c r="F70" s="322"/>
      <c r="G70" s="406"/>
      <c r="H70" s="406"/>
      <c r="I70" s="406"/>
      <c r="J70" s="406"/>
      <c r="K70" s="406"/>
      <c r="L70" s="406"/>
      <c r="M70" s="406"/>
      <c r="N70" s="407"/>
      <c r="O70" s="407"/>
      <c r="P70" s="407"/>
      <c r="Q70" s="407"/>
      <c r="R70" s="407"/>
      <c r="S70" s="407"/>
      <c r="T70" s="407"/>
      <c r="U70" s="407"/>
      <c r="V70" s="407"/>
      <c r="W70" s="407"/>
      <c r="X70" s="407"/>
      <c r="Y70" s="407"/>
      <c r="Z70" s="407"/>
      <c r="AA70" s="407"/>
      <c r="AB70" s="407"/>
      <c r="AC70" s="407"/>
    </row>
    <row r="71" spans="1:29" ht="13">
      <c r="A71" s="89" t="s">
        <v>2027</v>
      </c>
      <c r="B71" s="44" t="s">
        <v>2699</v>
      </c>
      <c r="C71" s="406"/>
      <c r="D71" s="406"/>
      <c r="E71" s="322"/>
      <c r="F71" s="322"/>
      <c r="G71" s="406"/>
      <c r="H71" s="406"/>
      <c r="I71" s="406"/>
      <c r="J71" s="406"/>
      <c r="K71" s="406"/>
      <c r="L71" s="406"/>
      <c r="M71" s="406"/>
      <c r="N71" s="407"/>
      <c r="O71" s="407"/>
      <c r="P71" s="407"/>
      <c r="Q71" s="407"/>
      <c r="R71" s="407"/>
      <c r="S71" s="407"/>
      <c r="T71" s="407"/>
      <c r="U71" s="407"/>
      <c r="V71" s="407"/>
      <c r="W71" s="407"/>
      <c r="X71" s="407"/>
      <c r="Y71" s="407"/>
      <c r="Z71" s="407"/>
      <c r="AA71" s="407"/>
      <c r="AB71" s="407"/>
      <c r="AC71" s="407"/>
    </row>
    <row r="72" spans="1:29" ht="13">
      <c r="A72" s="89" t="s">
        <v>2028</v>
      </c>
      <c r="B72" s="44" t="s">
        <v>2699</v>
      </c>
      <c r="C72" s="322" t="s">
        <v>2425</v>
      </c>
      <c r="D72" s="406"/>
      <c r="E72" s="406"/>
      <c r="F72" s="406"/>
      <c r="G72" s="406"/>
      <c r="H72" s="406"/>
      <c r="I72" s="406"/>
      <c r="J72" s="406"/>
      <c r="K72" s="406"/>
      <c r="L72" s="406"/>
      <c r="M72" s="406"/>
      <c r="N72" s="407"/>
      <c r="O72" s="407"/>
      <c r="P72" s="407"/>
      <c r="Q72" s="407"/>
      <c r="R72" s="407"/>
      <c r="S72" s="407"/>
      <c r="T72" s="407"/>
      <c r="U72" s="407"/>
      <c r="V72" s="407"/>
      <c r="W72" s="407"/>
      <c r="X72" s="407"/>
      <c r="Y72" s="407"/>
      <c r="Z72" s="407"/>
      <c r="AA72" s="407"/>
      <c r="AB72" s="407"/>
      <c r="AC72" s="407"/>
    </row>
    <row r="73" spans="1:29" ht="13">
      <c r="A73" s="89" t="s">
        <v>2029</v>
      </c>
      <c r="B73" s="44" t="s">
        <v>2699</v>
      </c>
      <c r="C73" s="322" t="s">
        <v>2424</v>
      </c>
      <c r="D73" s="406"/>
      <c r="E73" s="406"/>
      <c r="F73" s="406"/>
      <c r="G73" s="406"/>
      <c r="H73" s="406"/>
      <c r="I73" s="406"/>
      <c r="J73" s="406"/>
      <c r="K73" s="406"/>
      <c r="L73" s="406"/>
      <c r="M73" s="406"/>
      <c r="N73" s="407"/>
      <c r="O73" s="407"/>
      <c r="P73" s="407"/>
      <c r="Q73" s="407"/>
      <c r="R73" s="407"/>
      <c r="S73" s="407"/>
      <c r="T73" s="407"/>
      <c r="U73" s="407"/>
      <c r="V73" s="407"/>
      <c r="W73" s="407"/>
      <c r="X73" s="407"/>
      <c r="Y73" s="407"/>
      <c r="Z73" s="407"/>
      <c r="AA73" s="407"/>
      <c r="AB73" s="407"/>
      <c r="AC73" s="407"/>
    </row>
    <row r="74" spans="1:29" ht="13">
      <c r="A74" s="322" t="s">
        <v>2030</v>
      </c>
      <c r="B74" s="44" t="s">
        <v>2699</v>
      </c>
      <c r="C74" s="408"/>
      <c r="D74" s="408"/>
      <c r="E74" s="408"/>
      <c r="F74" s="408"/>
      <c r="G74" s="408"/>
      <c r="H74" s="408"/>
      <c r="I74" s="408"/>
      <c r="J74" s="408"/>
      <c r="K74" s="408"/>
      <c r="L74" s="408"/>
      <c r="M74" s="408"/>
      <c r="N74" s="407"/>
      <c r="O74" s="407"/>
      <c r="P74" s="407"/>
      <c r="Q74" s="407"/>
      <c r="R74" s="407"/>
      <c r="S74" s="407"/>
      <c r="T74" s="407"/>
      <c r="U74" s="407"/>
      <c r="V74" s="407"/>
      <c r="W74" s="407"/>
      <c r="X74" s="407"/>
      <c r="Y74" s="407"/>
      <c r="Z74" s="407"/>
      <c r="AA74" s="407"/>
      <c r="AB74" s="407"/>
      <c r="AC74" s="407"/>
    </row>
    <row r="75" spans="1:29" ht="14">
      <c r="A75" s="535" t="s">
        <v>2663</v>
      </c>
      <c r="B75" s="44" t="s">
        <v>2699</v>
      </c>
      <c r="C75" s="408"/>
      <c r="D75" s="408"/>
      <c r="E75" s="408"/>
      <c r="F75" s="408"/>
      <c r="G75" s="408"/>
      <c r="H75" s="408"/>
      <c r="I75" s="408"/>
      <c r="J75" s="408"/>
      <c r="K75" s="408"/>
      <c r="L75" s="408"/>
      <c r="M75" s="408"/>
      <c r="N75" s="407"/>
      <c r="O75" s="407"/>
      <c r="P75" s="407"/>
      <c r="Q75" s="407"/>
      <c r="R75" s="407"/>
      <c r="S75" s="407"/>
      <c r="T75" s="407"/>
      <c r="U75" s="407"/>
      <c r="V75" s="407"/>
      <c r="W75" s="407"/>
      <c r="X75" s="407"/>
      <c r="Y75" s="407"/>
      <c r="Z75" s="407"/>
      <c r="AA75" s="407"/>
      <c r="AB75" s="407"/>
      <c r="AC75" s="407"/>
    </row>
    <row r="76" spans="1:29" ht="13">
      <c r="A76" s="408"/>
      <c r="B76" s="408"/>
      <c r="C76" s="408"/>
      <c r="D76" s="408"/>
      <c r="E76" s="408"/>
      <c r="F76" s="408"/>
      <c r="G76" s="408"/>
      <c r="H76" s="528"/>
      <c r="I76" s="528"/>
      <c r="J76" s="528"/>
      <c r="K76" s="528"/>
      <c r="L76" s="528"/>
      <c r="M76" s="528"/>
      <c r="N76" s="407"/>
      <c r="O76" s="407"/>
      <c r="P76" s="407"/>
      <c r="Q76" s="407"/>
      <c r="R76" s="407"/>
      <c r="S76" s="407"/>
      <c r="T76" s="407"/>
      <c r="U76" s="407"/>
      <c r="V76" s="407"/>
      <c r="W76" s="407"/>
      <c r="X76" s="407"/>
      <c r="Y76" s="407"/>
      <c r="Z76" s="407"/>
      <c r="AA76" s="407"/>
      <c r="AB76" s="407"/>
      <c r="AC76" s="407"/>
    </row>
    <row r="77" spans="1:29" ht="13">
      <c r="A77" s="407"/>
      <c r="B77" s="407"/>
      <c r="C77" s="407"/>
      <c r="D77" s="407"/>
      <c r="E77" s="407"/>
      <c r="F77" s="407"/>
      <c r="G77" s="407"/>
      <c r="H77" s="407"/>
      <c r="I77" s="407"/>
      <c r="J77" s="407"/>
      <c r="K77" s="407"/>
      <c r="L77" s="407"/>
      <c r="M77" s="407"/>
      <c r="N77" s="407"/>
      <c r="O77" s="407"/>
      <c r="P77" s="407"/>
      <c r="Q77" s="407"/>
      <c r="R77" s="407"/>
      <c r="S77" s="407"/>
      <c r="T77" s="407"/>
      <c r="U77" s="407"/>
      <c r="V77" s="407"/>
      <c r="W77" s="407"/>
      <c r="X77" s="407"/>
      <c r="Y77" s="407"/>
      <c r="Z77" s="407"/>
      <c r="AA77" s="407"/>
      <c r="AB77" s="407"/>
      <c r="AC77" s="407"/>
    </row>
    <row r="78" spans="1:29" ht="13">
      <c r="A78" s="407"/>
      <c r="B78" s="407"/>
      <c r="C78" s="407"/>
      <c r="D78" s="407"/>
      <c r="E78" s="407"/>
      <c r="F78" s="407"/>
      <c r="G78" s="407"/>
      <c r="H78" s="407"/>
      <c r="I78" s="407"/>
      <c r="J78" s="407"/>
      <c r="K78" s="407"/>
      <c r="L78" s="407"/>
      <c r="M78" s="407"/>
      <c r="N78" s="407"/>
      <c r="O78" s="407"/>
      <c r="P78" s="407"/>
      <c r="Q78" s="407"/>
      <c r="R78" s="407"/>
      <c r="S78" s="407"/>
      <c r="T78" s="407"/>
      <c r="U78" s="407"/>
      <c r="V78" s="407"/>
      <c r="W78" s="407"/>
      <c r="X78" s="407"/>
      <c r="Y78" s="407"/>
      <c r="Z78" s="407"/>
      <c r="AA78" s="407"/>
      <c r="AB78" s="407"/>
      <c r="AC78" s="407"/>
    </row>
    <row r="79" spans="1:29" ht="13">
      <c r="A79" s="407"/>
      <c r="B79" s="407"/>
      <c r="C79" s="407"/>
      <c r="D79" s="407"/>
      <c r="E79" s="407"/>
      <c r="F79" s="407"/>
      <c r="G79" s="407"/>
      <c r="H79" s="407"/>
      <c r="I79" s="407"/>
      <c r="J79" s="407"/>
      <c r="K79" s="407"/>
      <c r="L79" s="407"/>
      <c r="M79" s="407"/>
      <c r="N79" s="407"/>
      <c r="O79" s="407"/>
      <c r="P79" s="407"/>
      <c r="Q79" s="407"/>
      <c r="R79" s="407"/>
      <c r="S79" s="407"/>
      <c r="T79" s="407"/>
      <c r="U79" s="407"/>
      <c r="V79" s="407"/>
      <c r="W79" s="407"/>
      <c r="X79" s="407"/>
      <c r="Y79" s="407"/>
      <c r="Z79" s="407"/>
      <c r="AA79" s="407"/>
      <c r="AB79" s="407"/>
      <c r="AC79" s="407"/>
    </row>
    <row r="80" spans="1:29" ht="13">
      <c r="A80" s="407"/>
      <c r="B80" s="407"/>
      <c r="C80" s="407"/>
      <c r="D80" s="407"/>
      <c r="E80" s="407"/>
      <c r="F80" s="407"/>
      <c r="G80" s="407"/>
      <c r="H80" s="407"/>
      <c r="I80" s="407"/>
      <c r="J80" s="407"/>
      <c r="K80" s="407"/>
      <c r="L80" s="407"/>
      <c r="M80" s="407"/>
      <c r="N80" s="407"/>
      <c r="O80" s="407"/>
      <c r="P80" s="407"/>
      <c r="Q80" s="407"/>
      <c r="R80" s="407"/>
      <c r="S80" s="407"/>
      <c r="T80" s="407"/>
      <c r="U80" s="407"/>
      <c r="V80" s="407"/>
      <c r="W80" s="407"/>
      <c r="X80" s="407"/>
      <c r="Y80" s="407"/>
      <c r="Z80" s="407"/>
      <c r="AA80" s="407"/>
      <c r="AB80" s="407"/>
      <c r="AC80" s="407"/>
    </row>
    <row r="81" spans="1:29" ht="13">
      <c r="A81" s="407"/>
      <c r="B81" s="407"/>
      <c r="C81" s="407"/>
      <c r="D81" s="407"/>
      <c r="E81" s="407"/>
      <c r="F81" s="407"/>
      <c r="G81" s="407"/>
      <c r="H81" s="407"/>
      <c r="I81" s="407"/>
      <c r="J81" s="407"/>
      <c r="K81" s="407"/>
      <c r="L81" s="407"/>
      <c r="M81" s="407"/>
      <c r="N81" s="407"/>
      <c r="O81" s="407"/>
      <c r="P81" s="407"/>
      <c r="Q81" s="407"/>
      <c r="R81" s="407"/>
      <c r="S81" s="407"/>
      <c r="T81" s="407"/>
      <c r="U81" s="407"/>
      <c r="V81" s="407"/>
      <c r="W81" s="407"/>
      <c r="X81" s="407"/>
      <c r="Y81" s="407"/>
      <c r="Z81" s="407"/>
      <c r="AA81" s="407"/>
      <c r="AB81" s="407"/>
      <c r="AC81" s="407"/>
    </row>
    <row r="82" spans="1:29" ht="13">
      <c r="A82" s="407"/>
      <c r="B82" s="407"/>
      <c r="C82" s="407"/>
      <c r="D82" s="407"/>
      <c r="E82" s="407"/>
      <c r="F82" s="407"/>
      <c r="G82" s="407"/>
      <c r="H82" s="407"/>
      <c r="I82" s="407"/>
      <c r="J82" s="407"/>
      <c r="K82" s="407"/>
      <c r="L82" s="407"/>
      <c r="M82" s="407"/>
      <c r="N82" s="407"/>
      <c r="O82" s="407"/>
      <c r="P82" s="407"/>
      <c r="Q82" s="407"/>
      <c r="R82" s="407"/>
      <c r="S82" s="407"/>
      <c r="T82" s="407"/>
      <c r="U82" s="407"/>
      <c r="V82" s="407"/>
      <c r="W82" s="407"/>
      <c r="X82" s="407"/>
      <c r="Y82" s="407"/>
      <c r="Z82" s="407"/>
      <c r="AA82" s="407"/>
      <c r="AB82" s="407"/>
      <c r="AC82" s="407"/>
    </row>
    <row r="83" spans="1:29" ht="13">
      <c r="A83" s="407"/>
      <c r="B83" s="407"/>
      <c r="C83" s="407"/>
      <c r="D83" s="407"/>
      <c r="E83" s="407"/>
      <c r="F83" s="407"/>
      <c r="G83" s="407"/>
      <c r="H83" s="407"/>
      <c r="I83" s="407"/>
      <c r="J83" s="407"/>
      <c r="K83" s="407"/>
      <c r="L83" s="407"/>
      <c r="M83" s="407"/>
      <c r="N83" s="407"/>
      <c r="O83" s="407"/>
      <c r="P83" s="407"/>
      <c r="Q83" s="407"/>
      <c r="R83" s="407"/>
      <c r="S83" s="407"/>
      <c r="T83" s="407"/>
      <c r="U83" s="407"/>
      <c r="V83" s="407"/>
      <c r="W83" s="407"/>
      <c r="X83" s="407"/>
      <c r="Y83" s="407"/>
      <c r="Z83" s="407"/>
      <c r="AA83" s="407"/>
      <c r="AB83" s="407"/>
      <c r="AC83" s="407"/>
    </row>
    <row r="84" spans="1:29" ht="13">
      <c r="A84" s="407"/>
      <c r="B84" s="407"/>
      <c r="C84" s="407"/>
      <c r="D84" s="407"/>
      <c r="E84" s="407"/>
      <c r="F84" s="407"/>
      <c r="G84" s="407"/>
      <c r="H84" s="547" t="s">
        <v>2012</v>
      </c>
      <c r="I84" s="547"/>
      <c r="J84" s="407"/>
      <c r="K84" s="407"/>
      <c r="L84" s="407"/>
      <c r="M84" s="407"/>
      <c r="N84" s="407"/>
      <c r="O84" s="407"/>
      <c r="P84" s="407"/>
      <c r="Q84" s="407"/>
      <c r="R84" s="407"/>
      <c r="S84" s="407"/>
      <c r="T84" s="407"/>
      <c r="U84" s="407"/>
      <c r="V84" s="407"/>
      <c r="W84" s="407"/>
      <c r="X84" s="407"/>
      <c r="Y84" s="407"/>
      <c r="Z84" s="407"/>
      <c r="AA84" s="407"/>
      <c r="AB84" s="407"/>
      <c r="AC84" s="407"/>
    </row>
    <row r="85" spans="1:29" ht="13">
      <c r="A85" s="407"/>
      <c r="B85" s="407"/>
      <c r="C85" s="407"/>
      <c r="D85" s="407"/>
      <c r="E85" s="407"/>
      <c r="F85" s="407"/>
      <c r="G85" s="407"/>
      <c r="H85" s="547" t="s">
        <v>2013</v>
      </c>
      <c r="I85" s="547"/>
      <c r="J85" s="407"/>
      <c r="K85" s="407"/>
      <c r="L85" s="407"/>
      <c r="M85" s="407"/>
      <c r="N85" s="407"/>
      <c r="O85" s="407"/>
      <c r="P85" s="407"/>
      <c r="Q85" s="407"/>
      <c r="R85" s="407"/>
      <c r="S85" s="407"/>
      <c r="T85" s="407"/>
      <c r="U85" s="407"/>
      <c r="V85" s="407"/>
      <c r="W85" s="407"/>
      <c r="X85" s="407"/>
      <c r="Y85" s="407"/>
      <c r="Z85" s="407"/>
      <c r="AA85" s="407"/>
      <c r="AB85" s="407"/>
      <c r="AC85" s="407"/>
    </row>
    <row r="86" spans="1:29" ht="13">
      <c r="A86" s="407"/>
      <c r="B86" s="407"/>
      <c r="C86" s="407"/>
      <c r="D86" s="407"/>
      <c r="E86" s="407"/>
      <c r="F86" s="407"/>
      <c r="G86" s="407"/>
      <c r="H86" s="547" t="s">
        <v>2014</v>
      </c>
      <c r="I86" s="547"/>
      <c r="J86" s="547"/>
      <c r="K86" s="547"/>
      <c r="L86" s="407"/>
      <c r="M86" s="407"/>
      <c r="N86" s="407"/>
      <c r="O86" s="407"/>
      <c r="P86" s="407"/>
      <c r="Q86" s="407"/>
      <c r="R86" s="407"/>
      <c r="S86" s="407"/>
      <c r="T86" s="407"/>
      <c r="U86" s="407"/>
      <c r="V86" s="407"/>
      <c r="W86" s="407"/>
      <c r="X86" s="407"/>
      <c r="Y86" s="407"/>
      <c r="Z86" s="407"/>
      <c r="AA86" s="407"/>
      <c r="AB86" s="407"/>
      <c r="AC86" s="407"/>
    </row>
    <row r="87" spans="1:29" ht="13">
      <c r="A87" s="407"/>
      <c r="B87" s="407"/>
      <c r="C87" s="407"/>
      <c r="D87" s="407"/>
      <c r="E87" s="407"/>
      <c r="F87" s="407"/>
      <c r="G87" s="407"/>
      <c r="H87" s="407"/>
      <c r="I87" s="407"/>
      <c r="J87" s="407"/>
      <c r="K87" s="407"/>
      <c r="L87" s="407"/>
      <c r="M87" s="407"/>
      <c r="N87" s="407"/>
      <c r="O87" s="407"/>
      <c r="P87" s="407"/>
      <c r="Q87" s="407"/>
      <c r="R87" s="407"/>
      <c r="S87" s="407"/>
      <c r="T87" s="407"/>
      <c r="U87" s="407"/>
      <c r="V87" s="407"/>
      <c r="W87" s="407"/>
      <c r="X87" s="407"/>
      <c r="Y87" s="407"/>
      <c r="Z87" s="407"/>
      <c r="AA87" s="407"/>
      <c r="AB87" s="407"/>
      <c r="AC87" s="407"/>
    </row>
    <row r="88" spans="1:29" ht="13">
      <c r="A88" s="407"/>
      <c r="B88" s="407"/>
      <c r="C88" s="407"/>
      <c r="D88" s="407"/>
      <c r="E88" s="407"/>
      <c r="F88" s="407"/>
      <c r="G88" s="407"/>
      <c r="H88" s="547" t="s">
        <v>2149</v>
      </c>
      <c r="I88" s="547"/>
      <c r="J88" s="547"/>
      <c r="K88" s="547"/>
      <c r="L88" s="407"/>
      <c r="M88" s="407"/>
      <c r="N88" s="407"/>
      <c r="O88" s="407"/>
      <c r="P88" s="407"/>
      <c r="Q88" s="407"/>
      <c r="R88" s="407"/>
      <c r="S88" s="407"/>
      <c r="T88" s="407"/>
      <c r="U88" s="407"/>
      <c r="V88" s="407"/>
      <c r="W88" s="407"/>
      <c r="X88" s="407"/>
      <c r="Y88" s="407"/>
      <c r="Z88" s="407"/>
      <c r="AA88" s="407"/>
      <c r="AB88" s="407"/>
      <c r="AC88" s="407"/>
    </row>
    <row r="89" spans="1:29" ht="13">
      <c r="A89" s="407"/>
      <c r="B89" s="407"/>
      <c r="C89" s="407"/>
      <c r="D89" s="407"/>
      <c r="E89" s="407"/>
      <c r="F89" s="407"/>
      <c r="G89" s="407"/>
      <c r="H89" s="547" t="s">
        <v>2519</v>
      </c>
      <c r="I89" s="547"/>
      <c r="J89" s="547"/>
      <c r="K89" s="547"/>
      <c r="L89" s="407"/>
      <c r="M89" s="407"/>
      <c r="N89" s="407"/>
      <c r="O89" s="407"/>
      <c r="P89" s="407"/>
      <c r="Q89" s="407"/>
      <c r="R89" s="407"/>
      <c r="S89" s="407"/>
      <c r="T89" s="407"/>
      <c r="U89" s="407"/>
      <c r="V89" s="407"/>
      <c r="W89" s="407"/>
      <c r="X89" s="407"/>
      <c r="Y89" s="407"/>
      <c r="Z89" s="407"/>
      <c r="AA89" s="407"/>
      <c r="AB89" s="407"/>
      <c r="AC89" s="407"/>
    </row>
    <row r="90" spans="1:29" ht="13">
      <c r="A90" s="407"/>
      <c r="B90" s="407"/>
      <c r="C90" s="407"/>
      <c r="D90" s="407"/>
      <c r="E90" s="407"/>
      <c r="F90" s="407"/>
      <c r="G90" s="407"/>
      <c r="H90" s="407"/>
      <c r="I90" s="407"/>
      <c r="J90" s="407"/>
      <c r="K90" s="407"/>
      <c r="L90" s="407"/>
      <c r="M90" s="407"/>
      <c r="N90" s="407"/>
      <c r="O90" s="407"/>
      <c r="P90" s="407"/>
      <c r="Q90" s="407"/>
      <c r="R90" s="407"/>
      <c r="S90" s="407"/>
      <c r="T90" s="407"/>
      <c r="U90" s="407"/>
      <c r="V90" s="407"/>
      <c r="W90" s="407"/>
      <c r="X90" s="407"/>
      <c r="Y90" s="407"/>
      <c r="Z90" s="407"/>
      <c r="AA90" s="407"/>
      <c r="AB90" s="407"/>
      <c r="AC90" s="407"/>
    </row>
    <row r="91" spans="1:29" ht="13">
      <c r="A91" s="407"/>
      <c r="B91" s="407"/>
      <c r="C91" s="407"/>
      <c r="D91" s="407"/>
      <c r="E91" s="407"/>
      <c r="F91" s="407"/>
      <c r="G91" s="407"/>
      <c r="H91" s="547" t="s">
        <v>2697</v>
      </c>
      <c r="I91" s="547"/>
      <c r="J91" s="547"/>
      <c r="K91" s="547"/>
      <c r="L91" s="547"/>
      <c r="M91" s="547"/>
      <c r="N91" s="547"/>
      <c r="O91" s="547"/>
      <c r="P91" s="547"/>
      <c r="Q91" s="547"/>
      <c r="R91" s="547"/>
      <c r="S91" s="407"/>
      <c r="T91" s="407"/>
      <c r="U91" s="407"/>
      <c r="V91" s="407"/>
      <c r="W91" s="407"/>
      <c r="X91" s="407"/>
      <c r="Y91" s="407"/>
      <c r="Z91" s="407"/>
      <c r="AA91" s="407"/>
      <c r="AB91" s="407"/>
      <c r="AC91" s="407"/>
    </row>
    <row r="92" spans="1:29" ht="13">
      <c r="A92" s="407"/>
      <c r="B92" s="407"/>
      <c r="C92" s="407"/>
      <c r="D92" s="407"/>
      <c r="E92" s="407"/>
      <c r="F92" s="407"/>
      <c r="G92" s="407"/>
      <c r="H92" s="547" t="s">
        <v>2698</v>
      </c>
      <c r="I92" s="547"/>
      <c r="J92" s="547"/>
      <c r="K92" s="547"/>
      <c r="L92" s="547"/>
      <c r="M92" s="547"/>
      <c r="N92" s="547"/>
      <c r="O92" s="547"/>
      <c r="P92" s="547"/>
      <c r="Q92" s="547"/>
      <c r="R92" s="547"/>
      <c r="S92" s="407"/>
      <c r="T92" s="407"/>
      <c r="U92" s="407"/>
      <c r="V92" s="407"/>
      <c r="W92" s="407"/>
      <c r="X92" s="407"/>
      <c r="Y92" s="407"/>
      <c r="Z92" s="407"/>
      <c r="AA92" s="407"/>
      <c r="AB92" s="407"/>
      <c r="AC92" s="407"/>
    </row>
    <row r="93" spans="1:29" ht="13">
      <c r="A93" s="407"/>
      <c r="B93" s="407"/>
      <c r="C93" s="407"/>
      <c r="D93" s="407"/>
      <c r="E93" s="407"/>
      <c r="F93" s="407"/>
      <c r="G93" s="407"/>
      <c r="H93" s="407"/>
      <c r="I93" s="407"/>
      <c r="J93" s="407"/>
      <c r="K93" s="407"/>
      <c r="L93" s="407"/>
      <c r="M93" s="407"/>
      <c r="N93" s="407"/>
      <c r="O93" s="407"/>
      <c r="P93" s="407"/>
      <c r="Q93" s="407"/>
      <c r="R93" s="407"/>
      <c r="S93" s="407"/>
      <c r="T93" s="407"/>
      <c r="U93" s="407"/>
      <c r="V93" s="407"/>
      <c r="W93" s="407"/>
      <c r="X93" s="407"/>
      <c r="Y93" s="407"/>
      <c r="Z93" s="407"/>
      <c r="AA93" s="407"/>
      <c r="AB93" s="407"/>
      <c r="AC93" s="407"/>
    </row>
    <row r="94" spans="1:29" ht="13">
      <c r="A94" s="407"/>
      <c r="B94" s="407"/>
      <c r="C94" s="407"/>
      <c r="D94" s="407"/>
      <c r="E94" s="407"/>
      <c r="F94" s="407"/>
      <c r="G94" s="407"/>
      <c r="H94" s="407"/>
      <c r="I94" s="407"/>
      <c r="J94" s="407"/>
      <c r="K94" s="407"/>
      <c r="L94" s="407"/>
      <c r="M94" s="407"/>
      <c r="N94" s="407"/>
      <c r="O94" s="407"/>
      <c r="P94" s="407"/>
      <c r="Q94" s="407"/>
      <c r="R94" s="407"/>
      <c r="S94" s="407"/>
      <c r="T94" s="407"/>
      <c r="U94" s="407"/>
      <c r="V94" s="407"/>
      <c r="W94" s="407"/>
      <c r="X94" s="407"/>
      <c r="Y94" s="407"/>
      <c r="Z94" s="407"/>
      <c r="AA94" s="407"/>
      <c r="AB94" s="407"/>
      <c r="AC94" s="407"/>
    </row>
    <row r="95" spans="1:29" ht="13">
      <c r="A95" s="407"/>
      <c r="B95" s="407"/>
      <c r="C95" s="407"/>
      <c r="D95" s="407"/>
      <c r="E95" s="407"/>
      <c r="F95" s="407"/>
      <c r="G95" s="407"/>
      <c r="H95" s="407"/>
      <c r="I95" s="407"/>
      <c r="J95" s="407"/>
      <c r="K95" s="407"/>
      <c r="L95" s="407"/>
      <c r="M95" s="407"/>
      <c r="N95" s="407"/>
      <c r="O95" s="407"/>
      <c r="P95" s="407"/>
      <c r="Q95" s="407"/>
      <c r="R95" s="407"/>
      <c r="S95" s="407"/>
      <c r="T95" s="407"/>
      <c r="U95" s="407"/>
      <c r="V95" s="407"/>
      <c r="W95" s="407"/>
      <c r="X95" s="407"/>
      <c r="Y95" s="407"/>
      <c r="Z95" s="407"/>
      <c r="AA95" s="407"/>
      <c r="AB95" s="407"/>
      <c r="AC95" s="407"/>
    </row>
    <row r="96" spans="1:29" ht="13">
      <c r="A96" s="407"/>
      <c r="B96" s="407"/>
      <c r="C96" s="407"/>
      <c r="D96" s="407"/>
      <c r="E96" s="407"/>
      <c r="F96" s="407"/>
      <c r="G96" s="407"/>
      <c r="H96" s="407"/>
      <c r="I96" s="407"/>
      <c r="J96" s="407"/>
      <c r="K96" s="407"/>
      <c r="L96" s="407"/>
      <c r="M96" s="407"/>
      <c r="N96" s="407"/>
      <c r="O96" s="407"/>
      <c r="P96" s="407"/>
      <c r="Q96" s="407"/>
      <c r="R96" s="407"/>
      <c r="S96" s="407"/>
      <c r="T96" s="407"/>
      <c r="U96" s="407"/>
      <c r="V96" s="407"/>
      <c r="W96" s="407"/>
      <c r="X96" s="407"/>
      <c r="Y96" s="407"/>
      <c r="Z96" s="407"/>
      <c r="AA96" s="407"/>
      <c r="AB96" s="407"/>
      <c r="AC96" s="407"/>
    </row>
    <row r="97" spans="1:29" ht="13">
      <c r="A97" s="407"/>
      <c r="B97" s="407"/>
      <c r="C97" s="407"/>
      <c r="D97" s="407"/>
      <c r="E97" s="407"/>
      <c r="F97" s="407"/>
      <c r="G97" s="407"/>
      <c r="H97" s="407"/>
      <c r="I97" s="407"/>
      <c r="J97" s="407"/>
      <c r="K97" s="407"/>
      <c r="L97" s="407"/>
      <c r="M97" s="407"/>
      <c r="N97" s="407"/>
      <c r="O97" s="407"/>
      <c r="P97" s="407"/>
      <c r="Q97" s="407"/>
      <c r="R97" s="407"/>
      <c r="S97" s="407"/>
      <c r="T97" s="407"/>
      <c r="U97" s="407"/>
      <c r="V97" s="407"/>
      <c r="W97" s="407"/>
      <c r="X97" s="407"/>
      <c r="Y97" s="407"/>
      <c r="Z97" s="407"/>
      <c r="AA97" s="407"/>
      <c r="AB97" s="407"/>
      <c r="AC97" s="407"/>
    </row>
    <row r="98" spans="1:29" ht="13">
      <c r="A98" s="407"/>
      <c r="B98" s="407"/>
      <c r="C98" s="407"/>
      <c r="D98" s="407"/>
      <c r="E98" s="407"/>
      <c r="F98" s="407"/>
      <c r="G98" s="407"/>
      <c r="H98" s="407"/>
      <c r="I98" s="407"/>
      <c r="J98" s="407"/>
      <c r="K98" s="407"/>
      <c r="L98" s="407"/>
      <c r="M98" s="407"/>
      <c r="N98" s="407"/>
      <c r="O98" s="407"/>
      <c r="P98" s="407"/>
      <c r="Q98" s="407"/>
      <c r="R98" s="407"/>
      <c r="S98" s="407"/>
      <c r="T98" s="407"/>
      <c r="U98" s="407"/>
      <c r="V98" s="407"/>
      <c r="W98" s="407"/>
      <c r="X98" s="407"/>
      <c r="Y98" s="407"/>
      <c r="Z98" s="407"/>
      <c r="AA98" s="407"/>
      <c r="AB98" s="407"/>
      <c r="AC98" s="407"/>
    </row>
    <row r="99" spans="1:29" ht="13">
      <c r="A99" s="407"/>
      <c r="B99" s="407"/>
      <c r="C99" s="407"/>
      <c r="D99" s="407"/>
      <c r="E99" s="407"/>
      <c r="F99" s="407"/>
      <c r="G99" s="407"/>
      <c r="H99" s="407"/>
      <c r="I99" s="407"/>
      <c r="J99" s="407"/>
      <c r="K99" s="407"/>
      <c r="L99" s="407"/>
      <c r="M99" s="407"/>
      <c r="N99" s="407"/>
      <c r="O99" s="407"/>
      <c r="P99" s="407"/>
      <c r="Q99" s="407"/>
      <c r="R99" s="407"/>
      <c r="S99" s="407"/>
      <c r="T99" s="407"/>
      <c r="U99" s="407"/>
      <c r="V99" s="407"/>
      <c r="W99" s="407"/>
      <c r="X99" s="407"/>
      <c r="Y99" s="407"/>
      <c r="Z99" s="407"/>
      <c r="AA99" s="407"/>
      <c r="AB99" s="407"/>
      <c r="AC99" s="407"/>
    </row>
    <row r="100" spans="1:29" ht="13">
      <c r="A100" s="407"/>
      <c r="B100" s="407"/>
      <c r="C100" s="407"/>
      <c r="D100" s="407"/>
      <c r="E100" s="407"/>
      <c r="F100" s="407"/>
      <c r="G100" s="407"/>
      <c r="H100" s="407"/>
      <c r="I100" s="407"/>
      <c r="J100" s="407"/>
      <c r="K100" s="407"/>
      <c r="L100" s="407"/>
      <c r="M100" s="407"/>
      <c r="N100" s="407"/>
      <c r="O100" s="407"/>
      <c r="P100" s="407"/>
      <c r="Q100" s="407"/>
      <c r="R100" s="407"/>
      <c r="S100" s="407"/>
      <c r="T100" s="407"/>
      <c r="U100" s="407"/>
      <c r="V100" s="407"/>
      <c r="W100" s="407"/>
      <c r="X100" s="407"/>
      <c r="Y100" s="407"/>
      <c r="Z100" s="407"/>
      <c r="AA100" s="407"/>
      <c r="AB100" s="407"/>
      <c r="AC100" s="407"/>
    </row>
    <row r="101" spans="1:29" ht="13">
      <c r="A101" s="407"/>
      <c r="B101" s="407"/>
      <c r="C101" s="407"/>
      <c r="D101" s="407"/>
      <c r="E101" s="407"/>
      <c r="F101" s="407"/>
      <c r="G101" s="407"/>
      <c r="H101" s="407"/>
      <c r="I101" s="407"/>
      <c r="J101" s="407"/>
      <c r="K101" s="407"/>
      <c r="L101" s="407"/>
      <c r="M101" s="407"/>
      <c r="N101" s="407"/>
      <c r="O101" s="407"/>
      <c r="P101" s="407"/>
      <c r="Q101" s="407"/>
      <c r="R101" s="407"/>
      <c r="S101" s="407"/>
      <c r="T101" s="407"/>
      <c r="U101" s="407"/>
      <c r="V101" s="407"/>
      <c r="W101" s="407"/>
      <c r="X101" s="407"/>
      <c r="Y101" s="407"/>
      <c r="Z101" s="407"/>
      <c r="AA101" s="407"/>
      <c r="AB101" s="407"/>
      <c r="AC101" s="407"/>
    </row>
    <row r="102" spans="1:29" ht="13">
      <c r="A102" s="407"/>
      <c r="B102" s="407"/>
      <c r="C102" s="407"/>
      <c r="D102" s="407"/>
      <c r="E102" s="407"/>
      <c r="F102" s="407"/>
      <c r="G102" s="407"/>
      <c r="H102" s="407"/>
      <c r="I102" s="407"/>
      <c r="J102" s="407"/>
      <c r="K102" s="407"/>
      <c r="L102" s="407"/>
      <c r="M102" s="407"/>
      <c r="N102" s="407"/>
      <c r="O102" s="407"/>
      <c r="P102" s="407"/>
      <c r="Q102" s="407"/>
      <c r="R102" s="407"/>
      <c r="S102" s="407"/>
      <c r="T102" s="407"/>
      <c r="U102" s="407"/>
      <c r="V102" s="407"/>
      <c r="W102" s="407"/>
      <c r="X102" s="407"/>
      <c r="Y102" s="407"/>
      <c r="Z102" s="407"/>
      <c r="AA102" s="407"/>
      <c r="AB102" s="407"/>
      <c r="AC102" s="407"/>
    </row>
    <row r="103" spans="1:29" ht="13">
      <c r="A103" s="407"/>
      <c r="B103" s="407"/>
      <c r="C103" s="407"/>
      <c r="D103" s="407"/>
      <c r="E103" s="407"/>
      <c r="F103" s="407"/>
      <c r="G103" s="407"/>
      <c r="H103" s="407"/>
      <c r="I103" s="407"/>
      <c r="J103" s="407"/>
      <c r="K103" s="407"/>
      <c r="L103" s="407"/>
      <c r="M103" s="407"/>
      <c r="N103" s="407"/>
      <c r="O103" s="407"/>
      <c r="P103" s="407"/>
      <c r="Q103" s="407"/>
      <c r="R103" s="407"/>
      <c r="S103" s="407"/>
      <c r="T103" s="407"/>
      <c r="U103" s="407"/>
      <c r="V103" s="407"/>
      <c r="W103" s="407"/>
      <c r="X103" s="407"/>
      <c r="Y103" s="407"/>
      <c r="Z103" s="407"/>
      <c r="AA103" s="407"/>
      <c r="AB103" s="407"/>
      <c r="AC103" s="407"/>
    </row>
    <row r="104" spans="1:29" ht="13">
      <c r="A104" s="407"/>
      <c r="B104" s="407"/>
      <c r="C104" s="407"/>
      <c r="D104" s="407"/>
      <c r="E104" s="407"/>
      <c r="F104" s="407"/>
      <c r="G104" s="407"/>
      <c r="H104" s="407"/>
      <c r="I104" s="407"/>
      <c r="J104" s="407"/>
      <c r="K104" s="407"/>
      <c r="L104" s="407"/>
      <c r="M104" s="407"/>
      <c r="N104" s="407"/>
      <c r="O104" s="407"/>
      <c r="P104" s="407"/>
      <c r="Q104" s="407"/>
      <c r="R104" s="407"/>
      <c r="S104" s="407"/>
      <c r="T104" s="407"/>
      <c r="U104" s="407"/>
      <c r="V104" s="407"/>
      <c r="W104" s="407"/>
      <c r="X104" s="407"/>
      <c r="Y104" s="407"/>
      <c r="Z104" s="407"/>
      <c r="AA104" s="407"/>
      <c r="AB104" s="407"/>
      <c r="AC104" s="407"/>
    </row>
    <row r="105" spans="1:29" ht="13">
      <c r="A105" s="407"/>
      <c r="B105" s="407"/>
      <c r="C105" s="407"/>
      <c r="D105" s="407"/>
      <c r="E105" s="407"/>
      <c r="F105" s="407"/>
      <c r="G105" s="407"/>
      <c r="H105" s="407"/>
      <c r="I105" s="407"/>
      <c r="J105" s="407"/>
      <c r="K105" s="407"/>
      <c r="L105" s="407"/>
      <c r="M105" s="407"/>
      <c r="N105" s="407"/>
      <c r="O105" s="407"/>
      <c r="P105" s="407"/>
      <c r="Q105" s="407"/>
      <c r="R105" s="407"/>
      <c r="S105" s="407"/>
      <c r="T105" s="407"/>
      <c r="U105" s="407"/>
      <c r="V105" s="407"/>
      <c r="W105" s="407"/>
      <c r="X105" s="407"/>
      <c r="Y105" s="407"/>
      <c r="Z105" s="407"/>
      <c r="AA105" s="407"/>
      <c r="AB105" s="407"/>
      <c r="AC105" s="407"/>
    </row>
    <row r="106" spans="1:29" ht="13">
      <c r="A106" s="407"/>
      <c r="B106" s="407"/>
      <c r="C106" s="407"/>
      <c r="D106" s="407"/>
      <c r="E106" s="407"/>
      <c r="F106" s="407"/>
      <c r="G106" s="407"/>
      <c r="H106" s="407"/>
      <c r="I106" s="407"/>
      <c r="J106" s="407"/>
      <c r="K106" s="407"/>
      <c r="L106" s="407"/>
      <c r="M106" s="407"/>
      <c r="N106" s="407"/>
      <c r="O106" s="407"/>
      <c r="P106" s="407"/>
      <c r="Q106" s="407"/>
      <c r="R106" s="407"/>
      <c r="S106" s="407"/>
      <c r="T106" s="407"/>
      <c r="U106" s="407"/>
      <c r="V106" s="407"/>
      <c r="W106" s="407"/>
      <c r="X106" s="407"/>
      <c r="Y106" s="407"/>
      <c r="Z106" s="407"/>
      <c r="AA106" s="407"/>
      <c r="AB106" s="407"/>
      <c r="AC106" s="407"/>
    </row>
    <row r="107" spans="1:29" ht="13">
      <c r="A107" s="407"/>
      <c r="B107" s="407"/>
      <c r="C107" s="407"/>
      <c r="D107" s="407"/>
      <c r="E107" s="407"/>
      <c r="F107" s="407"/>
      <c r="G107" s="407"/>
      <c r="H107" s="407"/>
      <c r="I107" s="407"/>
      <c r="J107" s="407"/>
      <c r="K107" s="407"/>
      <c r="L107" s="407"/>
      <c r="M107" s="407"/>
      <c r="N107" s="407"/>
      <c r="O107" s="407"/>
      <c r="P107" s="407"/>
      <c r="Q107" s="407"/>
      <c r="R107" s="407"/>
      <c r="S107" s="407"/>
      <c r="T107" s="407"/>
      <c r="U107" s="407"/>
      <c r="V107" s="407"/>
      <c r="W107" s="407"/>
      <c r="X107" s="407"/>
      <c r="Y107" s="407"/>
      <c r="Z107" s="407"/>
      <c r="AA107" s="407"/>
      <c r="AB107" s="407"/>
      <c r="AC107" s="407"/>
    </row>
    <row r="108" spans="1:29" ht="13">
      <c r="A108" s="407"/>
      <c r="B108" s="407"/>
      <c r="C108" s="407"/>
      <c r="D108" s="407"/>
      <c r="E108" s="407"/>
      <c r="F108" s="407"/>
      <c r="G108" s="407"/>
      <c r="H108" s="407"/>
      <c r="I108" s="407"/>
      <c r="J108" s="407"/>
      <c r="K108" s="407"/>
      <c r="L108" s="407"/>
      <c r="M108" s="407"/>
      <c r="N108" s="407"/>
      <c r="O108" s="407"/>
      <c r="P108" s="407"/>
      <c r="Q108" s="407"/>
      <c r="R108" s="407"/>
      <c r="S108" s="407"/>
      <c r="T108" s="407"/>
      <c r="U108" s="407"/>
      <c r="V108" s="407"/>
      <c r="W108" s="407"/>
      <c r="X108" s="407"/>
      <c r="Y108" s="407"/>
      <c r="Z108" s="407"/>
      <c r="AA108" s="407"/>
      <c r="AB108" s="407"/>
      <c r="AC108" s="407"/>
    </row>
    <row r="109" spans="1:29" ht="13">
      <c r="A109" s="407"/>
      <c r="B109" s="407"/>
      <c r="C109" s="407"/>
      <c r="D109" s="407"/>
      <c r="E109" s="407"/>
      <c r="F109" s="407"/>
      <c r="G109" s="407"/>
      <c r="H109" s="407"/>
      <c r="I109" s="407"/>
      <c r="J109" s="407"/>
      <c r="K109" s="407"/>
      <c r="L109" s="407"/>
      <c r="M109" s="407"/>
      <c r="N109" s="407"/>
      <c r="O109" s="407"/>
      <c r="P109" s="407"/>
      <c r="Q109" s="407"/>
      <c r="R109" s="407"/>
      <c r="S109" s="407"/>
      <c r="T109" s="407"/>
      <c r="U109" s="407"/>
      <c r="V109" s="407"/>
      <c r="W109" s="407"/>
      <c r="X109" s="407"/>
      <c r="Y109" s="407"/>
      <c r="Z109" s="407"/>
      <c r="AA109" s="407"/>
      <c r="AB109" s="407"/>
      <c r="AC109" s="407"/>
    </row>
    <row r="110" spans="1:29" ht="13">
      <c r="A110" s="407"/>
      <c r="B110" s="407"/>
      <c r="C110" s="407"/>
      <c r="D110" s="407"/>
      <c r="E110" s="407"/>
      <c r="F110" s="407"/>
      <c r="G110" s="407"/>
      <c r="H110" s="407"/>
      <c r="I110" s="407"/>
      <c r="J110" s="407"/>
      <c r="K110" s="407"/>
      <c r="L110" s="407"/>
      <c r="M110" s="407"/>
      <c r="N110" s="407"/>
      <c r="O110" s="407"/>
      <c r="P110" s="407"/>
      <c r="Q110" s="407"/>
      <c r="R110" s="407"/>
      <c r="S110" s="407"/>
      <c r="T110" s="407"/>
      <c r="U110" s="407"/>
      <c r="V110" s="407"/>
      <c r="W110" s="407"/>
      <c r="X110" s="407"/>
      <c r="Y110" s="407"/>
      <c r="Z110" s="407"/>
      <c r="AA110" s="407"/>
      <c r="AB110" s="407"/>
      <c r="AC110" s="407"/>
    </row>
    <row r="111" spans="1:29" ht="13">
      <c r="A111" s="407"/>
      <c r="B111" s="407"/>
      <c r="C111" s="407"/>
      <c r="D111" s="407"/>
      <c r="E111" s="407"/>
      <c r="F111" s="407"/>
      <c r="G111" s="407"/>
      <c r="H111" s="407"/>
      <c r="I111" s="407"/>
      <c r="J111" s="407"/>
      <c r="K111" s="407"/>
      <c r="L111" s="407"/>
      <c r="M111" s="407"/>
      <c r="N111" s="407"/>
      <c r="O111" s="407"/>
      <c r="P111" s="407"/>
      <c r="Q111" s="407"/>
      <c r="R111" s="407"/>
      <c r="S111" s="407"/>
      <c r="T111" s="407"/>
      <c r="U111" s="407"/>
      <c r="V111" s="407"/>
      <c r="W111" s="407"/>
      <c r="X111" s="407"/>
      <c r="Y111" s="407"/>
      <c r="Z111" s="407"/>
      <c r="AA111" s="407"/>
      <c r="AB111" s="407"/>
      <c r="AC111" s="407"/>
    </row>
  </sheetData>
  <phoneticPr fontId="2" type="noConversion"/>
  <hyperlinks>
    <hyperlink ref="A62" location="'Risk Analysis'!A1" display="22.Risk Analysis" xr:uid="{91FE0486-76A8-4993-8A2D-2005D787ECBC}"/>
    <hyperlink ref="A55" location="Regression!A1" display="14.Regression" xr:uid="{A7453750-07D4-4481-BD99-15FAE822B153}"/>
    <hyperlink ref="A42" location="'Raw P&amp;L'!A1" display="1. Raw Data Income" xr:uid="{FC12BA58-A232-4041-B0F2-8293CC230917}"/>
    <hyperlink ref="A43" location="'Raw Balance Sheet'!A1" display="2.Raw Data Balance" xr:uid="{AFC8C79B-6C61-4F8F-B454-C860C87466DF}"/>
    <hyperlink ref="A46" location="'Profit Loss'!A1" display="5.Income Statement Projections" xr:uid="{AC7D3BA7-AD64-41BC-BFCD-FA71D20A1CA5}"/>
    <hyperlink ref="A47" location="Balance_Sheet!A1" display="6.Balance Sheet Projections" xr:uid="{F733428D-0F1E-47CA-A4EA-EE00135DA5F9}"/>
    <hyperlink ref="A52" location="Balance_Sheet!A1" display="11.Industry Balance Sheet" xr:uid="{FCBDDA64-1782-4D9A-B68F-3B2034D16AFF}"/>
    <hyperlink ref="A53" location="Ind_Cashflow!A1" display="12.Industry Cash Flow" xr:uid="{70C7DB49-3F5E-42A6-AB32-24E3C99164D2}"/>
    <hyperlink ref="A54" location="Beta!A1" display="13.Beta Calculation" xr:uid="{E9625B0E-9FD8-480D-ACBD-DCCEC59E9A91}"/>
    <hyperlink ref="A58" location="'DDM FCFF FCFE RelativeValuation'!A1" display="17.DDM,FCFF,FCFE,Relative Valuation " xr:uid="{8DC74BF2-F8B8-4BF6-9E87-C32D35D76D7F}"/>
    <hyperlink ref="A59" location="Competition!A1" display="19.Competition" xr:uid="{D7C27E9F-425F-4AC5-A6AD-569F4E521B0A}"/>
    <hyperlink ref="A60" location="'Credit Ratio'!A1" display="20.Credit Ratio" xr:uid="{192D915C-CAB5-4763-92BD-472A38469006}"/>
    <hyperlink ref="A56" location="'DCF Valuation'!A1" display="15.DCF Valuation" xr:uid="{73DAAAD8-81CE-4327-831D-A5E9F42FF11F}"/>
    <hyperlink ref="A57" location="'Valuation Dashboard'!A1" display="16.Valuation Dashboard" xr:uid="{EE55A22C-5E09-4D6A-BA35-AD8C1F6DE16C}"/>
    <hyperlink ref="A45" location="'Investment Thesis'!A1" display="4.Investment Thesis" xr:uid="{861E839E-9411-4EF9-825C-1908D6E4F0BF}"/>
    <hyperlink ref="A44" location="Assumptions!A1" display="3.Assumptions" xr:uid="{953543D6-5436-493D-9F1A-68A108C1CE69}"/>
    <hyperlink ref="A61" location="Ratios!A1" display="21.Ratio Analysis" xr:uid="{FAE0326E-06A5-4D81-B52D-DE079AA5BC09}"/>
    <hyperlink ref="A63" location="'Investment Recommendation'!A1" display="23.Investment Recommendation" xr:uid="{F0AFD87C-E459-4538-A05E-679F355CE9F9}"/>
    <hyperlink ref="A64" location="'Executive Summary'!A1" display="24.Executive Summary" xr:uid="{FE6AF374-D98A-4CC1-9E85-79BDCC799D74}"/>
    <hyperlink ref="A65" location="'Model Flow'!A1" display="25.Model Flow" xr:uid="{AA83752D-A80A-40A1-9831-D8357A12759C}"/>
    <hyperlink ref="A66" location="'Industry Outlook'!A1" display="26.Industry Outlook" xr:uid="{ABE86F2E-FBAC-41EC-AEB0-4342F50DC0DD}"/>
    <hyperlink ref="A67" location="'Operational Drivers'!A1" display="27.Forecast Drivers" xr:uid="{4CB5D766-1744-47CD-8D47-1FCA29E13A17}"/>
    <hyperlink ref="A68" location="'Sensitivity Analysis'!A1" display="28.Sensitivity Analysis" xr:uid="{8D873650-7D9E-4E3D-B452-95D54E8FD4C7}"/>
    <hyperlink ref="A69" location="'Scenario Analysis'!A1" display="29.Scenario Analysis" xr:uid="{696C1AB2-0267-43DB-BD86-EB73CEC171E0}"/>
    <hyperlink ref="A70" location="'Documentation Sheet'!A1" display="30.Model Documentation Notes" xr:uid="{A02F55C7-A601-4104-A2ED-FB1C850840E7}"/>
    <hyperlink ref="A71" location="'Return Metrics'!A1" display="31.Metrics" xr:uid="{F10B6AF6-A131-45E4-81E2-06B22B1486DF}"/>
    <hyperlink ref="A51" location="'Ind_P&amp;L'!A1" display="10.Industry Income Statement" xr:uid="{5BD69FEE-4F0E-4A62-8DFE-3F93A2D54A67}"/>
    <hyperlink ref="A50" location="Ind_Dump!A1" display="9.Data Industry" xr:uid="{F08A735B-8229-46FA-B57B-1032C182385A}"/>
    <hyperlink ref="A49" location="'Common Size'!A1" display="8.Common Size" xr:uid="{107F530F-377B-42D5-A13D-B07126B87C9A}"/>
    <hyperlink ref="A48" location="'Cash Flow'!A1" display="7.Cash Flow Projections" xr:uid="{7C3860DA-E9F7-4CBC-900E-F75D050E14C9}"/>
    <hyperlink ref="A72" location="WACC!A1" display="32.WACC" xr:uid="{A8673F0A-5107-4347-A02D-CEA0762BEE8C}"/>
    <hyperlink ref="A73" location="'CAGR Projections'!A1" display="33.CAGR Projections" xr:uid="{8787FB9D-6F40-47DA-B5FD-CBEA46BF6D9F}"/>
    <hyperlink ref="A74" location="'Audit Checks'!A1" display="34.Audit Checks" xr:uid="{9C4EC9AE-0608-4159-A0B2-7A0F2A441818}"/>
    <hyperlink ref="A75" location="'Assumption Notes'!A1" display="34.Assumption Notes" xr:uid="{B3B122C7-CB00-417D-9944-7191082D4DAA}"/>
  </hyperlink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F8AF-FC5E-4B06-AC88-E11833CF1843}">
  <dimension ref="A1:AC99"/>
  <sheetViews>
    <sheetView zoomScale="89" workbookViewId="0">
      <selection sqref="A1:H2"/>
    </sheetView>
  </sheetViews>
  <sheetFormatPr defaultRowHeight="14"/>
  <cols>
    <col min="1" max="1" width="8.4140625" customWidth="1"/>
    <col min="2" max="2" width="38.83203125" customWidth="1"/>
    <col min="3" max="3" width="11.75" customWidth="1"/>
    <col min="6" max="6" width="11" customWidth="1"/>
    <col min="8" max="8" width="13.25" customWidth="1"/>
    <col min="9" max="9" width="20" customWidth="1"/>
  </cols>
  <sheetData>
    <row r="1" spans="1:29">
      <c r="A1" s="565" t="s">
        <v>1225</v>
      </c>
      <c r="B1" s="566"/>
      <c r="C1" s="566"/>
      <c r="D1" s="566"/>
      <c r="E1" s="566"/>
      <c r="F1" s="566"/>
      <c r="G1" s="566"/>
      <c r="H1" s="566"/>
      <c r="I1" s="50"/>
      <c r="J1" s="50"/>
      <c r="K1" s="50"/>
      <c r="L1" s="50"/>
      <c r="M1" s="50"/>
      <c r="N1" s="50"/>
      <c r="O1" s="50"/>
      <c r="P1" s="50"/>
      <c r="Q1" s="50"/>
      <c r="R1" s="50"/>
      <c r="S1" s="50"/>
      <c r="T1" s="50"/>
      <c r="U1" s="50"/>
      <c r="V1" s="50"/>
      <c r="W1" s="50"/>
      <c r="X1" s="50"/>
      <c r="Y1" s="50"/>
      <c r="Z1" s="50"/>
      <c r="AA1" s="50"/>
      <c r="AB1" s="50"/>
      <c r="AC1" s="50"/>
    </row>
    <row r="2" spans="1:29" ht="27.75" customHeight="1">
      <c r="A2" s="566"/>
      <c r="B2" s="566"/>
      <c r="C2" s="566"/>
      <c r="D2" s="566"/>
      <c r="E2" s="566"/>
      <c r="F2" s="566"/>
      <c r="G2" s="566"/>
      <c r="H2" s="566"/>
      <c r="I2" s="50"/>
      <c r="J2" s="50"/>
      <c r="K2" s="50"/>
      <c r="L2" s="50"/>
      <c r="M2" s="50"/>
      <c r="N2" s="50"/>
      <c r="O2" s="50"/>
      <c r="P2" s="50"/>
      <c r="Q2" s="50"/>
      <c r="R2" s="50"/>
      <c r="S2" s="50"/>
      <c r="T2" s="50"/>
      <c r="U2" s="50"/>
      <c r="V2" s="50"/>
      <c r="W2" s="50"/>
      <c r="X2" s="50"/>
      <c r="Y2" s="50"/>
      <c r="Z2" s="50"/>
      <c r="AA2" s="50"/>
      <c r="AB2" s="50"/>
      <c r="AC2" s="50"/>
    </row>
    <row r="3" spans="1:29">
      <c r="A3" s="47"/>
      <c r="B3" s="47"/>
      <c r="C3" s="47"/>
      <c r="D3" s="47"/>
      <c r="E3" s="47"/>
      <c r="F3" s="47"/>
      <c r="G3" s="47"/>
      <c r="H3" s="47"/>
      <c r="I3" s="47"/>
      <c r="J3" s="47"/>
      <c r="K3" s="50"/>
      <c r="L3" s="50"/>
      <c r="M3" s="50"/>
      <c r="N3" s="50"/>
      <c r="O3" s="50"/>
      <c r="P3" s="50"/>
      <c r="Q3" s="50"/>
      <c r="R3" s="50"/>
      <c r="S3" s="50"/>
      <c r="T3" s="50"/>
      <c r="U3" s="50"/>
      <c r="V3" s="50"/>
      <c r="W3" s="50"/>
      <c r="X3" s="50"/>
      <c r="Y3" s="50"/>
      <c r="Z3" s="50"/>
      <c r="AA3" s="50"/>
      <c r="AB3" s="50"/>
      <c r="AC3" s="50"/>
    </row>
    <row r="4" spans="1:29" ht="15.5">
      <c r="A4" s="58" t="s">
        <v>1226</v>
      </c>
      <c r="B4" s="59"/>
      <c r="C4" s="59"/>
      <c r="D4" s="59"/>
      <c r="E4" s="59"/>
      <c r="F4" s="59"/>
      <c r="G4" s="59"/>
      <c r="H4" s="59"/>
      <c r="I4" s="47"/>
      <c r="J4" s="47"/>
      <c r="K4" s="50"/>
      <c r="L4" s="50"/>
      <c r="M4" s="50"/>
      <c r="N4" s="50"/>
      <c r="O4" s="50"/>
      <c r="P4" s="50"/>
      <c r="Q4" s="50"/>
      <c r="R4" s="50"/>
      <c r="S4" s="50"/>
      <c r="T4" s="50"/>
      <c r="U4" s="50"/>
      <c r="V4" s="50"/>
      <c r="W4" s="50"/>
      <c r="X4" s="50"/>
      <c r="Y4" s="50"/>
      <c r="Z4" s="50"/>
      <c r="AA4" s="50"/>
      <c r="AB4" s="50"/>
      <c r="AC4" s="50"/>
    </row>
    <row r="5" spans="1:29">
      <c r="A5" s="564" t="s">
        <v>1831</v>
      </c>
      <c r="B5" s="563"/>
      <c r="C5" s="563"/>
      <c r="D5" s="563"/>
      <c r="E5" s="563"/>
      <c r="F5" s="563"/>
      <c r="G5" s="563"/>
      <c r="H5" s="563"/>
      <c r="I5" s="47"/>
      <c r="J5" s="47"/>
      <c r="K5" s="50"/>
      <c r="L5" s="50"/>
      <c r="M5" s="50"/>
      <c r="N5" s="50"/>
      <c r="O5" s="50"/>
      <c r="P5" s="50"/>
      <c r="Q5" s="50"/>
      <c r="R5" s="50"/>
      <c r="S5" s="50"/>
      <c r="T5" s="50"/>
      <c r="U5" s="50"/>
      <c r="V5" s="50"/>
      <c r="W5" s="50"/>
      <c r="X5" s="50"/>
      <c r="Y5" s="50"/>
      <c r="Z5" s="50"/>
      <c r="AA5" s="50"/>
      <c r="AB5" s="50"/>
      <c r="AC5" s="50"/>
    </row>
    <row r="6" spans="1:29">
      <c r="A6" s="563"/>
      <c r="B6" s="563"/>
      <c r="C6" s="563"/>
      <c r="D6" s="563"/>
      <c r="E6" s="563"/>
      <c r="F6" s="563"/>
      <c r="G6" s="563"/>
      <c r="H6" s="563"/>
      <c r="I6" s="47"/>
      <c r="J6" s="47"/>
      <c r="K6" s="50"/>
      <c r="L6" s="50"/>
      <c r="M6" s="50"/>
      <c r="N6" s="50"/>
      <c r="O6" s="50"/>
      <c r="P6" s="50"/>
      <c r="Q6" s="50"/>
      <c r="R6" s="50"/>
      <c r="S6" s="50"/>
      <c r="T6" s="50"/>
      <c r="U6" s="50"/>
      <c r="V6" s="50"/>
      <c r="W6" s="50"/>
      <c r="X6" s="50"/>
      <c r="Y6" s="50"/>
      <c r="Z6" s="50"/>
      <c r="AA6" s="50"/>
      <c r="AB6" s="50"/>
      <c r="AC6" s="50"/>
    </row>
    <row r="7" spans="1:29">
      <c r="A7" s="563"/>
      <c r="B7" s="563"/>
      <c r="C7" s="563"/>
      <c r="D7" s="563"/>
      <c r="E7" s="563"/>
      <c r="F7" s="563"/>
      <c r="G7" s="563"/>
      <c r="H7" s="563"/>
      <c r="I7" s="47"/>
      <c r="J7" s="47"/>
      <c r="K7" s="50"/>
      <c r="L7" s="50"/>
      <c r="M7" s="50"/>
      <c r="N7" s="50"/>
      <c r="O7" s="50"/>
      <c r="P7" s="50"/>
      <c r="Q7" s="50"/>
      <c r="R7" s="50"/>
      <c r="S7" s="50"/>
      <c r="T7" s="50"/>
      <c r="U7" s="50"/>
      <c r="V7" s="50"/>
      <c r="W7" s="50"/>
      <c r="X7" s="50"/>
      <c r="Y7" s="50"/>
      <c r="Z7" s="50"/>
      <c r="AA7" s="50"/>
      <c r="AB7" s="50"/>
      <c r="AC7" s="50"/>
    </row>
    <row r="8" spans="1:29">
      <c r="A8" s="563"/>
      <c r="B8" s="563"/>
      <c r="C8" s="563"/>
      <c r="D8" s="563"/>
      <c r="E8" s="563"/>
      <c r="F8" s="563"/>
      <c r="G8" s="563"/>
      <c r="H8" s="563"/>
      <c r="I8" s="47"/>
      <c r="J8" s="47"/>
      <c r="K8" s="50"/>
      <c r="L8" s="50"/>
      <c r="M8" s="50"/>
      <c r="N8" s="50"/>
      <c r="O8" s="50"/>
      <c r="P8" s="50"/>
      <c r="Q8" s="50"/>
      <c r="R8" s="50"/>
      <c r="S8" s="50"/>
      <c r="T8" s="50"/>
      <c r="U8" s="50"/>
      <c r="V8" s="50"/>
      <c r="W8" s="50"/>
      <c r="X8" s="50"/>
      <c r="Y8" s="50"/>
      <c r="Z8" s="50"/>
      <c r="AA8" s="50"/>
      <c r="AB8" s="50"/>
      <c r="AC8" s="50"/>
    </row>
    <row r="9" spans="1:29" ht="32.25" customHeight="1">
      <c r="A9" s="563"/>
      <c r="B9" s="563"/>
      <c r="C9" s="563"/>
      <c r="D9" s="563"/>
      <c r="E9" s="563"/>
      <c r="F9" s="563"/>
      <c r="G9" s="563"/>
      <c r="H9" s="563"/>
      <c r="I9" s="47"/>
      <c r="J9" s="47"/>
      <c r="K9" s="50"/>
      <c r="L9" s="50"/>
      <c r="M9" s="50"/>
      <c r="N9" s="50"/>
      <c r="O9" s="50"/>
      <c r="P9" s="50"/>
      <c r="Q9" s="50"/>
      <c r="R9" s="50"/>
      <c r="S9" s="50"/>
      <c r="T9" s="50"/>
      <c r="U9" s="50"/>
      <c r="V9" s="50"/>
      <c r="W9" s="50"/>
      <c r="X9" s="50"/>
      <c r="Y9" s="50"/>
      <c r="Z9" s="50"/>
      <c r="AA9" s="50"/>
      <c r="AB9" s="50"/>
      <c r="AC9" s="50"/>
    </row>
    <row r="10" spans="1:29">
      <c r="A10" s="285"/>
      <c r="B10" s="285"/>
      <c r="C10" s="285"/>
      <c r="D10" s="285"/>
      <c r="E10" s="285"/>
      <c r="F10" s="285"/>
      <c r="G10" s="285"/>
      <c r="H10" s="285"/>
      <c r="I10" s="47"/>
      <c r="J10" s="47"/>
      <c r="K10" s="50"/>
      <c r="L10" s="50"/>
      <c r="M10" s="50"/>
      <c r="N10" s="50"/>
      <c r="O10" s="50"/>
      <c r="P10" s="50"/>
      <c r="Q10" s="50"/>
      <c r="R10" s="50"/>
      <c r="S10" s="50"/>
      <c r="T10" s="50"/>
      <c r="U10" s="50"/>
      <c r="V10" s="50"/>
      <c r="W10" s="50"/>
      <c r="X10" s="50"/>
      <c r="Y10" s="50"/>
      <c r="Z10" s="50"/>
      <c r="AA10" s="50"/>
      <c r="AB10" s="50"/>
      <c r="AC10" s="50"/>
    </row>
    <row r="11" spans="1:29" ht="15.5">
      <c r="A11" s="58" t="s">
        <v>1227</v>
      </c>
      <c r="B11" s="59"/>
      <c r="C11" s="59"/>
      <c r="D11" s="59"/>
      <c r="E11" s="59"/>
      <c r="F11" s="59"/>
      <c r="G11" s="59"/>
      <c r="H11" s="59"/>
      <c r="I11" s="47"/>
      <c r="J11" s="47"/>
      <c r="K11" s="50"/>
      <c r="L11" s="50"/>
      <c r="M11" s="50"/>
      <c r="N11" s="50"/>
      <c r="O11" s="50"/>
      <c r="P11" s="50"/>
      <c r="Q11" s="50"/>
      <c r="R11" s="50"/>
      <c r="S11" s="50"/>
      <c r="T11" s="50"/>
      <c r="U11" s="50"/>
      <c r="V11" s="50"/>
      <c r="W11" s="50"/>
      <c r="X11" s="50"/>
      <c r="Y11" s="50"/>
      <c r="Z11" s="50"/>
      <c r="AA11" s="50"/>
      <c r="AB11" s="50"/>
      <c r="AC11" s="50"/>
    </row>
    <row r="12" spans="1:29">
      <c r="A12" s="564" t="s">
        <v>1821</v>
      </c>
      <c r="B12" s="563"/>
      <c r="C12" s="563"/>
      <c r="D12" s="563"/>
      <c r="E12" s="563"/>
      <c r="F12" s="563"/>
      <c r="G12" s="563"/>
      <c r="H12" s="563"/>
      <c r="I12" s="47"/>
      <c r="J12" s="47"/>
      <c r="K12" s="50"/>
      <c r="L12" s="50"/>
      <c r="M12" s="50"/>
      <c r="N12" s="50"/>
      <c r="O12" s="50"/>
      <c r="P12" s="50"/>
      <c r="Q12" s="50"/>
      <c r="R12" s="50"/>
      <c r="S12" s="50"/>
      <c r="T12" s="50"/>
      <c r="U12" s="50"/>
      <c r="V12" s="50"/>
      <c r="W12" s="50"/>
      <c r="X12" s="50"/>
      <c r="Y12" s="50"/>
      <c r="Z12" s="50"/>
      <c r="AA12" s="50"/>
      <c r="AB12" s="50"/>
      <c r="AC12" s="50"/>
    </row>
    <row r="13" spans="1:29">
      <c r="A13" s="563"/>
      <c r="B13" s="563"/>
      <c r="C13" s="563"/>
      <c r="D13" s="563"/>
      <c r="E13" s="563"/>
      <c r="F13" s="563"/>
      <c r="G13" s="563"/>
      <c r="H13" s="563"/>
      <c r="I13" s="47"/>
      <c r="J13" s="47"/>
      <c r="K13" s="50"/>
      <c r="L13" s="50"/>
      <c r="M13" s="50"/>
      <c r="N13" s="50"/>
      <c r="O13" s="50"/>
      <c r="P13" s="50"/>
      <c r="Q13" s="50"/>
      <c r="R13" s="50"/>
      <c r="S13" s="50"/>
      <c r="T13" s="50"/>
      <c r="U13" s="50"/>
      <c r="V13" s="50"/>
      <c r="W13" s="50"/>
      <c r="X13" s="50"/>
      <c r="Y13" s="50"/>
      <c r="Z13" s="50"/>
      <c r="AA13" s="50"/>
      <c r="AB13" s="50"/>
      <c r="AC13" s="50"/>
    </row>
    <row r="14" spans="1:29">
      <c r="A14" s="563"/>
      <c r="B14" s="563"/>
      <c r="C14" s="563"/>
      <c r="D14" s="563"/>
      <c r="E14" s="563"/>
      <c r="F14" s="563"/>
      <c r="G14" s="563"/>
      <c r="H14" s="563"/>
      <c r="I14" s="47"/>
      <c r="J14" s="47"/>
      <c r="K14" s="50"/>
      <c r="L14" s="50"/>
      <c r="M14" s="50"/>
      <c r="N14" s="50"/>
      <c r="O14" s="50"/>
      <c r="P14" s="50"/>
      <c r="Q14" s="50"/>
      <c r="R14" s="50"/>
      <c r="S14" s="50"/>
      <c r="T14" s="50"/>
      <c r="U14" s="50"/>
      <c r="V14" s="50"/>
      <c r="W14" s="50"/>
      <c r="X14" s="50"/>
      <c r="Y14" s="50"/>
      <c r="Z14" s="50"/>
      <c r="AA14" s="50"/>
      <c r="AB14" s="50"/>
      <c r="AC14" s="50"/>
    </row>
    <row r="15" spans="1:29">
      <c r="A15" s="563"/>
      <c r="B15" s="563"/>
      <c r="C15" s="563"/>
      <c r="D15" s="563"/>
      <c r="E15" s="563"/>
      <c r="F15" s="563"/>
      <c r="G15" s="563"/>
      <c r="H15" s="563"/>
      <c r="I15" s="47"/>
      <c r="J15" s="47"/>
      <c r="K15" s="50"/>
      <c r="L15" s="50"/>
      <c r="M15" s="50"/>
      <c r="N15" s="50"/>
      <c r="O15" s="50"/>
      <c r="P15" s="50"/>
      <c r="Q15" s="50"/>
      <c r="R15" s="50"/>
      <c r="S15" s="50"/>
      <c r="T15" s="50"/>
      <c r="U15" s="50"/>
      <c r="V15" s="50"/>
      <c r="W15" s="50"/>
      <c r="X15" s="50"/>
      <c r="Y15" s="50"/>
      <c r="Z15" s="50"/>
      <c r="AA15" s="50"/>
      <c r="AB15" s="50"/>
      <c r="AC15" s="50"/>
    </row>
    <row r="16" spans="1:29">
      <c r="A16" s="563"/>
      <c r="B16" s="563"/>
      <c r="C16" s="563"/>
      <c r="D16" s="563"/>
      <c r="E16" s="563"/>
      <c r="F16" s="563"/>
      <c r="G16" s="563"/>
      <c r="H16" s="563"/>
      <c r="I16" s="47"/>
      <c r="J16" s="47"/>
      <c r="K16" s="50"/>
      <c r="L16" s="50"/>
      <c r="M16" s="50"/>
      <c r="N16" s="50"/>
      <c r="O16" s="50"/>
      <c r="P16" s="50"/>
      <c r="Q16" s="50"/>
      <c r="R16" s="50"/>
      <c r="S16" s="50"/>
      <c r="T16" s="50"/>
      <c r="U16" s="50"/>
      <c r="V16" s="50"/>
      <c r="W16" s="50"/>
      <c r="X16" s="50"/>
      <c r="Y16" s="50"/>
      <c r="Z16" s="50"/>
      <c r="AA16" s="50"/>
      <c r="AB16" s="50"/>
      <c r="AC16" s="50"/>
    </row>
    <row r="17" spans="1:29">
      <c r="A17" s="563"/>
      <c r="B17" s="563"/>
      <c r="C17" s="563"/>
      <c r="D17" s="563"/>
      <c r="E17" s="563"/>
      <c r="F17" s="563"/>
      <c r="G17" s="563"/>
      <c r="H17" s="563"/>
      <c r="I17" s="47"/>
      <c r="J17" s="47"/>
      <c r="K17" s="50"/>
      <c r="L17" s="50"/>
      <c r="M17" s="50"/>
      <c r="N17" s="50"/>
      <c r="O17" s="50"/>
      <c r="P17" s="50"/>
      <c r="Q17" s="50"/>
      <c r="R17" s="50"/>
      <c r="S17" s="50"/>
      <c r="T17" s="50"/>
      <c r="U17" s="50"/>
      <c r="V17" s="50"/>
      <c r="W17" s="50"/>
      <c r="X17" s="50"/>
      <c r="Y17" s="50"/>
      <c r="Z17" s="50"/>
      <c r="AA17" s="50"/>
      <c r="AB17" s="50"/>
      <c r="AC17" s="50"/>
    </row>
    <row r="18" spans="1:29" ht="29.25" customHeight="1">
      <c r="A18" s="563"/>
      <c r="B18" s="563"/>
      <c r="C18" s="563"/>
      <c r="D18" s="563"/>
      <c r="E18" s="563"/>
      <c r="F18" s="563"/>
      <c r="G18" s="563"/>
      <c r="H18" s="563"/>
      <c r="I18" s="47"/>
      <c r="J18" s="47"/>
      <c r="K18" s="50"/>
      <c r="L18" s="50"/>
      <c r="M18" s="50"/>
      <c r="N18" s="50"/>
      <c r="O18" s="50"/>
      <c r="P18" s="50"/>
      <c r="Q18" s="50"/>
      <c r="R18" s="50"/>
      <c r="S18" s="50"/>
      <c r="T18" s="50"/>
      <c r="U18" s="50"/>
      <c r="V18" s="50"/>
      <c r="W18" s="50"/>
      <c r="X18" s="50"/>
      <c r="Y18" s="50"/>
      <c r="Z18" s="50"/>
      <c r="AA18" s="50"/>
      <c r="AB18" s="50"/>
      <c r="AC18" s="50"/>
    </row>
    <row r="19" spans="1:29">
      <c r="A19" s="285"/>
      <c r="B19" s="285"/>
      <c r="C19" s="285"/>
      <c r="D19" s="285"/>
      <c r="E19" s="285"/>
      <c r="F19" s="285"/>
      <c r="G19" s="285"/>
      <c r="H19" s="285"/>
      <c r="I19" s="47"/>
      <c r="J19" s="47"/>
      <c r="K19" s="50"/>
      <c r="L19" s="50"/>
      <c r="M19" s="50"/>
      <c r="N19" s="50"/>
      <c r="O19" s="50"/>
      <c r="P19" s="50"/>
      <c r="Q19" s="50"/>
      <c r="R19" s="50"/>
      <c r="S19" s="50"/>
      <c r="T19" s="50"/>
      <c r="U19" s="50"/>
      <c r="V19" s="50"/>
      <c r="W19" s="50"/>
      <c r="X19" s="50"/>
      <c r="Y19" s="50"/>
      <c r="Z19" s="50"/>
      <c r="AA19" s="50"/>
      <c r="AB19" s="50"/>
      <c r="AC19" s="50"/>
    </row>
    <row r="20" spans="1:29" ht="15.5">
      <c r="A20" s="58" t="s">
        <v>1228</v>
      </c>
      <c r="B20" s="59"/>
      <c r="C20" s="59"/>
      <c r="D20" s="59"/>
      <c r="E20" s="59"/>
      <c r="F20" s="59"/>
      <c r="G20" s="59"/>
      <c r="H20" s="59"/>
      <c r="I20" s="47"/>
      <c r="J20" s="47"/>
      <c r="K20" s="50"/>
      <c r="L20" s="50"/>
      <c r="M20" s="50"/>
      <c r="N20" s="50"/>
      <c r="O20" s="50"/>
      <c r="P20" s="50"/>
      <c r="Q20" s="50"/>
      <c r="R20" s="50"/>
      <c r="S20" s="50"/>
      <c r="T20" s="50"/>
      <c r="U20" s="50"/>
      <c r="V20" s="50"/>
      <c r="W20" s="50"/>
      <c r="X20" s="50"/>
      <c r="Y20" s="50"/>
      <c r="Z20" s="50"/>
      <c r="AA20" s="50"/>
      <c r="AB20" s="50"/>
      <c r="AC20" s="50"/>
    </row>
    <row r="21" spans="1:29">
      <c r="A21" s="562" t="s">
        <v>1822</v>
      </c>
      <c r="B21" s="563"/>
      <c r="C21" s="563"/>
      <c r="D21" s="563"/>
      <c r="E21" s="563"/>
      <c r="F21" s="563"/>
      <c r="G21" s="563"/>
      <c r="H21" s="563"/>
      <c r="I21" s="47"/>
      <c r="J21" s="47"/>
      <c r="K21" s="50"/>
      <c r="L21" s="50"/>
      <c r="M21" s="50"/>
      <c r="N21" s="50"/>
      <c r="O21" s="50"/>
      <c r="P21" s="50"/>
      <c r="Q21" s="50"/>
      <c r="R21" s="50"/>
      <c r="S21" s="50"/>
      <c r="T21" s="50"/>
      <c r="U21" s="50"/>
      <c r="V21" s="50"/>
      <c r="W21" s="50"/>
      <c r="X21" s="50"/>
      <c r="Y21" s="50"/>
      <c r="Z21" s="50"/>
      <c r="AA21" s="50"/>
      <c r="AB21" s="50"/>
      <c r="AC21" s="50"/>
    </row>
    <row r="22" spans="1:29">
      <c r="A22" s="563"/>
      <c r="B22" s="563"/>
      <c r="C22" s="563"/>
      <c r="D22" s="563"/>
      <c r="E22" s="563"/>
      <c r="F22" s="563"/>
      <c r="G22" s="563"/>
      <c r="H22" s="563"/>
      <c r="I22" s="47"/>
      <c r="J22" s="47"/>
      <c r="K22" s="50"/>
      <c r="L22" s="50"/>
      <c r="M22" s="50"/>
      <c r="N22" s="50"/>
      <c r="O22" s="50"/>
      <c r="P22" s="50"/>
      <c r="Q22" s="50"/>
      <c r="R22" s="50"/>
      <c r="S22" s="50"/>
      <c r="T22" s="50"/>
      <c r="U22" s="50"/>
      <c r="V22" s="50"/>
      <c r="W22" s="50"/>
      <c r="X22" s="50"/>
      <c r="Y22" s="50"/>
      <c r="Z22" s="50"/>
      <c r="AA22" s="50"/>
      <c r="AB22" s="50"/>
      <c r="AC22" s="50"/>
    </row>
    <row r="23" spans="1:29">
      <c r="A23" s="563"/>
      <c r="B23" s="563"/>
      <c r="C23" s="563"/>
      <c r="D23" s="563"/>
      <c r="E23" s="563"/>
      <c r="F23" s="563"/>
      <c r="G23" s="563"/>
      <c r="H23" s="563"/>
      <c r="I23" s="47"/>
      <c r="J23" s="47"/>
      <c r="K23" s="50"/>
      <c r="L23" s="50"/>
      <c r="M23" s="50"/>
      <c r="N23" s="50"/>
      <c r="O23" s="50"/>
      <c r="P23" s="50"/>
      <c r="Q23" s="50"/>
      <c r="R23" s="50"/>
      <c r="S23" s="50"/>
      <c r="T23" s="50"/>
      <c r="U23" s="50"/>
      <c r="V23" s="50"/>
      <c r="W23" s="50"/>
      <c r="X23" s="50"/>
      <c r="Y23" s="50"/>
      <c r="Z23" s="50"/>
      <c r="AA23" s="50"/>
      <c r="AB23" s="50"/>
      <c r="AC23" s="50"/>
    </row>
    <row r="24" spans="1:29">
      <c r="A24" s="563"/>
      <c r="B24" s="563"/>
      <c r="C24" s="563"/>
      <c r="D24" s="563"/>
      <c r="E24" s="563"/>
      <c r="F24" s="563"/>
      <c r="G24" s="563"/>
      <c r="H24" s="563"/>
      <c r="I24" s="47"/>
      <c r="J24" s="47"/>
      <c r="K24" s="50"/>
      <c r="L24" s="50"/>
      <c r="M24" s="50"/>
      <c r="N24" s="50"/>
      <c r="O24" s="50"/>
      <c r="P24" s="50"/>
      <c r="Q24" s="50"/>
      <c r="R24" s="50"/>
      <c r="S24" s="50"/>
      <c r="T24" s="50"/>
      <c r="U24" s="50"/>
      <c r="V24" s="50"/>
      <c r="W24" s="50"/>
      <c r="X24" s="50"/>
      <c r="Y24" s="50"/>
      <c r="Z24" s="50"/>
      <c r="AA24" s="50"/>
      <c r="AB24" s="50"/>
      <c r="AC24" s="50"/>
    </row>
    <row r="25" spans="1:29" ht="30.75" customHeight="1">
      <c r="A25" s="563"/>
      <c r="B25" s="563"/>
      <c r="C25" s="563"/>
      <c r="D25" s="563"/>
      <c r="E25" s="563"/>
      <c r="F25" s="563"/>
      <c r="G25" s="563"/>
      <c r="H25" s="563"/>
      <c r="I25" s="47"/>
      <c r="J25" s="47"/>
      <c r="K25" s="50"/>
      <c r="L25" s="50"/>
      <c r="M25" s="50"/>
      <c r="N25" s="50"/>
      <c r="O25" s="50"/>
      <c r="P25" s="50"/>
      <c r="Q25" s="50"/>
      <c r="R25" s="50"/>
      <c r="S25" s="50"/>
      <c r="T25" s="50"/>
      <c r="U25" s="50"/>
      <c r="V25" s="50"/>
      <c r="W25" s="50"/>
      <c r="X25" s="50"/>
      <c r="Y25" s="50"/>
      <c r="Z25" s="50"/>
      <c r="AA25" s="50"/>
      <c r="AB25" s="50"/>
      <c r="AC25" s="50"/>
    </row>
    <row r="26" spans="1:29">
      <c r="A26" s="285"/>
      <c r="B26" s="285"/>
      <c r="C26" s="285"/>
      <c r="D26" s="285"/>
      <c r="E26" s="285"/>
      <c r="F26" s="285"/>
      <c r="G26" s="285"/>
      <c r="H26" s="285"/>
      <c r="I26" s="47"/>
      <c r="J26" s="47"/>
      <c r="K26" s="50"/>
      <c r="L26" s="50"/>
      <c r="M26" s="50"/>
      <c r="N26" s="50"/>
      <c r="O26" s="50"/>
      <c r="P26" s="50"/>
      <c r="Q26" s="50"/>
      <c r="R26" s="50"/>
      <c r="S26" s="50"/>
      <c r="T26" s="50"/>
      <c r="U26" s="50"/>
      <c r="V26" s="50"/>
      <c r="W26" s="50"/>
      <c r="X26" s="50"/>
      <c r="Y26" s="50"/>
      <c r="Z26" s="50"/>
      <c r="AA26" s="50"/>
      <c r="AB26" s="50"/>
      <c r="AC26" s="50"/>
    </row>
    <row r="27" spans="1:29" ht="15.5">
      <c r="A27" s="58" t="s">
        <v>861</v>
      </c>
      <c r="B27" s="59"/>
      <c r="C27" s="59"/>
      <c r="D27" s="59"/>
      <c r="E27" s="59"/>
      <c r="F27" s="59"/>
      <c r="G27" s="59"/>
      <c r="H27" s="59"/>
      <c r="I27" s="47"/>
      <c r="J27" s="47"/>
      <c r="K27" s="50"/>
      <c r="L27" s="50"/>
      <c r="M27" s="50"/>
      <c r="N27" s="50"/>
      <c r="O27" s="50"/>
      <c r="P27" s="50"/>
      <c r="Q27" s="50"/>
      <c r="R27" s="50"/>
      <c r="S27" s="50"/>
      <c r="T27" s="50"/>
      <c r="U27" s="50"/>
      <c r="V27" s="50"/>
      <c r="W27" s="50"/>
      <c r="X27" s="50"/>
      <c r="Y27" s="50"/>
      <c r="Z27" s="50"/>
      <c r="AA27" s="50"/>
      <c r="AB27" s="50"/>
      <c r="AC27" s="50"/>
    </row>
    <row r="28" spans="1:29">
      <c r="A28" s="564" t="s">
        <v>2291</v>
      </c>
      <c r="B28" s="563"/>
      <c r="C28" s="563"/>
      <c r="D28" s="563"/>
      <c r="E28" s="563"/>
      <c r="F28" s="563"/>
      <c r="G28" s="563"/>
      <c r="H28" s="563"/>
      <c r="I28" s="47"/>
      <c r="J28" s="47"/>
      <c r="K28" s="50"/>
      <c r="L28" s="50"/>
      <c r="M28" s="50"/>
      <c r="N28" s="50"/>
      <c r="O28" s="50"/>
      <c r="P28" s="50"/>
      <c r="Q28" s="50"/>
      <c r="R28" s="50"/>
      <c r="S28" s="50"/>
      <c r="T28" s="50"/>
      <c r="U28" s="50"/>
      <c r="V28" s="50"/>
      <c r="W28" s="50"/>
      <c r="X28" s="50"/>
      <c r="Y28" s="50"/>
      <c r="Z28" s="50"/>
      <c r="AA28" s="50"/>
      <c r="AB28" s="50"/>
      <c r="AC28" s="50"/>
    </row>
    <row r="29" spans="1:29">
      <c r="A29" s="563"/>
      <c r="B29" s="563"/>
      <c r="C29" s="563"/>
      <c r="D29" s="563"/>
      <c r="E29" s="563"/>
      <c r="F29" s="563"/>
      <c r="G29" s="563"/>
      <c r="H29" s="563"/>
      <c r="I29" s="47"/>
      <c r="J29" s="47"/>
      <c r="K29" s="50"/>
      <c r="L29" s="50"/>
      <c r="M29" s="50"/>
      <c r="N29" s="50"/>
      <c r="O29" s="50"/>
      <c r="P29" s="50"/>
      <c r="Q29" s="50"/>
      <c r="R29" s="50"/>
      <c r="S29" s="50"/>
      <c r="T29" s="50"/>
      <c r="U29" s="50"/>
      <c r="V29" s="50"/>
      <c r="W29" s="50"/>
      <c r="X29" s="50"/>
      <c r="Y29" s="50"/>
      <c r="Z29" s="50"/>
      <c r="AA29" s="50"/>
      <c r="AB29" s="50"/>
      <c r="AC29" s="50"/>
    </row>
    <row r="30" spans="1:29">
      <c r="A30" s="563"/>
      <c r="B30" s="563"/>
      <c r="C30" s="563"/>
      <c r="D30" s="563"/>
      <c r="E30" s="563"/>
      <c r="F30" s="563"/>
      <c r="G30" s="563"/>
      <c r="H30" s="563"/>
      <c r="I30" s="47"/>
      <c r="J30" s="47"/>
      <c r="K30" s="50"/>
      <c r="L30" s="50"/>
      <c r="M30" s="50"/>
      <c r="N30" s="50"/>
      <c r="O30" s="50"/>
      <c r="P30" s="50"/>
      <c r="Q30" s="50"/>
      <c r="R30" s="50"/>
      <c r="S30" s="50"/>
      <c r="T30" s="50"/>
      <c r="U30" s="50"/>
      <c r="V30" s="50"/>
      <c r="W30" s="50"/>
      <c r="X30" s="50"/>
      <c r="Y30" s="50"/>
      <c r="Z30" s="50"/>
      <c r="AA30" s="50"/>
      <c r="AB30" s="50"/>
      <c r="AC30" s="50"/>
    </row>
    <row r="31" spans="1:29">
      <c r="A31" s="563"/>
      <c r="B31" s="563"/>
      <c r="C31" s="563"/>
      <c r="D31" s="563"/>
      <c r="E31" s="563"/>
      <c r="F31" s="563"/>
      <c r="G31" s="563"/>
      <c r="H31" s="563"/>
      <c r="I31" s="47"/>
      <c r="J31" s="47"/>
      <c r="K31" s="50"/>
      <c r="L31" s="50"/>
      <c r="M31" s="50"/>
      <c r="N31" s="50"/>
      <c r="O31" s="50"/>
      <c r="P31" s="50"/>
      <c r="Q31" s="50"/>
      <c r="R31" s="50"/>
      <c r="S31" s="50"/>
      <c r="T31" s="50"/>
      <c r="U31" s="50"/>
      <c r="V31" s="50"/>
      <c r="W31" s="50"/>
      <c r="X31" s="50"/>
      <c r="Y31" s="50"/>
      <c r="Z31" s="50"/>
      <c r="AA31" s="50"/>
      <c r="AB31" s="50"/>
      <c r="AC31" s="50"/>
    </row>
    <row r="32" spans="1:29">
      <c r="A32" s="563"/>
      <c r="B32" s="563"/>
      <c r="C32" s="563"/>
      <c r="D32" s="563"/>
      <c r="E32" s="563"/>
      <c r="F32" s="563"/>
      <c r="G32" s="563"/>
      <c r="H32" s="563"/>
      <c r="I32" s="47"/>
      <c r="J32" s="47"/>
      <c r="K32" s="50"/>
      <c r="L32" s="50"/>
      <c r="M32" s="50"/>
      <c r="N32" s="50"/>
      <c r="O32" s="50"/>
      <c r="P32" s="50"/>
      <c r="Q32" s="50"/>
      <c r="R32" s="50"/>
      <c r="S32" s="50"/>
      <c r="T32" s="50"/>
      <c r="U32" s="50"/>
      <c r="V32" s="50"/>
      <c r="W32" s="50"/>
      <c r="X32" s="50"/>
      <c r="Y32" s="50"/>
      <c r="Z32" s="50"/>
      <c r="AA32" s="50"/>
      <c r="AB32" s="50"/>
      <c r="AC32" s="50"/>
    </row>
    <row r="33" spans="1:29">
      <c r="A33" s="47"/>
      <c r="B33" s="47"/>
      <c r="C33" s="47"/>
      <c r="D33" s="47"/>
      <c r="E33" s="47"/>
      <c r="F33" s="47"/>
      <c r="G33" s="47"/>
      <c r="H33" s="47"/>
      <c r="I33" s="47"/>
      <c r="J33" s="47"/>
      <c r="K33" s="50"/>
      <c r="L33" s="50"/>
      <c r="M33" s="50"/>
      <c r="N33" s="50"/>
      <c r="O33" s="50"/>
      <c r="P33" s="50"/>
      <c r="Q33" s="50"/>
      <c r="R33" s="50"/>
      <c r="S33" s="50"/>
      <c r="T33" s="50"/>
      <c r="U33" s="50"/>
      <c r="V33" s="50"/>
      <c r="W33" s="50"/>
      <c r="X33" s="50"/>
      <c r="Y33" s="50"/>
      <c r="Z33" s="50"/>
      <c r="AA33" s="50"/>
      <c r="AB33" s="50"/>
      <c r="AC33" s="50"/>
    </row>
    <row r="34" spans="1:29">
      <c r="A34" s="46" t="s">
        <v>1272</v>
      </c>
      <c r="B34" s="46"/>
      <c r="C34" s="46"/>
      <c r="D34" s="47"/>
      <c r="E34" s="47"/>
      <c r="F34" s="47"/>
      <c r="G34" s="47"/>
      <c r="H34" s="47"/>
      <c r="I34" s="47"/>
      <c r="J34" s="47"/>
      <c r="K34" s="50"/>
      <c r="L34" s="50"/>
      <c r="M34" s="50"/>
      <c r="N34" s="50"/>
      <c r="O34" s="50"/>
      <c r="P34" s="50"/>
      <c r="Q34" s="50"/>
      <c r="R34" s="50"/>
      <c r="S34" s="50"/>
      <c r="T34" s="50"/>
      <c r="U34" s="50"/>
      <c r="V34" s="50"/>
      <c r="W34" s="50"/>
      <c r="X34" s="50"/>
      <c r="Y34" s="50"/>
      <c r="Z34" s="50"/>
      <c r="AA34" s="50"/>
      <c r="AB34" s="50"/>
      <c r="AC34" s="50"/>
    </row>
    <row r="35" spans="1:29">
      <c r="A35" s="320" t="s">
        <v>1431</v>
      </c>
      <c r="B35" s="320"/>
      <c r="C35" s="434">
        <f>'Investment Recommendation'!B42</f>
        <v>450</v>
      </c>
      <c r="D35" s="47"/>
      <c r="E35" s="429" t="s">
        <v>2151</v>
      </c>
      <c r="F35" s="429"/>
      <c r="G35" s="47"/>
      <c r="H35" s="47"/>
      <c r="I35" s="47"/>
      <c r="J35" s="47"/>
      <c r="K35" s="50"/>
      <c r="L35" s="50"/>
      <c r="M35" s="50"/>
      <c r="N35" s="50"/>
      <c r="O35" s="50"/>
      <c r="P35" s="50"/>
      <c r="Q35" s="50"/>
      <c r="R35" s="50"/>
      <c r="S35" s="50"/>
      <c r="T35" s="50"/>
      <c r="U35" s="50"/>
      <c r="V35" s="50"/>
      <c r="W35" s="50"/>
      <c r="X35" s="50"/>
      <c r="Y35" s="50"/>
      <c r="Z35" s="50"/>
      <c r="AA35" s="50"/>
      <c r="AB35" s="50"/>
      <c r="AC35" s="50"/>
    </row>
    <row r="36" spans="1:29">
      <c r="A36" s="320" t="s">
        <v>1430</v>
      </c>
      <c r="B36" s="320"/>
      <c r="C36" s="471">
        <f>'Investment Recommendation'!B43</f>
        <v>389.90639339738749</v>
      </c>
      <c r="D36" s="47"/>
      <c r="E36" s="416" t="s">
        <v>2152</v>
      </c>
      <c r="F36" s="416"/>
      <c r="G36" s="47"/>
      <c r="H36" s="47"/>
      <c r="I36" s="47"/>
      <c r="J36" s="47"/>
      <c r="K36" s="50"/>
      <c r="L36" s="50"/>
      <c r="M36" s="50"/>
      <c r="N36" s="50"/>
      <c r="O36" s="50"/>
      <c r="P36" s="50"/>
      <c r="Q36" s="50"/>
      <c r="R36" s="50"/>
      <c r="S36" s="50"/>
      <c r="T36" s="50"/>
      <c r="U36" s="50"/>
      <c r="V36" s="50"/>
      <c r="W36" s="50"/>
      <c r="X36" s="50"/>
      <c r="Y36" s="50"/>
      <c r="Z36" s="50"/>
      <c r="AA36" s="50"/>
      <c r="AB36" s="50"/>
      <c r="AC36" s="50"/>
    </row>
    <row r="37" spans="1:29">
      <c r="A37" s="320" t="s">
        <v>1857</v>
      </c>
      <c r="B37" s="320"/>
      <c r="C37" s="442">
        <f>'Investment Recommendation'!B44</f>
        <v>-0.13354134800580558</v>
      </c>
      <c r="D37" s="47"/>
      <c r="E37" s="63" t="s">
        <v>2153</v>
      </c>
      <c r="F37" s="63"/>
      <c r="G37" s="47"/>
      <c r="H37" s="47"/>
      <c r="I37" s="47"/>
      <c r="J37" s="47"/>
      <c r="K37" s="50"/>
      <c r="L37" s="50"/>
      <c r="M37" s="50"/>
      <c r="N37" s="50"/>
      <c r="O37" s="50"/>
      <c r="P37" s="50"/>
      <c r="Q37" s="50"/>
      <c r="R37" s="50"/>
      <c r="S37" s="50"/>
      <c r="T37" s="50"/>
      <c r="U37" s="50"/>
      <c r="V37" s="50"/>
      <c r="W37" s="50"/>
      <c r="X37" s="50"/>
      <c r="Y37" s="50"/>
      <c r="Z37" s="50"/>
      <c r="AA37" s="50"/>
      <c r="AB37" s="50"/>
      <c r="AC37" s="50"/>
    </row>
    <row r="38" spans="1:29" ht="20">
      <c r="A38" s="524" t="s">
        <v>1429</v>
      </c>
      <c r="B38" s="524"/>
      <c r="C38" s="525" t="str">
        <f>'Investment Recommendation'!B45</f>
        <v>SELL</v>
      </c>
      <c r="D38" s="47"/>
      <c r="E38" s="47"/>
      <c r="F38" s="47"/>
      <c r="G38" s="47"/>
      <c r="H38" s="47"/>
      <c r="I38" s="47"/>
      <c r="J38" s="47"/>
      <c r="K38" s="50"/>
      <c r="L38" s="50"/>
      <c r="M38" s="50"/>
      <c r="N38" s="50"/>
      <c r="O38" s="50"/>
      <c r="P38" s="50"/>
      <c r="Q38" s="50"/>
      <c r="R38" s="50"/>
      <c r="S38" s="50"/>
      <c r="T38" s="50"/>
      <c r="U38" s="50"/>
      <c r="V38" s="50"/>
      <c r="W38" s="50"/>
      <c r="X38" s="50"/>
      <c r="Y38" s="50"/>
      <c r="Z38" s="50"/>
      <c r="AA38" s="50"/>
      <c r="AB38" s="50"/>
      <c r="AC38" s="50"/>
    </row>
    <row r="39" spans="1:29">
      <c r="A39" s="47"/>
      <c r="B39" s="47"/>
      <c r="C39" s="47"/>
      <c r="D39" s="47"/>
      <c r="E39" s="47"/>
      <c r="F39" s="47"/>
      <c r="G39" s="47"/>
      <c r="H39" s="47"/>
      <c r="I39" s="47"/>
      <c r="J39" s="47"/>
      <c r="K39" s="50"/>
      <c r="L39" s="50"/>
      <c r="M39" s="50"/>
      <c r="N39" s="50"/>
      <c r="O39" s="50"/>
      <c r="P39" s="50"/>
      <c r="Q39" s="50"/>
      <c r="R39" s="50"/>
      <c r="S39" s="50"/>
      <c r="T39" s="50"/>
      <c r="U39" s="50"/>
      <c r="V39" s="50"/>
      <c r="W39" s="50"/>
      <c r="X39" s="50"/>
      <c r="Y39" s="50"/>
      <c r="Z39" s="50"/>
      <c r="AA39" s="50"/>
      <c r="AB39" s="50"/>
      <c r="AC39" s="50"/>
    </row>
    <row r="40" spans="1:29">
      <c r="A40" s="46" t="s">
        <v>489</v>
      </c>
      <c r="B40" s="46"/>
      <c r="C40" s="46"/>
      <c r="D40" s="47"/>
      <c r="E40" s="47"/>
      <c r="F40" s="47"/>
      <c r="G40" s="47"/>
      <c r="H40" s="47"/>
      <c r="I40" s="47"/>
      <c r="J40" s="47"/>
      <c r="K40" s="50"/>
      <c r="L40" s="50"/>
      <c r="M40" s="50"/>
      <c r="N40" s="50"/>
      <c r="O40" s="50"/>
      <c r="P40" s="50"/>
      <c r="Q40" s="50"/>
      <c r="R40" s="50"/>
      <c r="S40" s="50"/>
      <c r="T40" s="50"/>
      <c r="U40" s="50"/>
      <c r="V40" s="50"/>
      <c r="W40" s="50"/>
      <c r="X40" s="50"/>
      <c r="Y40" s="50"/>
      <c r="Z40" s="50"/>
      <c r="AA40" s="50"/>
      <c r="AB40" s="50"/>
      <c r="AC40" s="50"/>
    </row>
    <row r="41" spans="1:29">
      <c r="A41" s="320" t="s">
        <v>1426</v>
      </c>
      <c r="B41" s="320"/>
      <c r="C41" s="88">
        <f>Summary!B20</f>
        <v>0.16481027951126981</v>
      </c>
      <c r="D41" s="47"/>
      <c r="E41" s="47"/>
      <c r="F41" s="47"/>
      <c r="G41" s="47"/>
      <c r="H41" s="47"/>
      <c r="I41" s="47"/>
      <c r="J41" s="47"/>
      <c r="K41" s="50"/>
      <c r="L41" s="50"/>
      <c r="M41" s="50"/>
      <c r="N41" s="50"/>
      <c r="O41" s="50"/>
      <c r="P41" s="50"/>
      <c r="Q41" s="50"/>
      <c r="R41" s="50"/>
      <c r="S41" s="50"/>
      <c r="T41" s="50"/>
      <c r="U41" s="50"/>
      <c r="V41" s="50"/>
      <c r="W41" s="50"/>
      <c r="X41" s="50"/>
      <c r="Y41" s="50"/>
      <c r="Z41" s="50"/>
      <c r="AA41" s="50"/>
      <c r="AB41" s="50"/>
      <c r="AC41" s="50"/>
    </row>
    <row r="42" spans="1:29">
      <c r="A42" s="320" t="s">
        <v>1427</v>
      </c>
      <c r="B42" s="320"/>
      <c r="C42" s="88">
        <f>Summary!B23</f>
        <v>0.54497449207231408</v>
      </c>
      <c r="D42" s="47"/>
      <c r="E42" s="47"/>
      <c r="F42" s="47"/>
      <c r="G42" s="47"/>
      <c r="H42" s="47"/>
      <c r="I42" s="47"/>
      <c r="J42" s="47"/>
      <c r="K42" s="50"/>
      <c r="L42" s="50"/>
      <c r="M42" s="50"/>
      <c r="N42" s="50"/>
      <c r="O42" s="50"/>
      <c r="P42" s="50"/>
      <c r="Q42" s="50"/>
      <c r="R42" s="50"/>
      <c r="S42" s="50"/>
      <c r="T42" s="50"/>
      <c r="U42" s="50"/>
      <c r="V42" s="50"/>
      <c r="W42" s="50"/>
      <c r="X42" s="50"/>
      <c r="Y42" s="50"/>
      <c r="Z42" s="50"/>
      <c r="AA42" s="50"/>
      <c r="AB42" s="50"/>
      <c r="AC42" s="50"/>
    </row>
    <row r="43" spans="1:29">
      <c r="A43" s="320" t="s">
        <v>1428</v>
      </c>
      <c r="B43" s="320"/>
      <c r="C43" s="88">
        <f>Summary!B15</f>
        <v>1.2358409936200008</v>
      </c>
      <c r="D43" s="47"/>
      <c r="E43" s="47"/>
      <c r="F43" s="47"/>
      <c r="G43" s="47"/>
      <c r="H43" s="47"/>
      <c r="I43" s="47"/>
      <c r="J43" s="47"/>
      <c r="K43" s="50"/>
      <c r="L43" s="50"/>
      <c r="M43" s="50"/>
      <c r="N43" s="50"/>
      <c r="O43" s="50"/>
      <c r="P43" s="50"/>
      <c r="Q43" s="50"/>
      <c r="R43" s="50"/>
      <c r="S43" s="50"/>
      <c r="T43" s="50"/>
      <c r="U43" s="50"/>
      <c r="V43" s="50"/>
      <c r="W43" s="50"/>
      <c r="X43" s="50"/>
      <c r="Y43" s="50"/>
      <c r="Z43" s="50"/>
      <c r="AA43" s="50"/>
      <c r="AB43" s="50"/>
      <c r="AC43" s="50"/>
    </row>
    <row r="44" spans="1:29">
      <c r="A44" s="320" t="s">
        <v>1434</v>
      </c>
      <c r="B44" s="320"/>
      <c r="C44" s="472">
        <f>Summary!B16</f>
        <v>111160.97902511453</v>
      </c>
      <c r="D44" s="47"/>
      <c r="E44" s="47"/>
      <c r="F44" s="47"/>
      <c r="G44" s="47"/>
      <c r="H44" s="47"/>
      <c r="I44" s="47"/>
      <c r="J44" s="47"/>
      <c r="K44" s="50"/>
      <c r="L44" s="50"/>
      <c r="M44" s="50"/>
      <c r="N44" s="50"/>
      <c r="O44" s="50"/>
      <c r="P44" s="50"/>
      <c r="Q44" s="50"/>
      <c r="R44" s="50"/>
      <c r="S44" s="50"/>
      <c r="T44" s="50"/>
      <c r="U44" s="50"/>
      <c r="V44" s="50"/>
      <c r="W44" s="50"/>
      <c r="X44" s="50"/>
      <c r="Y44" s="50"/>
      <c r="Z44" s="50"/>
      <c r="AA44" s="50"/>
      <c r="AB44" s="50"/>
      <c r="AC44" s="50"/>
    </row>
    <row r="45" spans="1:29">
      <c r="A45" s="47"/>
      <c r="B45" s="47"/>
      <c r="C45" s="47"/>
      <c r="D45" s="47"/>
      <c r="E45" s="47"/>
      <c r="F45" s="47"/>
      <c r="G45" s="47"/>
      <c r="H45" s="47"/>
      <c r="I45" s="47"/>
      <c r="J45" s="47"/>
      <c r="K45" s="50"/>
      <c r="L45" s="50"/>
      <c r="M45" s="50"/>
      <c r="N45" s="50"/>
      <c r="O45" s="50"/>
      <c r="P45" s="50"/>
      <c r="Q45" s="50"/>
      <c r="R45" s="50"/>
      <c r="S45" s="50"/>
      <c r="T45" s="50"/>
      <c r="U45" s="50"/>
      <c r="V45" s="50"/>
      <c r="W45" s="50"/>
      <c r="X45" s="50"/>
      <c r="Y45" s="50"/>
      <c r="Z45" s="50"/>
      <c r="AA45" s="50"/>
      <c r="AB45" s="50"/>
      <c r="AC45" s="50"/>
    </row>
    <row r="46" spans="1:29">
      <c r="A46" s="46" t="s">
        <v>1006</v>
      </c>
      <c r="B46" s="46"/>
      <c r="C46" s="47"/>
      <c r="D46" s="47"/>
      <c r="E46" s="47"/>
      <c r="F46" s="47"/>
      <c r="G46" s="47"/>
      <c r="H46" s="47"/>
      <c r="I46" s="47"/>
      <c r="J46" s="47"/>
      <c r="K46" s="50"/>
      <c r="L46" s="50"/>
      <c r="M46" s="50"/>
      <c r="N46" s="50"/>
      <c r="O46" s="50"/>
      <c r="P46" s="50"/>
      <c r="Q46" s="50"/>
      <c r="R46" s="50"/>
      <c r="S46" s="50"/>
      <c r="T46" s="50"/>
      <c r="U46" s="50"/>
      <c r="V46" s="50"/>
      <c r="W46" s="50"/>
      <c r="X46" s="50"/>
      <c r="Y46" s="50"/>
      <c r="Z46" s="50"/>
      <c r="AA46" s="50"/>
      <c r="AB46" s="50"/>
      <c r="AC46" s="50"/>
    </row>
    <row r="47" spans="1:29">
      <c r="A47" s="320" t="s">
        <v>1273</v>
      </c>
      <c r="B47" s="320"/>
      <c r="C47" s="47"/>
      <c r="D47" s="47"/>
      <c r="E47" s="47"/>
      <c r="F47" s="47"/>
      <c r="G47" s="47"/>
      <c r="H47" s="47"/>
      <c r="I47" s="47"/>
      <c r="J47" s="47"/>
      <c r="K47" s="50"/>
      <c r="L47" s="50"/>
      <c r="M47" s="50"/>
      <c r="N47" s="50"/>
      <c r="O47" s="50"/>
      <c r="P47" s="50"/>
      <c r="Q47" s="50"/>
      <c r="R47" s="50"/>
      <c r="S47" s="50"/>
      <c r="T47" s="50"/>
      <c r="U47" s="50"/>
      <c r="V47" s="50"/>
      <c r="W47" s="50"/>
      <c r="X47" s="50"/>
      <c r="Y47" s="50"/>
      <c r="Z47" s="50"/>
      <c r="AA47" s="50"/>
      <c r="AB47" s="50"/>
      <c r="AC47" s="50"/>
    </row>
    <row r="48" spans="1:29">
      <c r="A48" s="320" t="s">
        <v>1274</v>
      </c>
      <c r="B48" s="320"/>
      <c r="C48" s="47"/>
      <c r="D48" s="47"/>
      <c r="E48" s="47"/>
      <c r="F48" s="47"/>
      <c r="G48" s="47"/>
      <c r="H48" s="47"/>
      <c r="I48" s="47"/>
      <c r="J48" s="47"/>
      <c r="K48" s="50"/>
      <c r="L48" s="50"/>
      <c r="M48" s="50"/>
      <c r="N48" s="50"/>
      <c r="O48" s="50"/>
      <c r="P48" s="50"/>
      <c r="Q48" s="50"/>
      <c r="R48" s="50"/>
      <c r="S48" s="50"/>
      <c r="T48" s="50"/>
      <c r="U48" s="50"/>
      <c r="V48" s="50"/>
      <c r="W48" s="50"/>
      <c r="X48" s="50"/>
      <c r="Y48" s="50"/>
      <c r="Z48" s="50"/>
      <c r="AA48" s="50"/>
      <c r="AB48" s="50"/>
      <c r="AC48" s="50"/>
    </row>
    <row r="49" spans="1:29">
      <c r="A49" s="320" t="s">
        <v>1432</v>
      </c>
      <c r="B49" s="320"/>
      <c r="C49" s="47"/>
      <c r="D49" s="47"/>
      <c r="E49" s="47"/>
      <c r="F49" s="47"/>
      <c r="G49" s="47"/>
      <c r="H49" s="47"/>
      <c r="I49" s="47"/>
      <c r="J49" s="47"/>
      <c r="K49" s="50"/>
      <c r="L49" s="50"/>
      <c r="M49" s="50"/>
      <c r="N49" s="50"/>
      <c r="O49" s="50"/>
      <c r="P49" s="50"/>
      <c r="Q49" s="50"/>
      <c r="R49" s="50"/>
      <c r="S49" s="50"/>
      <c r="T49" s="50"/>
      <c r="U49" s="50"/>
      <c r="V49" s="50"/>
      <c r="W49" s="50"/>
      <c r="X49" s="50"/>
      <c r="Y49" s="50"/>
      <c r="Z49" s="50"/>
      <c r="AA49" s="50"/>
      <c r="AB49" s="50"/>
      <c r="AC49" s="50"/>
    </row>
    <row r="50" spans="1:29">
      <c r="A50" s="320" t="s">
        <v>1433</v>
      </c>
      <c r="B50" s="320"/>
      <c r="C50" s="47"/>
      <c r="D50" s="47"/>
      <c r="E50" s="47"/>
      <c r="F50" s="47"/>
      <c r="G50" s="47"/>
      <c r="H50" s="47"/>
      <c r="I50" s="47"/>
      <c r="J50" s="47"/>
      <c r="K50" s="50"/>
      <c r="L50" s="50"/>
      <c r="M50" s="50"/>
      <c r="N50" s="50"/>
      <c r="O50" s="50"/>
      <c r="P50" s="50"/>
      <c r="Q50" s="50"/>
      <c r="R50" s="50"/>
      <c r="S50" s="50"/>
      <c r="T50" s="50"/>
      <c r="U50" s="50"/>
      <c r="V50" s="50"/>
      <c r="W50" s="50"/>
      <c r="X50" s="50"/>
      <c r="Y50" s="50"/>
      <c r="Z50" s="50"/>
      <c r="AA50" s="50"/>
      <c r="AB50" s="50"/>
      <c r="AC50" s="50"/>
    </row>
    <row r="51" spans="1:29">
      <c r="A51" s="47"/>
      <c r="B51" s="47"/>
      <c r="C51" s="47"/>
      <c r="D51" s="47"/>
      <c r="E51" s="47"/>
      <c r="F51" s="47"/>
      <c r="G51" s="47"/>
      <c r="H51" s="47"/>
      <c r="I51" s="47"/>
      <c r="J51" s="47"/>
      <c r="K51" s="50"/>
      <c r="L51" s="50"/>
      <c r="M51" s="50"/>
      <c r="N51" s="50"/>
      <c r="O51" s="50"/>
      <c r="P51" s="50"/>
      <c r="Q51" s="50"/>
      <c r="R51" s="50"/>
      <c r="S51" s="50"/>
      <c r="T51" s="50"/>
      <c r="U51" s="50"/>
      <c r="V51" s="50"/>
      <c r="W51" s="50"/>
      <c r="X51" s="50"/>
      <c r="Y51" s="50"/>
      <c r="Z51" s="50"/>
      <c r="AA51" s="50"/>
      <c r="AB51" s="50"/>
      <c r="AC51" s="50"/>
    </row>
    <row r="52" spans="1:29">
      <c r="A52" s="320" t="s">
        <v>1820</v>
      </c>
      <c r="B52" s="320"/>
      <c r="C52" s="320"/>
      <c r="D52" s="320"/>
      <c r="E52" s="320"/>
      <c r="F52" s="320"/>
      <c r="G52" s="320"/>
      <c r="H52" s="320"/>
      <c r="I52" s="47"/>
      <c r="J52" s="47"/>
      <c r="K52" s="50"/>
      <c r="L52" s="50"/>
      <c r="M52" s="50"/>
      <c r="N52" s="50"/>
      <c r="O52" s="50"/>
      <c r="P52" s="50"/>
      <c r="Q52" s="50"/>
      <c r="R52" s="50"/>
      <c r="S52" s="50"/>
      <c r="T52" s="50"/>
      <c r="U52" s="50"/>
      <c r="V52" s="50"/>
      <c r="W52" s="50"/>
      <c r="X52" s="50"/>
      <c r="Y52" s="50"/>
      <c r="Z52" s="50"/>
      <c r="AA52" s="50"/>
      <c r="AB52" s="50"/>
      <c r="AC52" s="50"/>
    </row>
    <row r="53" spans="1:29">
      <c r="A53" s="47"/>
      <c r="B53" s="47"/>
      <c r="C53" s="47"/>
      <c r="D53" s="47"/>
      <c r="E53" s="47"/>
      <c r="F53" s="47"/>
      <c r="G53" s="47"/>
      <c r="H53" s="47"/>
      <c r="I53" s="47"/>
      <c r="J53" s="47"/>
      <c r="K53" s="50"/>
      <c r="L53" s="50"/>
      <c r="M53" s="50"/>
      <c r="N53" s="50"/>
      <c r="O53" s="50"/>
      <c r="P53" s="50"/>
      <c r="Q53" s="50"/>
      <c r="R53" s="50"/>
      <c r="S53" s="50"/>
      <c r="T53" s="50"/>
      <c r="U53" s="50"/>
      <c r="V53" s="50"/>
      <c r="W53" s="50"/>
      <c r="X53" s="50"/>
      <c r="Y53" s="50"/>
      <c r="Z53" s="50"/>
      <c r="AA53" s="50"/>
      <c r="AB53" s="50"/>
      <c r="AC53" s="50"/>
    </row>
    <row r="54" spans="1:29">
      <c r="A54" s="63" t="s">
        <v>1832</v>
      </c>
      <c r="B54" s="63"/>
      <c r="C54" s="63"/>
      <c r="D54" s="63"/>
      <c r="E54" s="63"/>
      <c r="F54" s="63"/>
      <c r="G54" s="63"/>
      <c r="H54" s="47"/>
      <c r="I54" s="47"/>
      <c r="J54" s="47"/>
      <c r="K54" s="50"/>
      <c r="L54" s="50"/>
      <c r="M54" s="50"/>
      <c r="N54" s="50"/>
      <c r="O54" s="50"/>
      <c r="P54" s="50"/>
      <c r="Q54" s="50"/>
      <c r="R54" s="50"/>
      <c r="S54" s="50"/>
      <c r="T54" s="50"/>
      <c r="U54" s="50"/>
      <c r="V54" s="50"/>
      <c r="W54" s="50"/>
      <c r="X54" s="50"/>
      <c r="Y54" s="50"/>
      <c r="Z54" s="50"/>
      <c r="AA54" s="50"/>
      <c r="AB54" s="50"/>
      <c r="AC54" s="50"/>
    </row>
    <row r="55" spans="1:29">
      <c r="A55" s="47"/>
      <c r="B55" s="47"/>
      <c r="C55" s="47"/>
      <c r="D55" s="47"/>
      <c r="E55" s="47"/>
      <c r="F55" s="47"/>
      <c r="G55" s="47"/>
      <c r="H55" s="47"/>
      <c r="I55" s="47"/>
      <c r="J55" s="47"/>
      <c r="K55" s="50"/>
      <c r="L55" s="50"/>
      <c r="M55" s="50"/>
      <c r="N55" s="50"/>
      <c r="O55" s="50"/>
      <c r="P55" s="50"/>
      <c r="Q55" s="50"/>
      <c r="R55" s="50"/>
      <c r="S55" s="50"/>
      <c r="T55" s="50"/>
      <c r="U55" s="50"/>
      <c r="V55" s="50"/>
      <c r="W55" s="50"/>
      <c r="X55" s="50"/>
      <c r="Y55" s="50"/>
      <c r="Z55" s="50"/>
      <c r="AA55" s="50"/>
      <c r="AB55" s="50"/>
      <c r="AC55" s="50"/>
    </row>
    <row r="56" spans="1:29">
      <c r="A56" s="63" t="s">
        <v>2150</v>
      </c>
      <c r="B56" s="63"/>
      <c r="C56" s="63"/>
      <c r="D56" s="63"/>
      <c r="E56" s="47"/>
      <c r="F56" s="47"/>
      <c r="G56" s="47"/>
      <c r="H56" s="47"/>
      <c r="I56" s="47"/>
      <c r="J56" s="47"/>
      <c r="K56" s="50"/>
      <c r="L56" s="50"/>
      <c r="M56" s="50"/>
      <c r="N56" s="50"/>
      <c r="O56" s="50"/>
      <c r="P56" s="50"/>
      <c r="Q56" s="50"/>
      <c r="R56" s="50"/>
      <c r="S56" s="50"/>
      <c r="T56" s="50"/>
      <c r="U56" s="50"/>
      <c r="V56" s="50"/>
      <c r="W56" s="50"/>
      <c r="X56" s="50"/>
      <c r="Y56" s="50"/>
      <c r="Z56" s="50"/>
      <c r="AA56" s="50"/>
      <c r="AB56" s="50"/>
      <c r="AC56" s="50"/>
    </row>
    <row r="57" spans="1:29">
      <c r="A57" s="47"/>
      <c r="B57" s="47"/>
      <c r="C57" s="47"/>
      <c r="D57" s="47"/>
      <c r="E57" s="47"/>
      <c r="F57" s="47"/>
      <c r="G57" s="47"/>
      <c r="H57" s="47"/>
      <c r="I57" s="47"/>
      <c r="J57" s="47"/>
      <c r="K57" s="50"/>
      <c r="L57" s="50"/>
      <c r="M57" s="50"/>
      <c r="N57" s="50"/>
      <c r="O57" s="50"/>
      <c r="P57" s="50"/>
      <c r="Q57" s="50"/>
      <c r="R57" s="50"/>
      <c r="S57" s="50"/>
      <c r="T57" s="50"/>
      <c r="U57" s="50"/>
      <c r="V57" s="50"/>
      <c r="W57" s="50"/>
      <c r="X57" s="50"/>
      <c r="Y57" s="50"/>
      <c r="Z57" s="50"/>
      <c r="AA57" s="50"/>
      <c r="AB57" s="50"/>
      <c r="AC57" s="50"/>
    </row>
    <row r="58" spans="1:29">
      <c r="A58" s="63" t="s">
        <v>2290</v>
      </c>
      <c r="B58" s="63"/>
      <c r="C58" s="63"/>
      <c r="D58" s="63"/>
      <c r="E58" s="63"/>
      <c r="F58" s="63"/>
      <c r="G58" s="63"/>
      <c r="H58" s="63"/>
      <c r="I58" s="47"/>
      <c r="J58" s="47"/>
      <c r="K58" s="50"/>
      <c r="L58" s="50"/>
      <c r="M58" s="50"/>
      <c r="N58" s="50"/>
      <c r="O58" s="50"/>
      <c r="P58" s="50"/>
      <c r="Q58" s="50"/>
      <c r="R58" s="50"/>
      <c r="S58" s="50"/>
      <c r="T58" s="50"/>
      <c r="U58" s="50"/>
      <c r="V58" s="50"/>
      <c r="W58" s="50"/>
      <c r="X58" s="50"/>
      <c r="Y58" s="50"/>
      <c r="Z58" s="50"/>
      <c r="AA58" s="50"/>
      <c r="AB58" s="50"/>
      <c r="AC58" s="50"/>
    </row>
    <row r="59" spans="1:29">
      <c r="A59" s="47"/>
      <c r="B59" s="47"/>
      <c r="C59" s="47"/>
      <c r="D59" s="47"/>
      <c r="E59" s="47"/>
      <c r="F59" s="47"/>
      <c r="G59" s="47"/>
      <c r="H59" s="47"/>
      <c r="I59" s="47"/>
      <c r="J59" s="47"/>
      <c r="K59" s="50"/>
      <c r="L59" s="50"/>
      <c r="M59" s="50"/>
      <c r="N59" s="50"/>
      <c r="O59" s="50"/>
      <c r="P59" s="50"/>
      <c r="Q59" s="50"/>
      <c r="R59" s="50"/>
      <c r="S59" s="50"/>
      <c r="T59" s="50"/>
      <c r="U59" s="50"/>
      <c r="V59" s="50"/>
      <c r="W59" s="50"/>
      <c r="X59" s="50"/>
      <c r="Y59" s="50"/>
      <c r="Z59" s="50"/>
      <c r="AA59" s="50"/>
      <c r="AB59" s="50"/>
      <c r="AC59" s="50"/>
    </row>
    <row r="60" spans="1:29">
      <c r="A60" s="27" t="s">
        <v>832</v>
      </c>
      <c r="B60" s="27"/>
      <c r="C60" s="27"/>
      <c r="D60" s="27"/>
      <c r="E60" s="27"/>
      <c r="F60" s="27"/>
      <c r="G60" s="27"/>
      <c r="H60" s="27"/>
      <c r="I60" s="47"/>
      <c r="J60" s="47"/>
      <c r="K60" s="50"/>
      <c r="L60" s="50"/>
      <c r="M60" s="50"/>
      <c r="N60" s="50"/>
      <c r="O60" s="50"/>
      <c r="P60" s="50"/>
      <c r="Q60" s="50"/>
      <c r="R60" s="50"/>
      <c r="S60" s="50"/>
      <c r="T60" s="50"/>
      <c r="U60" s="50"/>
      <c r="V60" s="50"/>
      <c r="W60" s="50"/>
      <c r="X60" s="50"/>
      <c r="Y60" s="50"/>
      <c r="Z60" s="50"/>
      <c r="AA60" s="50"/>
      <c r="AB60" s="50"/>
      <c r="AC60" s="50"/>
    </row>
    <row r="61" spans="1:29">
      <c r="A61" s="327" t="s">
        <v>2497</v>
      </c>
      <c r="B61" s="327"/>
      <c r="C61" s="327"/>
      <c r="D61" s="327"/>
      <c r="E61" s="327"/>
      <c r="F61" s="327"/>
      <c r="G61" s="327"/>
      <c r="H61" s="327"/>
      <c r="I61" s="201"/>
      <c r="J61" s="201"/>
      <c r="K61" s="52"/>
      <c r="L61" s="52"/>
      <c r="M61" s="52"/>
      <c r="N61" s="52"/>
      <c r="O61" s="52"/>
      <c r="P61" s="52"/>
      <c r="Q61" s="52"/>
      <c r="R61" s="52"/>
      <c r="S61" s="52"/>
      <c r="T61" s="52"/>
      <c r="U61" s="52"/>
      <c r="V61" s="52"/>
      <c r="W61" s="52"/>
      <c r="X61" s="52"/>
      <c r="Y61" s="52"/>
      <c r="Z61" s="52"/>
      <c r="AA61" s="52"/>
      <c r="AB61" s="52"/>
      <c r="AC61" s="52"/>
    </row>
    <row r="62" spans="1:29">
      <c r="A62" s="327" t="s">
        <v>2498</v>
      </c>
      <c r="B62" s="327"/>
      <c r="C62" s="327"/>
      <c r="D62" s="327"/>
      <c r="E62" s="327"/>
      <c r="F62" s="327"/>
      <c r="G62" s="327"/>
      <c r="H62" s="327"/>
      <c r="I62" s="201"/>
      <c r="J62" s="201"/>
      <c r="K62" s="52"/>
      <c r="L62" s="52"/>
      <c r="M62" s="52"/>
      <c r="N62" s="52"/>
      <c r="O62" s="52"/>
      <c r="P62" s="52"/>
      <c r="Q62" s="52"/>
      <c r="R62" s="52"/>
      <c r="S62" s="52"/>
      <c r="T62" s="52"/>
      <c r="U62" s="52"/>
      <c r="V62" s="52"/>
      <c r="W62" s="52"/>
      <c r="X62" s="52"/>
      <c r="Y62" s="52"/>
      <c r="Z62" s="52"/>
      <c r="AA62" s="52"/>
      <c r="AB62" s="52"/>
      <c r="AC62" s="52"/>
    </row>
    <row r="63" spans="1:29">
      <c r="A63" s="327" t="s">
        <v>2499</v>
      </c>
      <c r="B63" s="327"/>
      <c r="C63" s="327"/>
      <c r="D63" s="327"/>
      <c r="E63" s="327"/>
      <c r="F63" s="327"/>
      <c r="G63" s="327"/>
      <c r="H63" s="327"/>
      <c r="I63" s="201"/>
      <c r="J63" s="201"/>
      <c r="K63" s="52"/>
      <c r="L63" s="52"/>
      <c r="M63" s="52"/>
      <c r="N63" s="52"/>
      <c r="O63" s="52"/>
      <c r="P63" s="52"/>
      <c r="Q63" s="52"/>
      <c r="R63" s="52"/>
      <c r="S63" s="52"/>
      <c r="T63" s="52"/>
      <c r="U63" s="52"/>
      <c r="V63" s="52"/>
      <c r="W63" s="52"/>
      <c r="X63" s="52"/>
      <c r="Y63" s="52"/>
      <c r="Z63" s="52"/>
      <c r="AA63" s="52"/>
      <c r="AB63" s="52"/>
      <c r="AC63" s="52"/>
    </row>
    <row r="64" spans="1:29">
      <c r="A64" s="327" t="s">
        <v>2500</v>
      </c>
      <c r="B64" s="327"/>
      <c r="C64" s="327"/>
      <c r="D64" s="327"/>
      <c r="E64" s="327"/>
      <c r="F64" s="327"/>
      <c r="G64" s="327"/>
      <c r="H64" s="327"/>
      <c r="I64" s="201"/>
      <c r="J64" s="201"/>
      <c r="K64" s="52"/>
      <c r="L64" s="52"/>
      <c r="M64" s="52"/>
      <c r="N64" s="52"/>
      <c r="O64" s="52"/>
      <c r="P64" s="52"/>
      <c r="Q64" s="52"/>
      <c r="R64" s="52"/>
      <c r="S64" s="52"/>
      <c r="T64" s="52"/>
      <c r="U64" s="52"/>
      <c r="V64" s="52"/>
      <c r="W64" s="52"/>
      <c r="X64" s="52"/>
      <c r="Y64" s="52"/>
      <c r="Z64" s="52"/>
      <c r="AA64" s="52"/>
      <c r="AB64" s="52"/>
      <c r="AC64" s="52"/>
    </row>
    <row r="65" spans="1:29">
      <c r="A65" s="327" t="s">
        <v>2501</v>
      </c>
      <c r="B65" s="327"/>
      <c r="C65" s="327"/>
      <c r="D65" s="327"/>
      <c r="E65" s="327"/>
      <c r="F65" s="327"/>
      <c r="G65" s="327"/>
      <c r="H65" s="327"/>
      <c r="I65" s="201"/>
      <c r="J65" s="201"/>
      <c r="K65" s="52"/>
      <c r="L65" s="52"/>
      <c r="M65" s="52"/>
      <c r="N65" s="52"/>
      <c r="O65" s="52"/>
      <c r="P65" s="52"/>
      <c r="Q65" s="52"/>
      <c r="R65" s="52"/>
      <c r="S65" s="52"/>
      <c r="T65" s="52"/>
      <c r="U65" s="52"/>
      <c r="V65" s="52"/>
      <c r="W65" s="52"/>
      <c r="X65" s="52"/>
      <c r="Y65" s="52"/>
      <c r="Z65" s="52"/>
      <c r="AA65" s="52"/>
      <c r="AB65" s="52"/>
      <c r="AC65" s="52"/>
    </row>
    <row r="66" spans="1:29">
      <c r="A66" s="201"/>
      <c r="B66" s="201"/>
      <c r="C66" s="201"/>
      <c r="D66" s="201"/>
      <c r="E66" s="201"/>
      <c r="F66" s="201"/>
      <c r="G66" s="201"/>
      <c r="H66" s="201"/>
      <c r="I66" s="201"/>
      <c r="J66" s="201"/>
      <c r="K66" s="52"/>
      <c r="L66" s="52"/>
      <c r="M66" s="52"/>
      <c r="N66" s="52"/>
      <c r="O66" s="52"/>
      <c r="P66" s="52"/>
      <c r="Q66" s="52"/>
      <c r="R66" s="52"/>
      <c r="S66" s="52"/>
      <c r="T66" s="52"/>
      <c r="U66" s="52"/>
      <c r="V66" s="52"/>
      <c r="W66" s="52"/>
      <c r="X66" s="52"/>
      <c r="Y66" s="52"/>
      <c r="Z66" s="52"/>
      <c r="AA66" s="52"/>
      <c r="AB66" s="52"/>
      <c r="AC66" s="52"/>
    </row>
    <row r="67" spans="1:29">
      <c r="A67" s="27" t="s">
        <v>2508</v>
      </c>
      <c r="B67" s="27"/>
      <c r="C67" s="27"/>
      <c r="D67" s="201"/>
      <c r="E67" s="201"/>
      <c r="F67" s="201"/>
      <c r="G67" s="201"/>
      <c r="H67" s="201"/>
      <c r="I67" s="201"/>
      <c r="J67" s="201"/>
      <c r="K67" s="52"/>
      <c r="L67" s="52"/>
      <c r="M67" s="52"/>
      <c r="N67" s="52"/>
      <c r="O67" s="52"/>
      <c r="P67" s="52"/>
      <c r="Q67" s="52"/>
      <c r="R67" s="52"/>
      <c r="S67" s="52"/>
      <c r="T67" s="52"/>
      <c r="U67" s="52"/>
      <c r="V67" s="52"/>
      <c r="W67" s="52"/>
      <c r="X67" s="52"/>
      <c r="Y67" s="52"/>
      <c r="Z67" s="52"/>
      <c r="AA67" s="52"/>
      <c r="AB67" s="52"/>
      <c r="AC67" s="52"/>
    </row>
    <row r="68" spans="1:29">
      <c r="A68" s="63" t="s">
        <v>2503</v>
      </c>
      <c r="B68" s="63"/>
      <c r="C68" s="63"/>
      <c r="D68" s="201"/>
      <c r="E68" s="201"/>
      <c r="F68" s="201"/>
      <c r="G68" s="201"/>
      <c r="H68" s="201"/>
      <c r="I68" s="201"/>
      <c r="J68" s="201"/>
      <c r="K68" s="52"/>
      <c r="L68" s="52"/>
      <c r="M68" s="52"/>
      <c r="N68" s="52"/>
      <c r="O68" s="52"/>
      <c r="P68" s="52"/>
      <c r="Q68" s="52"/>
      <c r="R68" s="52"/>
      <c r="S68" s="52"/>
      <c r="T68" s="52"/>
      <c r="U68" s="52"/>
      <c r="V68" s="52"/>
      <c r="W68" s="52"/>
      <c r="X68" s="52"/>
      <c r="Y68" s="52"/>
      <c r="Z68" s="52"/>
      <c r="AA68" s="52"/>
      <c r="AB68" s="52"/>
      <c r="AC68" s="52"/>
    </row>
    <row r="69" spans="1:29">
      <c r="A69" s="63" t="s">
        <v>2504</v>
      </c>
      <c r="B69" s="63"/>
      <c r="C69" s="63"/>
      <c r="D69" s="201"/>
      <c r="E69" s="201"/>
      <c r="F69" s="201"/>
      <c r="G69" s="201"/>
      <c r="H69" s="201"/>
      <c r="I69" s="201"/>
      <c r="J69" s="201"/>
      <c r="K69" s="52"/>
      <c r="L69" s="52"/>
      <c r="M69" s="52"/>
      <c r="N69" s="52"/>
      <c r="O69" s="52"/>
      <c r="P69" s="52"/>
      <c r="Q69" s="52"/>
      <c r="R69" s="52"/>
      <c r="S69" s="52"/>
      <c r="T69" s="52"/>
      <c r="U69" s="52"/>
      <c r="V69" s="52"/>
      <c r="W69" s="52"/>
      <c r="X69" s="52"/>
      <c r="Y69" s="52"/>
      <c r="Z69" s="52"/>
      <c r="AA69" s="52"/>
      <c r="AB69" s="52"/>
      <c r="AC69" s="52"/>
    </row>
    <row r="70" spans="1:29">
      <c r="A70" s="63" t="s">
        <v>2505</v>
      </c>
      <c r="B70" s="63"/>
      <c r="C70" s="63"/>
      <c r="D70" s="201"/>
      <c r="E70" s="201"/>
      <c r="F70" s="201"/>
      <c r="G70" s="201"/>
      <c r="H70" s="201"/>
      <c r="I70" s="201"/>
      <c r="J70" s="201"/>
      <c r="K70" s="52"/>
      <c r="L70" s="52"/>
      <c r="M70" s="52"/>
      <c r="N70" s="52"/>
      <c r="O70" s="52"/>
      <c r="P70" s="52"/>
      <c r="Q70" s="52"/>
      <c r="R70" s="52"/>
      <c r="S70" s="52"/>
      <c r="T70" s="52"/>
      <c r="U70" s="52"/>
      <c r="V70" s="52"/>
      <c r="W70" s="52"/>
      <c r="X70" s="52"/>
      <c r="Y70" s="52"/>
      <c r="Z70" s="52"/>
      <c r="AA70" s="52"/>
      <c r="AB70" s="52"/>
      <c r="AC70" s="52"/>
    </row>
    <row r="71" spans="1:29">
      <c r="A71" s="63" t="s">
        <v>2506</v>
      </c>
      <c r="B71" s="63"/>
      <c r="C71" s="63"/>
      <c r="D71" s="201"/>
      <c r="E71" s="201"/>
      <c r="F71" s="201"/>
      <c r="G71" s="201"/>
      <c r="H71" s="201"/>
      <c r="I71" s="201"/>
      <c r="J71" s="201"/>
      <c r="K71" s="52"/>
      <c r="L71" s="52"/>
      <c r="M71" s="52"/>
      <c r="N71" s="52"/>
      <c r="O71" s="52"/>
      <c r="P71" s="52"/>
      <c r="Q71" s="52"/>
      <c r="R71" s="52"/>
      <c r="S71" s="52"/>
      <c r="T71" s="52"/>
      <c r="U71" s="52"/>
      <c r="V71" s="52"/>
      <c r="W71" s="52"/>
      <c r="X71" s="52"/>
      <c r="Y71" s="52"/>
      <c r="Z71" s="52"/>
      <c r="AA71" s="52"/>
      <c r="AB71" s="52"/>
      <c r="AC71" s="52"/>
    </row>
    <row r="72" spans="1:29">
      <c r="A72" s="63" t="s">
        <v>2507</v>
      </c>
      <c r="B72" s="63"/>
      <c r="C72" s="63"/>
      <c r="D72" s="201"/>
      <c r="E72" s="201"/>
      <c r="F72" s="201"/>
      <c r="G72" s="201"/>
      <c r="H72" s="201"/>
      <c r="I72" s="201"/>
      <c r="J72" s="201"/>
      <c r="K72" s="52"/>
      <c r="L72" s="52"/>
      <c r="M72" s="52"/>
      <c r="N72" s="52"/>
      <c r="O72" s="52"/>
      <c r="P72" s="52"/>
      <c r="Q72" s="52"/>
      <c r="R72" s="52"/>
      <c r="S72" s="52"/>
      <c r="T72" s="52"/>
      <c r="U72" s="52"/>
      <c r="V72" s="52"/>
      <c r="W72" s="52"/>
      <c r="X72" s="52"/>
      <c r="Y72" s="52"/>
      <c r="Z72" s="52"/>
      <c r="AA72" s="52"/>
      <c r="AB72" s="52"/>
      <c r="AC72" s="52"/>
    </row>
    <row r="73" spans="1:29">
      <c r="A73" s="201"/>
      <c r="B73" s="201"/>
      <c r="C73" s="201"/>
      <c r="D73" s="201"/>
      <c r="E73" s="201"/>
      <c r="F73" s="201"/>
      <c r="G73" s="201"/>
      <c r="H73" s="201"/>
      <c r="I73" s="201"/>
      <c r="J73" s="201"/>
      <c r="K73" s="52"/>
      <c r="L73" s="52"/>
      <c r="M73" s="52"/>
      <c r="N73" s="52"/>
      <c r="O73" s="52"/>
      <c r="P73" s="52"/>
      <c r="Q73" s="52"/>
      <c r="R73" s="52"/>
      <c r="S73" s="52"/>
      <c r="T73" s="52"/>
      <c r="U73" s="52"/>
      <c r="V73" s="52"/>
      <c r="W73" s="52"/>
      <c r="X73" s="52"/>
      <c r="Y73" s="52"/>
      <c r="Z73" s="52"/>
      <c r="AA73" s="52"/>
      <c r="AB73" s="52"/>
      <c r="AC73" s="52"/>
    </row>
    <row r="74" spans="1:29">
      <c r="A74" s="320" t="s">
        <v>2682</v>
      </c>
      <c r="B74" s="320"/>
      <c r="C74" s="320"/>
      <c r="D74" s="320"/>
      <c r="E74" s="320"/>
      <c r="F74" s="320"/>
      <c r="G74" s="320"/>
      <c r="H74" s="320"/>
      <c r="I74" s="320"/>
      <c r="J74" s="201"/>
      <c r="K74" s="52"/>
      <c r="L74" s="52"/>
      <c r="M74" s="52"/>
      <c r="N74" s="52"/>
      <c r="O74" s="52"/>
      <c r="P74" s="52"/>
      <c r="Q74" s="52"/>
      <c r="R74" s="52"/>
      <c r="S74" s="52"/>
      <c r="T74" s="52"/>
      <c r="U74" s="52"/>
      <c r="V74" s="52"/>
      <c r="W74" s="52"/>
      <c r="X74" s="52"/>
      <c r="Y74" s="52"/>
      <c r="Z74" s="52"/>
      <c r="AA74" s="52"/>
      <c r="AB74" s="52"/>
      <c r="AC74" s="52"/>
    </row>
    <row r="75" spans="1:29">
      <c r="A75" s="320"/>
      <c r="B75" s="320"/>
      <c r="C75" s="320"/>
      <c r="D75" s="320"/>
      <c r="E75" s="320"/>
      <c r="F75" s="320"/>
      <c r="G75" s="320"/>
      <c r="H75" s="320"/>
      <c r="I75" s="320"/>
      <c r="J75" s="201"/>
      <c r="K75" s="52"/>
      <c r="L75" s="52"/>
      <c r="M75" s="52"/>
      <c r="N75" s="52"/>
      <c r="O75" s="52"/>
      <c r="P75" s="52"/>
      <c r="Q75" s="52"/>
      <c r="R75" s="52"/>
      <c r="S75" s="52"/>
      <c r="T75" s="52"/>
      <c r="U75" s="52"/>
      <c r="V75" s="52"/>
      <c r="W75" s="52"/>
      <c r="X75" s="52"/>
      <c r="Y75" s="52"/>
      <c r="Z75" s="52"/>
      <c r="AA75" s="52"/>
      <c r="AB75" s="52"/>
      <c r="AC75" s="52"/>
    </row>
    <row r="76" spans="1:29">
      <c r="A76" s="320" t="s">
        <v>2691</v>
      </c>
      <c r="B76" s="320"/>
      <c r="C76" s="320"/>
      <c r="D76" s="320"/>
      <c r="E76" s="320"/>
      <c r="F76" s="320"/>
      <c r="G76" s="320"/>
      <c r="H76" s="320"/>
      <c r="I76" s="320"/>
      <c r="J76" s="201"/>
      <c r="K76" s="52"/>
      <c r="L76" s="52"/>
      <c r="M76" s="52"/>
      <c r="N76" s="52"/>
      <c r="O76" s="52"/>
      <c r="P76" s="52"/>
      <c r="Q76" s="52"/>
      <c r="R76" s="52"/>
      <c r="S76" s="52"/>
      <c r="T76" s="52"/>
      <c r="U76" s="52"/>
      <c r="V76" s="52"/>
      <c r="W76" s="52"/>
      <c r="X76" s="52"/>
      <c r="Y76" s="52"/>
      <c r="Z76" s="52"/>
      <c r="AA76" s="52"/>
      <c r="AB76" s="52"/>
      <c r="AC76" s="52"/>
    </row>
    <row r="77" spans="1:29">
      <c r="A77" s="320" t="s">
        <v>2692</v>
      </c>
      <c r="B77" s="320"/>
      <c r="C77" s="320"/>
      <c r="D77" s="320"/>
      <c r="E77" s="320"/>
      <c r="F77" s="320"/>
      <c r="G77" s="320"/>
      <c r="H77" s="320"/>
      <c r="I77" s="320"/>
      <c r="J77" s="201"/>
      <c r="K77" s="52"/>
      <c r="L77" s="52"/>
      <c r="M77" s="52"/>
      <c r="N77" s="52"/>
      <c r="O77" s="52"/>
      <c r="P77" s="52"/>
      <c r="Q77" s="52"/>
      <c r="R77" s="52"/>
      <c r="S77" s="52"/>
      <c r="T77" s="52"/>
      <c r="U77" s="52"/>
      <c r="V77" s="52"/>
      <c r="W77" s="52"/>
      <c r="X77" s="52"/>
      <c r="Y77" s="52"/>
      <c r="Z77" s="52"/>
      <c r="AA77" s="52"/>
      <c r="AB77" s="52"/>
      <c r="AC77" s="52"/>
    </row>
    <row r="78" spans="1:29">
      <c r="A78" s="320" t="s">
        <v>2693</v>
      </c>
      <c r="B78" s="320"/>
      <c r="C78" s="320"/>
      <c r="D78" s="320"/>
      <c r="E78" s="320"/>
      <c r="F78" s="320"/>
      <c r="G78" s="320"/>
      <c r="H78" s="320"/>
      <c r="I78" s="320"/>
      <c r="J78" s="201"/>
      <c r="K78" s="52"/>
      <c r="L78" s="52"/>
      <c r="M78" s="52"/>
      <c r="N78" s="52"/>
      <c r="O78" s="52"/>
      <c r="P78" s="52"/>
      <c r="Q78" s="52"/>
      <c r="R78" s="52"/>
      <c r="S78" s="52"/>
      <c r="T78" s="52"/>
      <c r="U78" s="52"/>
      <c r="V78" s="52"/>
      <c r="W78" s="52"/>
      <c r="X78" s="52"/>
      <c r="Y78" s="52"/>
      <c r="Z78" s="52"/>
      <c r="AA78" s="52"/>
      <c r="AB78" s="52"/>
      <c r="AC78" s="52"/>
    </row>
    <row r="79" spans="1:29">
      <c r="A79" s="320"/>
      <c r="B79" s="320"/>
      <c r="C79" s="320"/>
      <c r="D79" s="320"/>
      <c r="E79" s="320"/>
      <c r="F79" s="320"/>
      <c r="G79" s="320"/>
      <c r="H79" s="320"/>
      <c r="I79" s="320"/>
      <c r="J79" s="201"/>
      <c r="K79" s="52"/>
      <c r="L79" s="52"/>
      <c r="M79" s="52"/>
      <c r="N79" s="52"/>
      <c r="O79" s="52"/>
      <c r="P79" s="52"/>
      <c r="Q79" s="52"/>
      <c r="R79" s="52"/>
      <c r="S79" s="52"/>
      <c r="T79" s="52"/>
      <c r="U79" s="52"/>
      <c r="V79" s="52"/>
      <c r="W79" s="52"/>
      <c r="X79" s="52"/>
      <c r="Y79" s="52"/>
      <c r="Z79" s="52"/>
      <c r="AA79" s="52"/>
      <c r="AB79" s="52"/>
      <c r="AC79" s="52"/>
    </row>
    <row r="80" spans="1:29">
      <c r="A80" s="320" t="s">
        <v>2683</v>
      </c>
      <c r="B80" s="320"/>
      <c r="C80" s="320"/>
      <c r="D80" s="320"/>
      <c r="E80" s="320"/>
      <c r="F80" s="320"/>
      <c r="G80" s="320"/>
      <c r="H80" s="320"/>
      <c r="I80" s="320"/>
      <c r="J80" s="201"/>
      <c r="K80" s="52"/>
      <c r="L80" s="52"/>
      <c r="M80" s="52"/>
      <c r="N80" s="52"/>
      <c r="O80" s="52"/>
      <c r="P80" s="52"/>
      <c r="Q80" s="52"/>
      <c r="R80" s="52"/>
      <c r="S80" s="52"/>
      <c r="T80" s="52"/>
      <c r="U80" s="52"/>
      <c r="V80" s="52"/>
      <c r="W80" s="52"/>
      <c r="X80" s="52"/>
      <c r="Y80" s="52"/>
      <c r="Z80" s="52"/>
      <c r="AA80" s="52"/>
      <c r="AB80" s="52"/>
      <c r="AC80" s="52"/>
    </row>
    <row r="81" spans="1:29">
      <c r="A81" s="320"/>
      <c r="B81" s="320"/>
      <c r="C81" s="320"/>
      <c r="D81" s="320"/>
      <c r="E81" s="320"/>
      <c r="F81" s="320"/>
      <c r="G81" s="320"/>
      <c r="H81" s="320"/>
      <c r="I81" s="320"/>
      <c r="J81" s="201"/>
      <c r="K81" s="52"/>
      <c r="L81" s="52"/>
      <c r="M81" s="52"/>
      <c r="N81" s="52"/>
      <c r="O81" s="52"/>
      <c r="P81" s="52"/>
      <c r="Q81" s="52"/>
      <c r="R81" s="52"/>
      <c r="S81" s="52"/>
      <c r="T81" s="52"/>
      <c r="U81" s="52"/>
      <c r="V81" s="52"/>
      <c r="W81" s="52"/>
      <c r="X81" s="52"/>
      <c r="Y81" s="52"/>
      <c r="Z81" s="52"/>
      <c r="AA81" s="52"/>
      <c r="AB81" s="52"/>
      <c r="AC81" s="52"/>
    </row>
    <row r="82" spans="1:29">
      <c r="A82" s="320" t="s">
        <v>2684</v>
      </c>
      <c r="B82" s="320"/>
      <c r="C82" s="320"/>
      <c r="D82" s="320"/>
      <c r="E82" s="320"/>
      <c r="F82" s="320"/>
      <c r="G82" s="320"/>
      <c r="H82" s="320"/>
      <c r="I82" s="320"/>
      <c r="J82" s="201"/>
      <c r="K82" s="52"/>
      <c r="L82" s="52"/>
      <c r="M82" s="52"/>
      <c r="N82" s="52"/>
      <c r="O82" s="52"/>
      <c r="P82" s="52"/>
      <c r="Q82" s="52"/>
      <c r="R82" s="52"/>
      <c r="S82" s="52"/>
      <c r="T82" s="52"/>
      <c r="U82" s="52"/>
      <c r="V82" s="52"/>
      <c r="W82" s="52"/>
      <c r="X82" s="52"/>
      <c r="Y82" s="52"/>
      <c r="Z82" s="52"/>
      <c r="AA82" s="52"/>
      <c r="AB82" s="52"/>
      <c r="AC82" s="52"/>
    </row>
    <row r="83" spans="1:29">
      <c r="A83" s="320" t="s">
        <v>2685</v>
      </c>
      <c r="B83" s="320"/>
      <c r="C83" s="320"/>
      <c r="D83" s="320"/>
      <c r="E83" s="320"/>
      <c r="F83" s="320"/>
      <c r="G83" s="320"/>
      <c r="H83" s="320"/>
      <c r="I83" s="320"/>
      <c r="J83" s="201"/>
      <c r="K83" s="52"/>
      <c r="L83" s="52"/>
      <c r="M83" s="52"/>
      <c r="N83" s="52"/>
      <c r="O83" s="52"/>
      <c r="P83" s="52"/>
      <c r="Q83" s="52"/>
      <c r="R83" s="52"/>
      <c r="S83" s="52"/>
      <c r="T83" s="52"/>
      <c r="U83" s="52"/>
      <c r="V83" s="52"/>
      <c r="W83" s="52"/>
      <c r="X83" s="52"/>
      <c r="Y83" s="52"/>
      <c r="Z83" s="52"/>
      <c r="AA83" s="52"/>
      <c r="AB83" s="52"/>
      <c r="AC83" s="52"/>
    </row>
    <row r="84" spans="1:29">
      <c r="A84" s="320" t="s">
        <v>2686</v>
      </c>
      <c r="B84" s="320"/>
      <c r="C84" s="320"/>
      <c r="D84" s="320"/>
      <c r="E84" s="320"/>
      <c r="F84" s="320"/>
      <c r="G84" s="320"/>
      <c r="H84" s="320"/>
      <c r="I84" s="320"/>
      <c r="J84" s="201"/>
      <c r="K84" s="52"/>
      <c r="L84" s="52"/>
      <c r="M84" s="52"/>
      <c r="N84" s="52"/>
      <c r="O84" s="52"/>
      <c r="P84" s="52"/>
      <c r="Q84" s="52"/>
      <c r="R84" s="52"/>
      <c r="S84" s="52"/>
      <c r="T84" s="52"/>
      <c r="U84" s="52"/>
      <c r="V84" s="52"/>
      <c r="W84" s="52"/>
      <c r="X84" s="52"/>
      <c r="Y84" s="52"/>
      <c r="Z84" s="52"/>
      <c r="AA84" s="52"/>
      <c r="AB84" s="52"/>
      <c r="AC84" s="52"/>
    </row>
    <row r="85" spans="1:29">
      <c r="A85" s="320"/>
      <c r="B85" s="320"/>
      <c r="C85" s="320"/>
      <c r="D85" s="320"/>
      <c r="E85" s="320"/>
      <c r="F85" s="320"/>
      <c r="G85" s="320"/>
      <c r="H85" s="320"/>
      <c r="I85" s="320"/>
      <c r="J85" s="201"/>
      <c r="K85" s="52"/>
      <c r="L85" s="52"/>
      <c r="M85" s="52"/>
      <c r="N85" s="52"/>
      <c r="O85" s="52"/>
      <c r="P85" s="52"/>
      <c r="Q85" s="52"/>
      <c r="R85" s="52"/>
      <c r="S85" s="52"/>
      <c r="T85" s="52"/>
      <c r="U85" s="52"/>
      <c r="V85" s="52"/>
      <c r="W85" s="52"/>
      <c r="X85" s="52"/>
      <c r="Y85" s="52"/>
      <c r="Z85" s="52"/>
      <c r="AA85" s="52"/>
      <c r="AB85" s="52"/>
      <c r="AC85" s="52"/>
    </row>
    <row r="86" spans="1:29">
      <c r="A86" s="320" t="s">
        <v>2687</v>
      </c>
      <c r="B86" s="320"/>
      <c r="C86" s="320"/>
      <c r="D86" s="320"/>
      <c r="E86" s="320"/>
      <c r="F86" s="320"/>
      <c r="G86" s="320"/>
      <c r="H86" s="320"/>
      <c r="I86" s="320"/>
      <c r="J86" s="201"/>
      <c r="K86" s="52"/>
      <c r="L86" s="52"/>
      <c r="M86" s="52"/>
      <c r="N86" s="52"/>
      <c r="O86" s="52"/>
      <c r="P86" s="52"/>
      <c r="Q86" s="52"/>
      <c r="R86" s="52"/>
      <c r="S86" s="52"/>
      <c r="T86" s="52"/>
      <c r="U86" s="52"/>
      <c r="V86" s="52"/>
      <c r="W86" s="52"/>
      <c r="X86" s="52"/>
      <c r="Y86" s="52"/>
      <c r="Z86" s="52"/>
      <c r="AA86" s="52"/>
      <c r="AB86" s="52"/>
      <c r="AC86" s="52"/>
    </row>
    <row r="87" spans="1:29">
      <c r="A87" s="320"/>
      <c r="B87" s="320"/>
      <c r="C87" s="320"/>
      <c r="D87" s="320"/>
      <c r="E87" s="320"/>
      <c r="F87" s="320"/>
      <c r="G87" s="320"/>
      <c r="H87" s="320"/>
      <c r="I87" s="320"/>
      <c r="J87" s="201"/>
      <c r="K87" s="52"/>
      <c r="L87" s="52"/>
      <c r="M87" s="52"/>
      <c r="N87" s="52"/>
      <c r="O87" s="52"/>
      <c r="P87" s="52"/>
      <c r="Q87" s="52"/>
      <c r="R87" s="52"/>
      <c r="S87" s="52"/>
      <c r="T87" s="52"/>
      <c r="U87" s="52"/>
      <c r="V87" s="52"/>
      <c r="W87" s="52"/>
      <c r="X87" s="52"/>
      <c r="Y87" s="52"/>
      <c r="Z87" s="52"/>
      <c r="AA87" s="52"/>
      <c r="AB87" s="52"/>
      <c r="AC87" s="52"/>
    </row>
    <row r="88" spans="1:29">
      <c r="A88" s="320" t="s">
        <v>1224</v>
      </c>
      <c r="B88" s="320"/>
      <c r="C88" s="320"/>
      <c r="D88" s="320"/>
      <c r="E88" s="320"/>
      <c r="F88" s="320"/>
      <c r="G88" s="320"/>
      <c r="H88" s="320"/>
      <c r="I88" s="320"/>
      <c r="J88" s="201"/>
      <c r="K88" s="52"/>
      <c r="L88" s="52"/>
      <c r="M88" s="52"/>
      <c r="N88" s="52"/>
      <c r="O88" s="52"/>
      <c r="P88" s="52"/>
      <c r="Q88" s="52"/>
      <c r="R88" s="52"/>
      <c r="S88" s="52"/>
      <c r="T88" s="52"/>
      <c r="U88" s="52"/>
      <c r="V88" s="52"/>
      <c r="W88" s="52"/>
      <c r="X88" s="52"/>
      <c r="Y88" s="52"/>
      <c r="Z88" s="52"/>
      <c r="AA88" s="52"/>
      <c r="AB88" s="52"/>
      <c r="AC88" s="52"/>
    </row>
    <row r="89" spans="1:29">
      <c r="A89" s="320" t="s">
        <v>2688</v>
      </c>
      <c r="B89" s="320"/>
      <c r="C89" s="320"/>
      <c r="D89" s="320"/>
      <c r="E89" s="320"/>
      <c r="F89" s="320"/>
      <c r="G89" s="320"/>
      <c r="H89" s="320"/>
      <c r="I89" s="320"/>
      <c r="J89" s="201"/>
      <c r="K89" s="52"/>
      <c r="L89" s="52"/>
      <c r="M89" s="52"/>
      <c r="N89" s="52"/>
      <c r="O89" s="52"/>
      <c r="P89" s="52"/>
      <c r="Q89" s="52"/>
      <c r="R89" s="52"/>
      <c r="S89" s="52"/>
      <c r="T89" s="52"/>
      <c r="U89" s="52"/>
      <c r="V89" s="52"/>
      <c r="W89" s="52"/>
      <c r="X89" s="52"/>
      <c r="Y89" s="52"/>
      <c r="Z89" s="52"/>
      <c r="AA89" s="52"/>
      <c r="AB89" s="52"/>
      <c r="AC89" s="52"/>
    </row>
    <row r="90" spans="1:29">
      <c r="A90" s="320" t="s">
        <v>1955</v>
      </c>
      <c r="B90" s="320"/>
      <c r="C90" s="320"/>
      <c r="D90" s="320"/>
      <c r="E90" s="320"/>
      <c r="F90" s="320"/>
      <c r="G90" s="320"/>
      <c r="H90" s="320"/>
      <c r="I90" s="320"/>
      <c r="J90" s="201"/>
      <c r="K90" s="52"/>
      <c r="L90" s="52"/>
      <c r="M90" s="52"/>
      <c r="N90" s="52"/>
      <c r="O90" s="52"/>
      <c r="P90" s="52"/>
      <c r="Q90" s="52"/>
      <c r="R90" s="52"/>
      <c r="S90" s="52"/>
      <c r="T90" s="52"/>
      <c r="U90" s="52"/>
      <c r="V90" s="52"/>
      <c r="W90" s="52"/>
      <c r="X90" s="52"/>
      <c r="Y90" s="52"/>
      <c r="Z90" s="52"/>
      <c r="AA90" s="52"/>
      <c r="AB90" s="52"/>
      <c r="AC90" s="52"/>
    </row>
    <row r="91" spans="1:29">
      <c r="A91" s="320"/>
      <c r="B91" s="320"/>
      <c r="C91" s="320"/>
      <c r="D91" s="320"/>
      <c r="E91" s="320"/>
      <c r="F91" s="320"/>
      <c r="G91" s="320"/>
      <c r="H91" s="320"/>
      <c r="I91" s="320"/>
      <c r="J91" s="201"/>
      <c r="K91" s="52"/>
      <c r="L91" s="52"/>
      <c r="M91" s="52"/>
      <c r="N91" s="52"/>
      <c r="O91" s="52"/>
      <c r="P91" s="52"/>
      <c r="Q91" s="52"/>
      <c r="R91" s="52"/>
      <c r="S91" s="52"/>
      <c r="T91" s="52"/>
      <c r="U91" s="52"/>
      <c r="V91" s="52"/>
      <c r="W91" s="52"/>
      <c r="X91" s="52"/>
      <c r="Y91" s="52"/>
      <c r="Z91" s="52"/>
      <c r="AA91" s="52"/>
      <c r="AB91" s="52"/>
      <c r="AC91" s="52"/>
    </row>
    <row r="92" spans="1:29">
      <c r="A92" s="320" t="s">
        <v>2689</v>
      </c>
      <c r="B92" s="320"/>
      <c r="C92" s="320"/>
      <c r="D92" s="320"/>
      <c r="E92" s="320"/>
      <c r="F92" s="320"/>
      <c r="G92" s="320"/>
      <c r="H92" s="320"/>
      <c r="I92" s="320"/>
      <c r="J92" s="201"/>
      <c r="K92" s="52"/>
      <c r="L92" s="52"/>
      <c r="M92" s="52"/>
      <c r="N92" s="52"/>
      <c r="O92" s="52"/>
      <c r="P92" s="52"/>
      <c r="Q92" s="52"/>
      <c r="R92" s="52"/>
      <c r="S92" s="52"/>
      <c r="T92" s="52"/>
      <c r="U92" s="52"/>
      <c r="V92" s="52"/>
      <c r="W92" s="52"/>
      <c r="X92" s="52"/>
      <c r="Y92" s="52"/>
      <c r="Z92" s="52"/>
      <c r="AA92" s="52"/>
      <c r="AB92" s="52"/>
      <c r="AC92" s="52"/>
    </row>
    <row r="93" spans="1:29">
      <c r="A93" s="320"/>
      <c r="B93" s="320"/>
      <c r="C93" s="320"/>
      <c r="D93" s="320"/>
      <c r="E93" s="320"/>
      <c r="F93" s="320"/>
      <c r="G93" s="320"/>
      <c r="H93" s="320"/>
      <c r="I93" s="320"/>
      <c r="J93" s="201"/>
      <c r="K93" s="52"/>
      <c r="L93" s="52"/>
      <c r="M93" s="52"/>
      <c r="N93" s="52"/>
      <c r="O93" s="52"/>
      <c r="P93" s="52"/>
      <c r="Q93" s="52"/>
      <c r="R93" s="52"/>
      <c r="S93" s="52"/>
      <c r="T93" s="52"/>
      <c r="U93" s="52"/>
      <c r="V93" s="52"/>
      <c r="W93" s="52"/>
      <c r="X93" s="52"/>
      <c r="Y93" s="52"/>
      <c r="Z93" s="52"/>
      <c r="AA93" s="52"/>
      <c r="AB93" s="52"/>
      <c r="AC93" s="52"/>
    </row>
    <row r="94" spans="1:29">
      <c r="A94" s="320" t="s">
        <v>2690</v>
      </c>
      <c r="B94" s="320"/>
      <c r="C94" s="320"/>
      <c r="D94" s="320"/>
      <c r="E94" s="320"/>
      <c r="F94" s="320"/>
      <c r="G94" s="320"/>
      <c r="H94" s="320"/>
      <c r="I94" s="320"/>
      <c r="J94" s="201"/>
      <c r="K94" s="52"/>
      <c r="L94" s="52"/>
      <c r="M94" s="52"/>
      <c r="N94" s="52"/>
      <c r="O94" s="52"/>
      <c r="P94" s="52"/>
      <c r="Q94" s="52"/>
      <c r="R94" s="52"/>
      <c r="S94" s="52"/>
      <c r="T94" s="52"/>
      <c r="U94" s="52"/>
      <c r="V94" s="52"/>
      <c r="W94" s="52"/>
      <c r="X94" s="52"/>
      <c r="Y94" s="52"/>
      <c r="Z94" s="52"/>
      <c r="AA94" s="52"/>
      <c r="AB94" s="52"/>
      <c r="AC94" s="52"/>
    </row>
    <row r="95" spans="1:29">
      <c r="A95" s="201"/>
      <c r="B95" s="201"/>
      <c r="C95" s="201"/>
      <c r="D95" s="201"/>
      <c r="E95" s="201"/>
      <c r="F95" s="201"/>
      <c r="G95" s="201"/>
      <c r="H95" s="201"/>
      <c r="I95" s="201"/>
      <c r="J95" s="201"/>
      <c r="K95" s="52"/>
      <c r="L95" s="52"/>
      <c r="M95" s="52"/>
      <c r="N95" s="52"/>
      <c r="O95" s="52"/>
      <c r="P95" s="52"/>
      <c r="Q95" s="52"/>
      <c r="R95" s="52"/>
      <c r="S95" s="52"/>
      <c r="T95" s="52"/>
      <c r="U95" s="52"/>
      <c r="V95" s="52"/>
      <c r="W95" s="52"/>
      <c r="X95" s="52"/>
      <c r="Y95" s="52"/>
      <c r="Z95" s="52"/>
      <c r="AA95" s="52"/>
      <c r="AB95" s="52"/>
      <c r="AC95" s="52"/>
    </row>
    <row r="96" spans="1:29">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row>
    <row r="97" spans="1:29">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row>
    <row r="98" spans="1:29">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row>
    <row r="99" spans="1:2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row>
  </sheetData>
  <mergeCells count="5">
    <mergeCell ref="A21:H25"/>
    <mergeCell ref="A12:H18"/>
    <mergeCell ref="A5:H9"/>
    <mergeCell ref="A28:H32"/>
    <mergeCell ref="A1:H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02D5-98D7-429F-9E31-D1F2BD4D9BD4}">
  <dimension ref="A1:BF204"/>
  <sheetViews>
    <sheetView zoomScale="60" zoomScaleNormal="90" workbookViewId="0">
      <selection activeCell="F90" sqref="F90"/>
    </sheetView>
  </sheetViews>
  <sheetFormatPr defaultRowHeight="14"/>
  <cols>
    <col min="1" max="1" width="44" customWidth="1"/>
    <col min="2" max="2" width="40.58203125" customWidth="1"/>
    <col min="3" max="3" width="73.83203125" customWidth="1"/>
    <col min="4" max="4" width="76.58203125" customWidth="1"/>
    <col min="5" max="5" width="42" customWidth="1"/>
    <col min="6" max="6" width="19.4140625" customWidth="1"/>
    <col min="7" max="7" width="27.4140625" customWidth="1"/>
    <col min="8" max="8" width="12.4140625" customWidth="1"/>
    <col min="9" max="9" width="20.75" customWidth="1"/>
    <col min="10" max="10" width="16.1640625" customWidth="1"/>
    <col min="11" max="11" width="13.75" customWidth="1"/>
    <col min="12" max="12" width="17.58203125" customWidth="1"/>
    <col min="13" max="13" width="20.75" customWidth="1"/>
    <col min="14" max="14" width="15.83203125" customWidth="1"/>
    <col min="15" max="15" width="14.25" customWidth="1"/>
    <col min="16" max="16" width="9.75" customWidth="1"/>
    <col min="20" max="20" width="10" customWidth="1"/>
    <col min="40" max="40" width="11.75" customWidth="1"/>
    <col min="51" max="51" width="16.4140625" customWidth="1"/>
  </cols>
  <sheetData>
    <row r="1" spans="1:58">
      <c r="A1" s="18" t="s">
        <v>450</v>
      </c>
      <c r="B1" s="288"/>
      <c r="C1" s="3"/>
      <c r="D1" s="6" t="s">
        <v>808</v>
      </c>
      <c r="E1" s="6" t="s">
        <v>117</v>
      </c>
      <c r="F1" s="52"/>
      <c r="G1" s="52"/>
      <c r="H1" s="52"/>
      <c r="I1" s="52"/>
      <c r="J1" s="52"/>
      <c r="K1" s="52"/>
      <c r="L1" s="52"/>
      <c r="M1" s="52"/>
      <c r="N1" s="52"/>
      <c r="O1" s="52"/>
      <c r="P1" s="52"/>
      <c r="Q1" s="52"/>
      <c r="R1" s="52"/>
      <c r="S1" s="52"/>
      <c r="T1" s="52"/>
      <c r="U1" s="52"/>
      <c r="V1" s="53"/>
      <c r="W1" s="54"/>
      <c r="X1" s="54"/>
      <c r="Y1" s="55"/>
      <c r="Z1" s="55"/>
      <c r="AA1" s="55"/>
      <c r="AB1" s="55"/>
      <c r="AC1" s="55"/>
      <c r="AD1" s="55"/>
      <c r="AE1" s="55"/>
      <c r="AF1" s="55"/>
      <c r="AG1" s="55"/>
      <c r="AH1" s="55"/>
      <c r="AI1" s="55"/>
      <c r="AJ1" s="55"/>
      <c r="AK1" s="55"/>
      <c r="AL1" s="51"/>
      <c r="AM1" s="51"/>
      <c r="AN1" s="51"/>
      <c r="AO1" s="51"/>
      <c r="AP1" s="51"/>
      <c r="AQ1" s="52"/>
      <c r="AR1" s="52"/>
      <c r="AS1" s="52"/>
      <c r="AT1" s="52"/>
      <c r="AU1" s="52"/>
      <c r="AV1" s="52"/>
      <c r="AW1" s="52"/>
      <c r="AX1" s="52"/>
      <c r="AY1" s="52"/>
      <c r="AZ1" s="52"/>
      <c r="BA1" s="52"/>
      <c r="BB1" s="52"/>
      <c r="BC1" s="52"/>
      <c r="BD1" s="52"/>
      <c r="BE1" s="52"/>
      <c r="BF1" s="52"/>
    </row>
    <row r="2" spans="1:58">
      <c r="A2" s="19" t="s">
        <v>807</v>
      </c>
      <c r="B2" s="288"/>
      <c r="C2" s="64" t="s">
        <v>1859</v>
      </c>
      <c r="D2" s="29" t="s">
        <v>809</v>
      </c>
      <c r="E2" s="248">
        <v>2024</v>
      </c>
      <c r="F2" s="52"/>
      <c r="G2" s="27" t="s">
        <v>1565</v>
      </c>
      <c r="H2" s="27">
        <v>2025</v>
      </c>
      <c r="I2" s="27">
        <v>2026</v>
      </c>
      <c r="J2" s="27">
        <v>2027</v>
      </c>
      <c r="K2" s="27">
        <v>2028</v>
      </c>
      <c r="L2" s="27">
        <v>2029</v>
      </c>
      <c r="M2" s="52"/>
      <c r="N2" s="52"/>
      <c r="O2" s="52"/>
      <c r="P2" s="52"/>
      <c r="Q2" s="52"/>
      <c r="R2" s="52"/>
      <c r="S2" s="52"/>
      <c r="T2" s="52"/>
      <c r="U2" s="52"/>
      <c r="V2" s="53"/>
      <c r="W2" s="54"/>
      <c r="X2" s="54"/>
      <c r="Y2" s="55"/>
      <c r="Z2" s="55"/>
      <c r="AA2" s="55"/>
      <c r="AB2" s="55"/>
      <c r="AC2" s="55"/>
      <c r="AD2" s="55"/>
      <c r="AE2" s="55"/>
      <c r="AF2" s="55"/>
      <c r="AG2" s="55"/>
      <c r="AH2" s="55"/>
      <c r="AI2" s="55"/>
      <c r="AJ2" s="55"/>
      <c r="AK2" s="55"/>
      <c r="AL2" s="51"/>
      <c r="AM2" s="51"/>
      <c r="AN2" s="51"/>
      <c r="AO2" s="51"/>
      <c r="AP2" s="51"/>
      <c r="AQ2" s="52"/>
      <c r="AR2" s="52"/>
      <c r="AS2" s="52"/>
      <c r="AT2" s="52"/>
      <c r="AU2" s="52"/>
      <c r="AV2" s="52"/>
      <c r="AW2" s="52"/>
      <c r="AX2" s="52"/>
      <c r="AY2" s="52"/>
      <c r="AZ2" s="52"/>
      <c r="BA2" s="52"/>
      <c r="BB2" s="52"/>
      <c r="BC2" s="52"/>
      <c r="BD2" s="52"/>
      <c r="BE2" s="52"/>
      <c r="BF2" s="52"/>
    </row>
    <row r="3" spans="1:58">
      <c r="A3" s="6" t="s">
        <v>129</v>
      </c>
      <c r="B3" s="6" t="s">
        <v>117</v>
      </c>
      <c r="C3" s="6" t="s">
        <v>142</v>
      </c>
      <c r="D3" s="29" t="s">
        <v>810</v>
      </c>
      <c r="E3" s="248">
        <v>2025</v>
      </c>
      <c r="F3" s="52"/>
      <c r="G3" s="320" t="s">
        <v>2131</v>
      </c>
      <c r="H3" s="330">
        <v>0.1</v>
      </c>
      <c r="I3" s="330">
        <v>0.11</v>
      </c>
      <c r="J3" s="330">
        <v>0.1</v>
      </c>
      <c r="K3" s="330">
        <v>0.09</v>
      </c>
      <c r="L3" s="330">
        <v>0.08</v>
      </c>
      <c r="M3" s="52"/>
      <c r="N3" s="52"/>
      <c r="O3" s="52"/>
      <c r="P3" s="52"/>
      <c r="Q3" s="52"/>
      <c r="R3" s="52"/>
      <c r="S3" s="52"/>
      <c r="T3" s="52"/>
      <c r="U3" s="52"/>
      <c r="V3" s="53"/>
      <c r="W3" s="54"/>
      <c r="X3" s="54"/>
      <c r="Y3" s="55"/>
      <c r="Z3" s="55"/>
      <c r="AA3" s="55"/>
      <c r="AB3" s="55"/>
      <c r="AC3" s="55"/>
      <c r="AD3" s="55"/>
      <c r="AE3" s="55"/>
      <c r="AF3" s="55"/>
      <c r="AG3" s="55"/>
      <c r="AH3" s="55"/>
      <c r="AI3" s="55"/>
      <c r="AJ3" s="55"/>
      <c r="AK3" s="55"/>
      <c r="AL3" s="51"/>
      <c r="AM3" s="51"/>
      <c r="AN3" s="51"/>
      <c r="AO3" s="51"/>
      <c r="AP3" s="51"/>
      <c r="AQ3" s="52"/>
      <c r="AR3" s="52"/>
      <c r="AS3" s="52"/>
      <c r="AT3" s="52"/>
      <c r="AU3" s="52"/>
      <c r="AV3" s="52"/>
      <c r="AW3" s="52"/>
      <c r="AX3" s="52"/>
      <c r="AY3" s="52"/>
      <c r="AZ3" s="52"/>
      <c r="BA3" s="52"/>
      <c r="BB3" s="52"/>
      <c r="BC3" s="52"/>
      <c r="BD3" s="52"/>
      <c r="BE3" s="52"/>
      <c r="BF3" s="52"/>
    </row>
    <row r="4" spans="1:58" ht="42">
      <c r="A4" s="29" t="s">
        <v>130</v>
      </c>
      <c r="B4" s="93">
        <f>H5</f>
        <v>0.12000000000000001</v>
      </c>
      <c r="C4" s="18" t="s">
        <v>1669</v>
      </c>
      <c r="D4" s="29" t="s">
        <v>811</v>
      </c>
      <c r="E4" s="248">
        <v>2029</v>
      </c>
      <c r="F4" s="52"/>
      <c r="G4" s="320" t="s">
        <v>2132</v>
      </c>
      <c r="H4" s="330">
        <v>0.02</v>
      </c>
      <c r="I4" s="330">
        <v>0.02</v>
      </c>
      <c r="J4" s="330">
        <v>0.02</v>
      </c>
      <c r="K4" s="330">
        <v>0.02</v>
      </c>
      <c r="L4" s="330">
        <v>0.02</v>
      </c>
      <c r="M4" s="52"/>
      <c r="N4" s="52"/>
      <c r="O4" s="52"/>
      <c r="P4" s="52"/>
      <c r="Q4" s="52"/>
      <c r="R4" s="52"/>
      <c r="S4" s="52"/>
      <c r="T4" s="52"/>
      <c r="U4" s="52"/>
      <c r="V4" s="53"/>
      <c r="W4" s="54"/>
      <c r="X4" s="54"/>
      <c r="Y4" s="55"/>
      <c r="Z4" s="55"/>
      <c r="AA4" s="55"/>
      <c r="AB4" s="55"/>
      <c r="AC4" s="55"/>
      <c r="AD4" s="55"/>
      <c r="AE4" s="55"/>
      <c r="AF4" s="55"/>
      <c r="AG4" s="55"/>
      <c r="AH4" s="55"/>
      <c r="AI4" s="55"/>
      <c r="AJ4" s="55"/>
      <c r="AK4" s="55"/>
      <c r="AL4" s="51"/>
      <c r="AM4" s="51"/>
      <c r="AN4" s="51"/>
      <c r="AO4" s="51"/>
      <c r="AP4" s="51"/>
      <c r="AQ4" s="52"/>
      <c r="AR4" s="52"/>
      <c r="AS4" s="52"/>
      <c r="AT4" s="52"/>
      <c r="AU4" s="52"/>
      <c r="AV4" s="52"/>
      <c r="AW4" s="52"/>
      <c r="AX4" s="52"/>
      <c r="AY4" s="52"/>
      <c r="AZ4" s="52"/>
      <c r="BA4" s="52"/>
      <c r="BB4" s="52"/>
      <c r="BC4" s="52"/>
      <c r="BD4" s="52"/>
      <c r="BE4" s="52"/>
      <c r="BF4" s="52"/>
    </row>
    <row r="5" spans="1:58" ht="28">
      <c r="A5" s="29" t="s">
        <v>131</v>
      </c>
      <c r="B5" s="93">
        <f>I5</f>
        <v>0.13</v>
      </c>
      <c r="C5" s="18" t="s">
        <v>1670</v>
      </c>
      <c r="D5" s="29" t="s">
        <v>812</v>
      </c>
      <c r="E5" s="248" t="s">
        <v>813</v>
      </c>
      <c r="F5" s="52"/>
      <c r="G5" s="320" t="s">
        <v>2133</v>
      </c>
      <c r="H5" s="330">
        <f>H3+H4</f>
        <v>0.12000000000000001</v>
      </c>
      <c r="I5" s="330">
        <f>I3+I4</f>
        <v>0.13</v>
      </c>
      <c r="J5" s="330">
        <f>J3+J4</f>
        <v>0.12000000000000001</v>
      </c>
      <c r="K5" s="330">
        <f>K3+K4</f>
        <v>0.11</v>
      </c>
      <c r="L5" s="330">
        <f>L3+L4</f>
        <v>0.1</v>
      </c>
      <c r="M5" s="52"/>
      <c r="N5" s="52"/>
      <c r="O5" s="52"/>
      <c r="P5" s="52"/>
      <c r="Q5" s="52"/>
      <c r="R5" s="52"/>
      <c r="S5" s="52"/>
      <c r="T5" s="52"/>
      <c r="U5" s="52"/>
      <c r="V5" s="53"/>
      <c r="W5" s="54"/>
      <c r="X5" s="54"/>
      <c r="Y5" s="55"/>
      <c r="Z5" s="55"/>
      <c r="AA5" s="55"/>
      <c r="AB5" s="55"/>
      <c r="AC5" s="55"/>
      <c r="AD5" s="55"/>
      <c r="AE5" s="55"/>
      <c r="AF5" s="55"/>
      <c r="AG5" s="55"/>
      <c r="AH5" s="55"/>
      <c r="AI5" s="55"/>
      <c r="AJ5" s="55"/>
      <c r="AK5" s="55"/>
      <c r="AL5" s="51"/>
      <c r="AM5" s="51"/>
      <c r="AN5" s="51"/>
      <c r="AO5" s="51"/>
      <c r="AP5" s="51"/>
      <c r="AQ5" s="52"/>
      <c r="AR5" s="52"/>
      <c r="AS5" s="52"/>
      <c r="AT5" s="52"/>
      <c r="AU5" s="52"/>
      <c r="AV5" s="52"/>
      <c r="AW5" s="52"/>
      <c r="AX5" s="52"/>
      <c r="AY5" s="52"/>
      <c r="AZ5" s="52"/>
      <c r="BA5" s="52"/>
      <c r="BB5" s="52"/>
      <c r="BC5" s="52"/>
      <c r="BD5" s="52"/>
      <c r="BE5" s="52"/>
      <c r="BF5" s="52"/>
    </row>
    <row r="6" spans="1:58" ht="28">
      <c r="A6" s="29" t="s">
        <v>132</v>
      </c>
      <c r="B6" s="93">
        <f>J5</f>
        <v>0.12000000000000001</v>
      </c>
      <c r="C6" s="18" t="s">
        <v>1671</v>
      </c>
      <c r="D6" s="63" t="s">
        <v>1238</v>
      </c>
      <c r="E6" s="63" t="s">
        <v>2526</v>
      </c>
      <c r="F6" s="52"/>
      <c r="G6" s="63" t="s">
        <v>2137</v>
      </c>
      <c r="H6" s="63"/>
      <c r="I6" s="63"/>
      <c r="J6" s="63"/>
      <c r="K6" s="63"/>
      <c r="L6" s="63"/>
      <c r="M6" s="392"/>
      <c r="N6" s="392"/>
      <c r="O6" s="392"/>
      <c r="P6" s="52"/>
      <c r="Q6" s="52"/>
      <c r="R6" s="52"/>
      <c r="S6" s="52"/>
      <c r="T6" s="52"/>
      <c r="U6" s="52"/>
      <c r="V6" s="53"/>
      <c r="W6" s="54"/>
      <c r="X6" s="54"/>
      <c r="Y6" s="55"/>
      <c r="Z6" s="55"/>
      <c r="AA6" s="55"/>
      <c r="AB6" s="55"/>
      <c r="AC6" s="55"/>
      <c r="AD6" s="55"/>
      <c r="AE6" s="55"/>
      <c r="AF6" s="55"/>
      <c r="AG6" s="55"/>
      <c r="AH6" s="55"/>
      <c r="AI6" s="55"/>
      <c r="AJ6" s="55"/>
      <c r="AK6" s="55"/>
      <c r="AL6" s="51"/>
      <c r="AM6" s="51"/>
      <c r="AN6" s="51"/>
      <c r="AO6" s="51"/>
      <c r="AP6" s="51"/>
      <c r="AQ6" s="52"/>
      <c r="AR6" s="52"/>
      <c r="AS6" s="52"/>
      <c r="AT6" s="52"/>
      <c r="AU6" s="52"/>
      <c r="AV6" s="52"/>
      <c r="AW6" s="52"/>
      <c r="AX6" s="52"/>
      <c r="AY6" s="52"/>
      <c r="AZ6" s="52"/>
      <c r="BA6" s="52"/>
      <c r="BB6" s="52"/>
      <c r="BC6" s="52"/>
      <c r="BD6" s="52"/>
      <c r="BE6" s="52"/>
      <c r="BF6" s="52"/>
    </row>
    <row r="7" spans="1:58" ht="28">
      <c r="A7" s="29" t="s">
        <v>133</v>
      </c>
      <c r="B7" s="93">
        <f>K5</f>
        <v>0.11</v>
      </c>
      <c r="C7" s="18" t="s">
        <v>1672</v>
      </c>
      <c r="D7" s="63" t="s">
        <v>1239</v>
      </c>
      <c r="E7" s="63"/>
      <c r="F7" s="52"/>
      <c r="G7" s="27" t="s">
        <v>2134</v>
      </c>
      <c r="H7" s="27">
        <v>2025</v>
      </c>
      <c r="I7" s="27">
        <v>2026</v>
      </c>
      <c r="J7" s="27">
        <v>2027</v>
      </c>
      <c r="K7" s="27">
        <v>2028</v>
      </c>
      <c r="L7" s="27">
        <v>2029</v>
      </c>
      <c r="M7" s="52"/>
      <c r="N7" s="52"/>
      <c r="O7" s="52"/>
      <c r="P7" s="52"/>
      <c r="Q7" s="52"/>
      <c r="R7" s="52"/>
      <c r="S7" s="52"/>
      <c r="T7" s="52"/>
      <c r="U7" s="52"/>
      <c r="V7" s="53"/>
      <c r="W7" s="54"/>
      <c r="X7" s="54"/>
      <c r="Y7" s="55"/>
      <c r="Z7" s="55"/>
      <c r="AA7" s="55"/>
      <c r="AB7" s="55"/>
      <c r="AC7" s="55"/>
      <c r="AD7" s="55"/>
      <c r="AE7" s="55"/>
      <c r="AF7" s="55"/>
      <c r="AG7" s="55"/>
      <c r="AH7" s="55"/>
      <c r="AI7" s="55"/>
      <c r="AJ7" s="55"/>
      <c r="AK7" s="55"/>
      <c r="AL7" s="51"/>
      <c r="AM7" s="51"/>
      <c r="AN7" s="51"/>
      <c r="AO7" s="51"/>
      <c r="AP7" s="51"/>
      <c r="AQ7" s="52"/>
      <c r="AR7" s="52"/>
      <c r="AS7" s="52"/>
      <c r="AT7" s="52"/>
      <c r="AU7" s="52"/>
      <c r="AV7" s="52"/>
      <c r="AW7" s="52"/>
      <c r="AX7" s="52"/>
      <c r="AY7" s="52"/>
      <c r="AZ7" s="52"/>
      <c r="BA7" s="52"/>
      <c r="BB7" s="52"/>
      <c r="BC7" s="52"/>
      <c r="BD7" s="52"/>
      <c r="BE7" s="52"/>
      <c r="BF7" s="52"/>
    </row>
    <row r="8" spans="1:58" ht="28">
      <c r="A8" s="29" t="s">
        <v>134</v>
      </c>
      <c r="B8" s="93">
        <f>L5</f>
        <v>0.1</v>
      </c>
      <c r="C8" s="18" t="s">
        <v>1673</v>
      </c>
      <c r="D8" s="63" t="s">
        <v>1240</v>
      </c>
      <c r="E8" s="429" t="s">
        <v>2529</v>
      </c>
      <c r="F8" s="52"/>
      <c r="G8" s="320" t="s">
        <v>2135</v>
      </c>
      <c r="H8" s="330">
        <v>0.25</v>
      </c>
      <c r="I8" s="336">
        <v>0.245</v>
      </c>
      <c r="J8" s="330">
        <v>0.24</v>
      </c>
      <c r="K8" s="336">
        <v>0.23499999999999999</v>
      </c>
      <c r="L8" s="330">
        <v>0.23</v>
      </c>
      <c r="M8" s="52"/>
      <c r="N8" s="52"/>
      <c r="O8" s="52"/>
      <c r="P8" s="52"/>
      <c r="Q8" s="52"/>
      <c r="R8" s="52"/>
      <c r="S8" s="52"/>
      <c r="T8" s="52"/>
      <c r="U8" s="52"/>
      <c r="V8" s="53"/>
      <c r="W8" s="55"/>
      <c r="X8" s="55"/>
      <c r="Y8" s="55"/>
      <c r="Z8" s="55"/>
      <c r="AA8" s="55"/>
      <c r="AB8" s="55"/>
      <c r="AC8" s="55"/>
      <c r="AD8" s="55"/>
      <c r="AE8" s="55"/>
      <c r="AF8" s="55"/>
      <c r="AG8" s="55"/>
      <c r="AH8" s="55"/>
      <c r="AI8" s="55"/>
      <c r="AJ8" s="55"/>
      <c r="AK8" s="55"/>
      <c r="AL8" s="51"/>
      <c r="AM8" s="51"/>
      <c r="AN8" s="51"/>
      <c r="AO8" s="51"/>
      <c r="AP8" s="51"/>
      <c r="AQ8" s="52"/>
      <c r="AR8" s="52"/>
      <c r="AS8" s="52"/>
      <c r="AT8" s="52"/>
      <c r="AU8" s="52"/>
      <c r="AV8" s="52"/>
      <c r="AW8" s="52"/>
      <c r="AX8" s="52"/>
      <c r="AY8" s="52"/>
      <c r="AZ8" s="52"/>
      <c r="BA8" s="52"/>
      <c r="BB8" s="52"/>
      <c r="BC8" s="52"/>
      <c r="BD8" s="52"/>
      <c r="BE8" s="52"/>
      <c r="BF8" s="52"/>
    </row>
    <row r="9" spans="1:58">
      <c r="A9" s="29" t="s">
        <v>787</v>
      </c>
      <c r="B9" s="94">
        <f>'DCF Valuation'!B8</f>
        <v>0.03</v>
      </c>
      <c r="C9" s="18" t="s">
        <v>1852</v>
      </c>
      <c r="D9" s="64" t="s">
        <v>1241</v>
      </c>
      <c r="E9" s="64" t="s">
        <v>2527</v>
      </c>
      <c r="F9" s="52"/>
      <c r="G9" s="52"/>
      <c r="H9" s="52"/>
      <c r="I9" s="52"/>
      <c r="J9" s="52"/>
      <c r="K9" s="52"/>
      <c r="L9" s="52"/>
      <c r="M9" s="52"/>
      <c r="N9" s="52"/>
      <c r="O9" s="52"/>
      <c r="P9" s="52"/>
      <c r="Q9" s="52"/>
      <c r="R9" s="52"/>
      <c r="S9" s="52"/>
      <c r="T9" s="52"/>
      <c r="U9" s="52"/>
      <c r="V9" s="53"/>
      <c r="W9" s="55"/>
      <c r="X9" s="55"/>
      <c r="Y9" s="55"/>
      <c r="Z9" s="55"/>
      <c r="AA9" s="55"/>
      <c r="AB9" s="55"/>
      <c r="AC9" s="55"/>
      <c r="AD9" s="55"/>
      <c r="AE9" s="55"/>
      <c r="AF9" s="55"/>
      <c r="AG9" s="55"/>
      <c r="AH9" s="55"/>
      <c r="AI9" s="55"/>
      <c r="AJ9" s="55"/>
      <c r="AK9" s="55"/>
      <c r="AL9" s="51"/>
      <c r="AM9" s="51"/>
      <c r="AN9" s="51"/>
      <c r="AO9" s="51"/>
      <c r="AP9" s="51"/>
      <c r="AQ9" s="52"/>
      <c r="AR9" s="52"/>
      <c r="AS9" s="52"/>
      <c r="AT9" s="52"/>
      <c r="AU9" s="52"/>
      <c r="AV9" s="52"/>
      <c r="AW9" s="52"/>
      <c r="AX9" s="52"/>
      <c r="AY9" s="52"/>
      <c r="AZ9" s="52"/>
      <c r="BA9" s="52"/>
      <c r="BB9" s="52"/>
      <c r="BC9" s="52"/>
      <c r="BD9" s="52"/>
      <c r="BE9" s="52"/>
      <c r="BF9" s="52"/>
    </row>
    <row r="10" spans="1:58" ht="28">
      <c r="A10" s="29" t="s">
        <v>1853</v>
      </c>
      <c r="B10" s="94"/>
      <c r="C10" s="18" t="s">
        <v>1830</v>
      </c>
      <c r="D10" s="3"/>
      <c r="E10" s="64" t="s">
        <v>2528</v>
      </c>
      <c r="F10" s="52"/>
      <c r="G10" s="63" t="s">
        <v>2136</v>
      </c>
      <c r="H10" s="63"/>
      <c r="I10" s="63"/>
      <c r="J10" s="63"/>
      <c r="K10" s="63"/>
      <c r="L10" s="63"/>
      <c r="M10" s="63"/>
      <c r="N10" s="50"/>
      <c r="O10" s="52"/>
      <c r="P10" s="52"/>
      <c r="Q10" s="52"/>
      <c r="R10" s="52"/>
      <c r="S10" s="52"/>
      <c r="T10" s="52"/>
      <c r="U10" s="52"/>
      <c r="V10" s="53"/>
      <c r="W10" s="55"/>
      <c r="X10" s="55"/>
      <c r="Y10" s="55"/>
      <c r="Z10" s="55"/>
      <c r="AA10" s="55"/>
      <c r="AB10" s="55"/>
      <c r="AC10" s="55"/>
      <c r="AD10" s="55"/>
      <c r="AE10" s="55"/>
      <c r="AF10" s="55"/>
      <c r="AG10" s="55"/>
      <c r="AH10" s="55"/>
      <c r="AI10" s="55"/>
      <c r="AJ10" s="55"/>
      <c r="AK10" s="55"/>
      <c r="AL10" s="51"/>
      <c r="AM10" s="51"/>
      <c r="AN10" s="51"/>
      <c r="AO10" s="51"/>
      <c r="AP10" s="51"/>
      <c r="AQ10" s="52"/>
      <c r="AR10" s="52"/>
      <c r="AS10" s="52"/>
      <c r="AT10" s="52"/>
      <c r="AU10" s="52"/>
      <c r="AV10" s="52"/>
      <c r="AW10" s="52"/>
      <c r="AX10" s="52"/>
      <c r="AY10" s="52"/>
      <c r="AZ10" s="52"/>
      <c r="BA10" s="52"/>
      <c r="BB10" s="52"/>
      <c r="BC10" s="52"/>
      <c r="BD10" s="52"/>
      <c r="BE10" s="52"/>
      <c r="BF10" s="52"/>
    </row>
    <row r="11" spans="1:58">
      <c r="A11" s="19" t="s">
        <v>792</v>
      </c>
      <c r="B11" s="12"/>
      <c r="C11" s="3"/>
      <c r="D11" s="3"/>
      <c r="E11" s="3"/>
      <c r="F11" s="52"/>
      <c r="G11" s="52"/>
      <c r="H11" s="52"/>
      <c r="I11" s="52"/>
      <c r="J11" s="52"/>
      <c r="K11" s="52"/>
      <c r="L11" s="52"/>
      <c r="M11" s="52"/>
      <c r="N11" s="52"/>
      <c r="O11" s="52"/>
      <c r="P11" s="52"/>
      <c r="Q11" s="52"/>
      <c r="R11" s="52"/>
      <c r="S11" s="52"/>
      <c r="T11" s="52"/>
      <c r="U11" s="52"/>
      <c r="V11" s="53"/>
      <c r="W11" s="55"/>
      <c r="X11" s="55"/>
      <c r="Y11" s="55"/>
      <c r="Z11" s="55"/>
      <c r="AA11" s="55"/>
      <c r="AB11" s="55"/>
      <c r="AC11" s="55"/>
      <c r="AD11" s="55"/>
      <c r="AE11" s="55"/>
      <c r="AF11" s="55"/>
      <c r="AG11" s="55"/>
      <c r="AH11" s="55"/>
      <c r="AI11" s="55"/>
      <c r="AJ11" s="55"/>
      <c r="AK11" s="55"/>
      <c r="AL11" s="51"/>
      <c r="AM11" s="51"/>
      <c r="AN11" s="51"/>
      <c r="AO11" s="51"/>
      <c r="AP11" s="51"/>
      <c r="AQ11" s="52"/>
      <c r="AR11" s="52"/>
      <c r="AS11" s="52"/>
      <c r="AT11" s="52"/>
      <c r="AU11" s="52"/>
      <c r="AV11" s="52"/>
      <c r="AW11" s="52"/>
      <c r="AX11" s="52"/>
      <c r="AY11" s="52"/>
      <c r="AZ11" s="52"/>
      <c r="BA11" s="52"/>
      <c r="BB11" s="52"/>
      <c r="BC11" s="52"/>
      <c r="BD11" s="52"/>
      <c r="BE11" s="52"/>
      <c r="BF11" s="52"/>
    </row>
    <row r="12" spans="1:58" ht="32.25" customHeight="1">
      <c r="A12" s="6" t="s">
        <v>129</v>
      </c>
      <c r="B12" s="7" t="s">
        <v>117</v>
      </c>
      <c r="C12" s="6" t="s">
        <v>142</v>
      </c>
      <c r="D12" s="64" t="s">
        <v>2524</v>
      </c>
      <c r="E12" s="64" t="s">
        <v>2530</v>
      </c>
      <c r="F12" s="52"/>
      <c r="G12" s="27" t="s">
        <v>2138</v>
      </c>
      <c r="H12" s="27" t="s">
        <v>129</v>
      </c>
      <c r="I12" s="27" t="s">
        <v>1126</v>
      </c>
      <c r="J12" s="52"/>
      <c r="K12" s="52"/>
      <c r="L12" s="52"/>
      <c r="M12" s="52"/>
      <c r="N12" s="52"/>
      <c r="O12" s="52"/>
      <c r="P12" s="52"/>
      <c r="Q12" s="52"/>
      <c r="R12" s="52"/>
      <c r="S12" s="52"/>
      <c r="T12" s="52"/>
      <c r="U12" s="52"/>
      <c r="V12" s="52"/>
      <c r="W12" s="54"/>
      <c r="X12" s="54"/>
      <c r="Y12" s="54"/>
      <c r="Z12" s="54"/>
      <c r="AA12" s="55"/>
      <c r="AB12" s="55"/>
      <c r="AC12" s="55"/>
      <c r="AD12" s="55"/>
      <c r="AE12" s="55"/>
      <c r="AF12" s="55"/>
      <c r="AG12" s="55"/>
      <c r="AH12" s="55"/>
      <c r="AI12" s="55"/>
      <c r="AJ12" s="55"/>
      <c r="AK12" s="55"/>
      <c r="AL12" s="51"/>
      <c r="AM12" s="51"/>
      <c r="AN12" s="51"/>
      <c r="AO12" s="51"/>
      <c r="AP12" s="51"/>
      <c r="AQ12" s="52"/>
      <c r="AR12" s="52"/>
      <c r="AS12" s="52"/>
      <c r="AT12" s="52"/>
      <c r="AU12" s="52"/>
      <c r="AV12" s="52"/>
      <c r="AW12" s="52"/>
      <c r="AX12" s="52"/>
      <c r="AY12" s="52"/>
      <c r="AZ12" s="52"/>
      <c r="BA12" s="52"/>
      <c r="BB12" s="52"/>
      <c r="BC12" s="52"/>
      <c r="BD12" s="52"/>
      <c r="BE12" s="52"/>
      <c r="BF12" s="52"/>
    </row>
    <row r="13" spans="1:58">
      <c r="A13" s="18"/>
      <c r="B13" s="95"/>
      <c r="C13" s="18" t="s">
        <v>788</v>
      </c>
      <c r="D13" s="64"/>
      <c r="E13" s="530"/>
      <c r="F13" s="52"/>
      <c r="G13" s="320" t="s">
        <v>1605</v>
      </c>
      <c r="H13" s="320" t="s">
        <v>2139</v>
      </c>
      <c r="I13" s="320" t="s">
        <v>2140</v>
      </c>
      <c r="J13" s="52"/>
      <c r="K13" s="52"/>
      <c r="L13" s="52"/>
      <c r="M13" s="52"/>
      <c r="N13" s="52"/>
      <c r="O13" s="52"/>
      <c r="P13" s="52"/>
      <c r="Q13" s="52"/>
      <c r="R13" s="52"/>
      <c r="S13" s="52"/>
      <c r="T13" s="52"/>
      <c r="U13" s="52"/>
      <c r="V13" s="53"/>
      <c r="W13" s="54"/>
      <c r="X13" s="54"/>
      <c r="Y13" s="54"/>
      <c r="Z13" s="54"/>
      <c r="AA13" s="55"/>
      <c r="AB13" s="55"/>
      <c r="AC13" s="52"/>
      <c r="AD13" s="52"/>
      <c r="AE13" s="55"/>
      <c r="AF13" s="55"/>
      <c r="AG13" s="55"/>
      <c r="AH13" s="55"/>
      <c r="AI13" s="55"/>
      <c r="AJ13" s="55"/>
      <c r="AK13" s="55"/>
      <c r="AL13" s="51"/>
      <c r="AM13" s="51"/>
      <c r="AN13" s="51"/>
      <c r="AO13" s="51"/>
      <c r="AP13" s="51"/>
      <c r="AQ13" s="52"/>
      <c r="AR13" s="52"/>
      <c r="AS13" s="52"/>
      <c r="AT13" s="52"/>
      <c r="AU13" s="52"/>
      <c r="AV13" s="52"/>
      <c r="AW13" s="52"/>
      <c r="AX13" s="52"/>
      <c r="AY13" s="52"/>
      <c r="AZ13" s="52"/>
      <c r="BA13" s="52"/>
      <c r="BB13" s="52"/>
      <c r="BC13" s="52"/>
      <c r="BD13" s="52"/>
      <c r="BE13" s="52"/>
      <c r="BF13" s="52"/>
    </row>
    <row r="14" spans="1:58" ht="49.5" customHeight="1">
      <c r="A14" s="29" t="s">
        <v>118</v>
      </c>
      <c r="B14" s="93">
        <v>0.16</v>
      </c>
      <c r="C14" s="18" t="s">
        <v>1674</v>
      </c>
      <c r="D14" s="64" t="s">
        <v>2521</v>
      </c>
      <c r="E14" s="429" t="s">
        <v>2531</v>
      </c>
      <c r="F14" s="52"/>
      <c r="G14" s="320" t="s">
        <v>141</v>
      </c>
      <c r="H14" s="320" t="s">
        <v>467</v>
      </c>
      <c r="I14" s="320" t="s">
        <v>2141</v>
      </c>
      <c r="J14" s="52"/>
      <c r="K14" s="52"/>
      <c r="L14" s="52"/>
      <c r="M14" s="52"/>
      <c r="N14" s="52"/>
      <c r="O14" s="52"/>
      <c r="P14" s="52"/>
      <c r="Q14" s="52"/>
      <c r="R14" s="52"/>
      <c r="S14" s="52"/>
      <c r="T14" s="52"/>
      <c r="U14" s="52"/>
      <c r="V14" s="53"/>
      <c r="W14" s="54"/>
      <c r="X14" s="54"/>
      <c r="Y14" s="54"/>
      <c r="Z14" s="54"/>
      <c r="AA14" s="55"/>
      <c r="AB14" s="55"/>
      <c r="AC14" s="52"/>
      <c r="AD14" s="52"/>
      <c r="AE14" s="55"/>
      <c r="AF14" s="55"/>
      <c r="AG14" s="55"/>
      <c r="AH14" s="55"/>
      <c r="AI14" s="55"/>
      <c r="AJ14" s="55"/>
      <c r="AK14" s="55"/>
      <c r="AL14" s="51"/>
      <c r="AM14" s="51"/>
      <c r="AN14" s="51"/>
      <c r="AO14" s="51"/>
      <c r="AP14" s="51"/>
      <c r="AQ14" s="52"/>
      <c r="AR14" s="52"/>
      <c r="AS14" s="52"/>
      <c r="AT14" s="52"/>
      <c r="AU14" s="52"/>
      <c r="AV14" s="52"/>
      <c r="AW14" s="52"/>
      <c r="AX14" s="52"/>
      <c r="AY14" s="52"/>
      <c r="AZ14" s="52"/>
      <c r="BA14" s="52"/>
      <c r="BB14" s="52"/>
      <c r="BC14" s="52"/>
      <c r="BD14" s="52"/>
      <c r="BE14" s="52"/>
      <c r="BF14" s="52"/>
    </row>
    <row r="15" spans="1:58" ht="28">
      <c r="A15" s="29" t="s">
        <v>789</v>
      </c>
      <c r="B15" s="93">
        <v>-0.01</v>
      </c>
      <c r="C15" s="18" t="s">
        <v>1675</v>
      </c>
      <c r="D15" s="64" t="s">
        <v>2522</v>
      </c>
      <c r="E15" s="63" t="s">
        <v>2532</v>
      </c>
      <c r="F15" s="52"/>
      <c r="G15" s="63" t="s">
        <v>2142</v>
      </c>
      <c r="H15" s="63"/>
      <c r="I15" s="63"/>
      <c r="J15" s="390"/>
      <c r="K15" s="52"/>
      <c r="L15" s="52"/>
      <c r="M15" s="52"/>
      <c r="N15" s="52"/>
      <c r="O15" s="52"/>
      <c r="P15" s="52"/>
      <c r="Q15" s="52"/>
      <c r="R15" s="52"/>
      <c r="S15" s="52"/>
      <c r="T15" s="52"/>
      <c r="U15" s="52"/>
      <c r="V15" s="53"/>
      <c r="W15" s="54"/>
      <c r="X15" s="54"/>
      <c r="Y15" s="54"/>
      <c r="Z15" s="54"/>
      <c r="AA15" s="55"/>
      <c r="AB15" s="55"/>
      <c r="AC15" s="52"/>
      <c r="AD15" s="52"/>
      <c r="AE15" s="55"/>
      <c r="AF15" s="55"/>
      <c r="AG15" s="55"/>
      <c r="AH15" s="55"/>
      <c r="AI15" s="55"/>
      <c r="AJ15" s="55"/>
      <c r="AK15" s="55"/>
      <c r="AL15" s="51"/>
      <c r="AM15" s="51"/>
      <c r="AN15" s="51"/>
      <c r="AO15" s="51"/>
      <c r="AP15" s="51"/>
      <c r="AQ15" s="52"/>
      <c r="AR15" s="52"/>
      <c r="AS15" s="52"/>
      <c r="AT15" s="52"/>
      <c r="AU15" s="52"/>
      <c r="AV15" s="52"/>
      <c r="AW15" s="52"/>
      <c r="AX15" s="52"/>
      <c r="AY15" s="52"/>
      <c r="AZ15" s="52"/>
      <c r="BA15" s="52"/>
      <c r="BB15" s="52"/>
      <c r="BC15" s="52"/>
      <c r="BD15" s="52"/>
      <c r="BE15" s="52"/>
      <c r="BF15" s="52"/>
    </row>
    <row r="16" spans="1:58" ht="28">
      <c r="A16" s="29" t="s">
        <v>790</v>
      </c>
      <c r="B16" s="7" t="s">
        <v>791</v>
      </c>
      <c r="C16" s="18" t="s">
        <v>1676</v>
      </c>
      <c r="D16" s="64" t="s">
        <v>2523</v>
      </c>
      <c r="E16" s="64" t="s">
        <v>2533</v>
      </c>
      <c r="F16" s="52"/>
      <c r="G16" s="52"/>
      <c r="H16" s="52"/>
      <c r="I16" s="52"/>
      <c r="J16" s="52"/>
      <c r="K16" s="52"/>
      <c r="L16" s="52"/>
      <c r="M16" s="52"/>
      <c r="N16" s="52"/>
      <c r="O16" s="52"/>
      <c r="P16" s="52"/>
      <c r="Q16" s="52"/>
      <c r="R16" s="52"/>
      <c r="S16" s="52"/>
      <c r="T16" s="52"/>
      <c r="U16" s="52"/>
      <c r="V16" s="53"/>
      <c r="W16" s="53"/>
      <c r="X16" s="53"/>
      <c r="Y16" s="53"/>
      <c r="Z16" s="53"/>
      <c r="AA16" s="55"/>
      <c r="AB16" s="55"/>
      <c r="AC16" s="52"/>
      <c r="AD16" s="52"/>
      <c r="AE16" s="55"/>
      <c r="AF16" s="55"/>
      <c r="AG16" s="55"/>
      <c r="AH16" s="55"/>
      <c r="AI16" s="55"/>
      <c r="AJ16" s="55"/>
      <c r="AK16" s="55"/>
      <c r="AL16" s="51"/>
      <c r="AM16" s="51"/>
      <c r="AN16" s="51"/>
      <c r="AO16" s="51"/>
      <c r="AP16" s="51"/>
      <c r="AQ16" s="52"/>
      <c r="AR16" s="52"/>
      <c r="AS16" s="52"/>
      <c r="AT16" s="52"/>
      <c r="AU16" s="52"/>
      <c r="AV16" s="52"/>
      <c r="AW16" s="52"/>
      <c r="AX16" s="52"/>
      <c r="AY16" s="52"/>
      <c r="AZ16" s="52"/>
      <c r="BA16" s="52"/>
      <c r="BB16" s="52"/>
      <c r="BC16" s="52"/>
      <c r="BD16" s="52"/>
      <c r="BE16" s="52"/>
      <c r="BF16" s="52"/>
    </row>
    <row r="17" spans="1:58">
      <c r="A17" s="19" t="s">
        <v>794</v>
      </c>
      <c r="B17" s="22"/>
      <c r="C17" s="19"/>
      <c r="D17" s="64" t="s">
        <v>2525</v>
      </c>
      <c r="E17" s="3"/>
      <c r="F17" s="52"/>
      <c r="G17" s="27" t="s">
        <v>2148</v>
      </c>
      <c r="H17" s="201"/>
      <c r="I17" s="52"/>
      <c r="J17" s="52"/>
      <c r="K17" s="52"/>
      <c r="L17" s="52"/>
      <c r="M17" s="52"/>
      <c r="N17" s="52"/>
      <c r="O17" s="52"/>
      <c r="P17" s="52"/>
      <c r="Q17" s="52"/>
      <c r="R17" s="52"/>
      <c r="S17" s="52"/>
      <c r="T17" s="52"/>
      <c r="U17" s="52"/>
      <c r="V17" s="53"/>
      <c r="W17" s="54"/>
      <c r="X17" s="54"/>
      <c r="Y17" s="54"/>
      <c r="Z17" s="54"/>
      <c r="AA17" s="55"/>
      <c r="AB17" s="55"/>
      <c r="AC17" s="55"/>
      <c r="AD17" s="55"/>
      <c r="AE17" s="55"/>
      <c r="AF17" s="55"/>
      <c r="AG17" s="55"/>
      <c r="AH17" s="55"/>
      <c r="AI17" s="55"/>
      <c r="AJ17" s="55"/>
      <c r="AK17" s="55"/>
      <c r="AL17" s="51"/>
      <c r="AM17" s="51"/>
      <c r="AN17" s="51"/>
      <c r="AO17" s="51"/>
      <c r="AP17" s="51"/>
      <c r="AQ17" s="52"/>
      <c r="AR17" s="52"/>
      <c r="AS17" s="52"/>
      <c r="AT17" s="52"/>
      <c r="AU17" s="52"/>
      <c r="AV17" s="52"/>
      <c r="AW17" s="52"/>
      <c r="AX17" s="52"/>
      <c r="AY17" s="52"/>
      <c r="AZ17" s="52"/>
      <c r="BA17" s="52"/>
      <c r="BB17" s="52"/>
      <c r="BC17" s="52"/>
      <c r="BD17" s="52"/>
      <c r="BE17" s="52"/>
      <c r="BF17" s="52"/>
    </row>
    <row r="18" spans="1:58">
      <c r="A18" s="6" t="s">
        <v>411</v>
      </c>
      <c r="B18" s="7" t="s">
        <v>793</v>
      </c>
      <c r="C18" s="19" t="s">
        <v>1677</v>
      </c>
      <c r="D18" s="3"/>
      <c r="E18" s="3"/>
      <c r="F18" s="52"/>
      <c r="G18" s="27" t="s">
        <v>2143</v>
      </c>
      <c r="H18" s="27" t="s">
        <v>1214</v>
      </c>
      <c r="I18" s="52"/>
      <c r="J18" s="52"/>
      <c r="K18" s="52"/>
      <c r="L18" s="52"/>
      <c r="M18" s="52"/>
      <c r="N18" s="52"/>
      <c r="O18" s="52"/>
      <c r="P18" s="52"/>
      <c r="Q18" s="52"/>
      <c r="R18" s="52"/>
      <c r="S18" s="52"/>
      <c r="T18" s="52"/>
      <c r="U18" s="52"/>
      <c r="V18" s="53"/>
      <c r="W18" s="54"/>
      <c r="X18" s="54"/>
      <c r="Y18" s="54"/>
      <c r="Z18" s="54"/>
      <c r="AA18" s="55"/>
      <c r="AB18" s="55"/>
      <c r="AC18" s="55"/>
      <c r="AD18" s="55"/>
      <c r="AE18" s="55"/>
      <c r="AF18" s="55"/>
      <c r="AG18" s="55"/>
      <c r="AH18" s="55"/>
      <c r="AI18" s="55"/>
      <c r="AJ18" s="55"/>
      <c r="AK18" s="55"/>
      <c r="AL18" s="51"/>
      <c r="AM18" s="51"/>
      <c r="AN18" s="51"/>
      <c r="AO18" s="51"/>
      <c r="AP18" s="51"/>
      <c r="AQ18" s="52"/>
      <c r="AR18" s="52"/>
      <c r="AS18" s="52"/>
      <c r="AT18" s="52"/>
      <c r="AU18" s="52"/>
      <c r="AV18" s="52"/>
      <c r="AW18" s="52"/>
      <c r="AX18" s="52"/>
      <c r="AY18" s="52"/>
      <c r="AZ18" s="52"/>
      <c r="BA18" s="52"/>
      <c r="BB18" s="52"/>
      <c r="BC18" s="52"/>
      <c r="BD18" s="52"/>
      <c r="BE18" s="52"/>
      <c r="BF18" s="52"/>
    </row>
    <row r="19" spans="1:58">
      <c r="A19" s="319">
        <v>2025</v>
      </c>
      <c r="B19" s="93">
        <v>0.45</v>
      </c>
      <c r="C19" s="19" t="s">
        <v>1678</v>
      </c>
      <c r="D19" s="64" t="s">
        <v>2534</v>
      </c>
      <c r="E19" s="64"/>
      <c r="F19" s="52"/>
      <c r="G19" s="320" t="s">
        <v>1390</v>
      </c>
      <c r="H19" s="320" t="s">
        <v>2144</v>
      </c>
      <c r="I19" s="52"/>
      <c r="J19" s="52"/>
      <c r="K19" s="52"/>
      <c r="L19" s="52"/>
      <c r="M19" s="52"/>
      <c r="N19" s="52"/>
      <c r="O19" s="52"/>
      <c r="P19" s="52"/>
      <c r="Q19" s="52"/>
      <c r="R19" s="52"/>
      <c r="S19" s="52"/>
      <c r="T19" s="52"/>
      <c r="U19" s="52"/>
      <c r="V19" s="53"/>
      <c r="W19" s="55"/>
      <c r="X19" s="55"/>
      <c r="Y19" s="55"/>
      <c r="Z19" s="55"/>
      <c r="AA19" s="55"/>
      <c r="AB19" s="55"/>
      <c r="AC19" s="52"/>
      <c r="AD19" s="52"/>
      <c r="AE19" s="52"/>
      <c r="AF19" s="52"/>
      <c r="AG19" s="52"/>
      <c r="AH19" s="52"/>
      <c r="AI19" s="52"/>
      <c r="AJ19" s="55"/>
      <c r="AK19" s="55"/>
      <c r="AL19" s="51"/>
      <c r="AM19" s="51"/>
      <c r="AN19" s="51"/>
      <c r="AO19" s="51"/>
      <c r="AP19" s="51"/>
      <c r="AQ19" s="52"/>
      <c r="AR19" s="52"/>
      <c r="AS19" s="52"/>
      <c r="AT19" s="52"/>
      <c r="AU19" s="52"/>
      <c r="AV19" s="52"/>
      <c r="AW19" s="52"/>
      <c r="AX19" s="52"/>
      <c r="AY19" s="52"/>
      <c r="AZ19" s="52"/>
      <c r="BA19" s="52"/>
      <c r="BB19" s="52"/>
      <c r="BC19" s="52"/>
      <c r="BD19" s="52"/>
      <c r="BE19" s="52"/>
      <c r="BF19" s="52"/>
    </row>
    <row r="20" spans="1:58">
      <c r="A20" s="319">
        <v>2026</v>
      </c>
      <c r="B20" s="93">
        <v>0.44</v>
      </c>
      <c r="C20" s="19" t="s">
        <v>1679</v>
      </c>
      <c r="D20" s="3"/>
      <c r="E20" s="47"/>
      <c r="F20" s="52"/>
      <c r="G20" s="320" t="s">
        <v>2145</v>
      </c>
      <c r="H20" s="320" t="s">
        <v>2146</v>
      </c>
      <c r="I20" s="52"/>
      <c r="J20" s="52"/>
      <c r="K20" s="52"/>
      <c r="L20" s="52"/>
      <c r="M20" s="52"/>
      <c r="N20" s="52"/>
      <c r="O20" s="52"/>
      <c r="P20" s="52"/>
      <c r="Q20" s="52"/>
      <c r="R20" s="52"/>
      <c r="S20" s="52"/>
      <c r="T20" s="52"/>
      <c r="U20" s="52"/>
      <c r="V20" s="52"/>
      <c r="W20" s="52"/>
      <c r="X20" s="52"/>
      <c r="Y20" s="52"/>
      <c r="Z20" s="52"/>
      <c r="AA20" s="52"/>
      <c r="AB20" s="55"/>
      <c r="AC20" s="55"/>
      <c r="AD20" s="55"/>
      <c r="AE20" s="55"/>
      <c r="AF20" s="55"/>
      <c r="AG20" s="55"/>
      <c r="AH20" s="55"/>
      <c r="AI20" s="55"/>
      <c r="AJ20" s="55"/>
      <c r="AK20" s="55"/>
      <c r="AL20" s="51"/>
      <c r="AM20" s="51"/>
      <c r="AN20" s="51"/>
      <c r="AO20" s="51"/>
      <c r="AP20" s="51"/>
      <c r="AQ20" s="52"/>
      <c r="AR20" s="52"/>
      <c r="AS20" s="52"/>
      <c r="AT20" s="52"/>
      <c r="AU20" s="52"/>
      <c r="AV20" s="52"/>
      <c r="AW20" s="52"/>
      <c r="AX20" s="52"/>
      <c r="AY20" s="52"/>
      <c r="AZ20" s="52"/>
      <c r="BA20" s="52"/>
      <c r="BB20" s="52"/>
      <c r="BC20" s="52"/>
      <c r="BD20" s="52"/>
      <c r="BE20" s="52"/>
      <c r="BF20" s="52"/>
    </row>
    <row r="21" spans="1:58">
      <c r="A21" s="319">
        <v>2027</v>
      </c>
      <c r="B21" s="94">
        <v>0.435</v>
      </c>
      <c r="C21" s="19" t="s">
        <v>1680</v>
      </c>
      <c r="D21" s="3"/>
      <c r="E21" s="531"/>
      <c r="F21" s="52"/>
      <c r="G21" s="320" t="s">
        <v>1216</v>
      </c>
      <c r="H21" s="320" t="s">
        <v>2147</v>
      </c>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5"/>
      <c r="AK21" s="55"/>
      <c r="AL21" s="51"/>
      <c r="AM21" s="51"/>
      <c r="AN21" s="51"/>
      <c r="AO21" s="51"/>
      <c r="AP21" s="51"/>
      <c r="AQ21" s="52"/>
      <c r="AR21" s="52"/>
      <c r="AS21" s="52"/>
      <c r="AT21" s="52"/>
      <c r="AU21" s="52"/>
      <c r="AV21" s="52"/>
      <c r="AW21" s="52"/>
      <c r="AX21" s="52"/>
      <c r="AY21" s="52"/>
      <c r="AZ21" s="52"/>
      <c r="BA21" s="52"/>
      <c r="BB21" s="52"/>
      <c r="BC21" s="52"/>
      <c r="BD21" s="52"/>
      <c r="BE21" s="52"/>
      <c r="BF21" s="52"/>
    </row>
    <row r="22" spans="1:58">
      <c r="A22" s="319">
        <v>2028</v>
      </c>
      <c r="B22" s="93">
        <v>0.43</v>
      </c>
      <c r="C22" s="19" t="s">
        <v>1681</v>
      </c>
      <c r="D22" s="3"/>
      <c r="E22" s="532"/>
      <c r="F22" s="52"/>
      <c r="G22" s="52"/>
      <c r="H22" s="52"/>
      <c r="I22" s="52"/>
      <c r="J22" s="52"/>
      <c r="K22" s="52"/>
      <c r="L22" s="52"/>
      <c r="M22" s="52"/>
      <c r="N22" s="52"/>
      <c r="O22" s="52"/>
      <c r="P22" s="52"/>
      <c r="Q22" s="52"/>
      <c r="R22" s="52"/>
      <c r="S22" s="52"/>
      <c r="T22" s="52"/>
      <c r="U22" s="52"/>
      <c r="V22" s="53"/>
      <c r="W22" s="55"/>
      <c r="X22" s="55"/>
      <c r="Y22" s="55"/>
      <c r="Z22" s="55"/>
      <c r="AA22" s="55"/>
      <c r="AB22" s="55"/>
      <c r="AC22" s="55"/>
      <c r="AD22" s="55"/>
      <c r="AE22" s="55"/>
      <c r="AF22" s="55"/>
      <c r="AG22" s="55"/>
      <c r="AH22" s="55"/>
      <c r="AI22" s="55"/>
      <c r="AJ22" s="55"/>
      <c r="AK22" s="55"/>
      <c r="AL22" s="51"/>
      <c r="AM22" s="51"/>
      <c r="AN22" s="51"/>
      <c r="AO22" s="51"/>
      <c r="AP22" s="51"/>
      <c r="AQ22" s="52"/>
      <c r="AR22" s="52"/>
      <c r="AS22" s="52"/>
      <c r="AT22" s="52"/>
      <c r="AU22" s="52"/>
      <c r="AV22" s="52"/>
      <c r="AW22" s="52"/>
      <c r="AX22" s="52"/>
      <c r="AY22" s="52"/>
      <c r="AZ22" s="52"/>
      <c r="BA22" s="52"/>
      <c r="BB22" s="52"/>
      <c r="BC22" s="52"/>
      <c r="BD22" s="52"/>
      <c r="BE22" s="52"/>
      <c r="BF22" s="52"/>
    </row>
    <row r="23" spans="1:58">
      <c r="A23" s="319">
        <v>2029</v>
      </c>
      <c r="B23" s="94">
        <v>0.42499999999999999</v>
      </c>
      <c r="C23" s="201"/>
      <c r="D23" s="3"/>
      <c r="E23" s="532"/>
      <c r="F23" s="52"/>
      <c r="G23" s="27" t="s">
        <v>1266</v>
      </c>
      <c r="H23" s="27" t="s">
        <v>143</v>
      </c>
      <c r="I23" s="27" t="s">
        <v>1252</v>
      </c>
      <c r="J23" s="27" t="s">
        <v>198</v>
      </c>
      <c r="K23" s="27" t="s">
        <v>2271</v>
      </c>
      <c r="L23" s="27" t="s">
        <v>864</v>
      </c>
      <c r="M23" s="52"/>
      <c r="N23" s="52"/>
      <c r="O23" s="52"/>
      <c r="P23" s="52"/>
      <c r="Q23" s="52"/>
      <c r="R23" s="52"/>
      <c r="S23" s="52"/>
      <c r="T23" s="52"/>
      <c r="U23" s="52"/>
      <c r="V23" s="53"/>
      <c r="W23" s="55"/>
      <c r="X23" s="55"/>
      <c r="Y23" s="55"/>
      <c r="Z23" s="55"/>
      <c r="AA23" s="55"/>
      <c r="AB23" s="55"/>
      <c r="AC23" s="55"/>
      <c r="AD23" s="55"/>
      <c r="AE23" s="55"/>
      <c r="AF23" s="55"/>
      <c r="AG23" s="55"/>
      <c r="AH23" s="55"/>
      <c r="AI23" s="55"/>
      <c r="AJ23" s="55"/>
      <c r="AK23" s="55"/>
      <c r="AL23" s="51"/>
      <c r="AM23" s="51"/>
      <c r="AN23" s="51"/>
      <c r="AO23" s="51"/>
      <c r="AP23" s="51"/>
      <c r="AQ23" s="52"/>
      <c r="AR23" s="52"/>
      <c r="AS23" s="52"/>
      <c r="AT23" s="52"/>
      <c r="AU23" s="52"/>
      <c r="AV23" s="52"/>
      <c r="AW23" s="52"/>
      <c r="AX23" s="52"/>
      <c r="AY23" s="52"/>
      <c r="AZ23" s="52"/>
      <c r="BA23" s="52"/>
      <c r="BB23" s="52"/>
      <c r="BC23" s="52"/>
      <c r="BD23" s="52"/>
      <c r="BE23" s="52"/>
      <c r="BF23" s="52"/>
    </row>
    <row r="24" spans="1:58">
      <c r="A24" s="19" t="s">
        <v>800</v>
      </c>
      <c r="B24" s="22"/>
      <c r="C24" s="3"/>
      <c r="D24" s="3"/>
      <c r="E24" s="532"/>
      <c r="F24" s="52"/>
      <c r="G24" s="320" t="s">
        <v>954</v>
      </c>
      <c r="H24" s="330">
        <v>-0.02</v>
      </c>
      <c r="I24" s="330">
        <v>-0.01</v>
      </c>
      <c r="J24" s="336">
        <v>0.105</v>
      </c>
      <c r="K24" s="336">
        <v>2.5000000000000001E-2</v>
      </c>
      <c r="L24" s="320" t="s">
        <v>2272</v>
      </c>
      <c r="M24" s="52"/>
      <c r="N24" s="52"/>
      <c r="O24" s="52"/>
      <c r="P24" s="52"/>
      <c r="Q24" s="52"/>
      <c r="R24" s="52"/>
      <c r="S24" s="52"/>
      <c r="T24" s="52"/>
      <c r="U24" s="52"/>
      <c r="V24" s="53"/>
      <c r="W24" s="55"/>
      <c r="X24" s="55"/>
      <c r="Y24" s="55"/>
      <c r="Z24" s="55"/>
      <c r="AA24" s="55"/>
      <c r="AB24" s="55"/>
      <c r="AC24" s="55"/>
      <c r="AD24" s="55"/>
      <c r="AE24" s="55"/>
      <c r="AF24" s="55"/>
      <c r="AG24" s="55"/>
      <c r="AH24" s="55"/>
      <c r="AI24" s="55"/>
      <c r="AJ24" s="55"/>
      <c r="AK24" s="55"/>
      <c r="AL24" s="51"/>
      <c r="AM24" s="51"/>
      <c r="AN24" s="51"/>
      <c r="AO24" s="51"/>
      <c r="AP24" s="51"/>
      <c r="AQ24" s="52"/>
      <c r="AR24" s="52"/>
      <c r="AS24" s="52"/>
      <c r="AT24" s="52"/>
      <c r="AU24" s="52"/>
      <c r="AV24" s="52"/>
      <c r="AW24" s="52"/>
      <c r="AX24" s="52"/>
      <c r="AY24" s="52"/>
      <c r="AZ24" s="52"/>
      <c r="BA24" s="52"/>
      <c r="BB24" s="52"/>
      <c r="BC24" s="52"/>
      <c r="BD24" s="52"/>
      <c r="BE24" s="52"/>
      <c r="BF24" s="52"/>
    </row>
    <row r="25" spans="1:58">
      <c r="A25" s="6" t="s">
        <v>129</v>
      </c>
      <c r="B25" s="7" t="s">
        <v>117</v>
      </c>
      <c r="C25" s="201"/>
      <c r="D25" s="3"/>
      <c r="E25" s="532"/>
      <c r="F25" s="52"/>
      <c r="G25" s="320" t="s">
        <v>952</v>
      </c>
      <c r="H25" s="330">
        <v>0</v>
      </c>
      <c r="I25" s="330">
        <v>0</v>
      </c>
      <c r="J25" s="336">
        <v>9.5000000000000001E-2</v>
      </c>
      <c r="K25" s="336">
        <v>0.03</v>
      </c>
      <c r="L25" s="320" t="s">
        <v>2273</v>
      </c>
      <c r="M25" s="52"/>
      <c r="N25" s="52"/>
      <c r="O25" s="52"/>
      <c r="P25" s="52"/>
      <c r="Q25" s="52"/>
      <c r="R25" s="52"/>
      <c r="S25" s="52"/>
      <c r="T25" s="52"/>
      <c r="U25" s="52"/>
      <c r="V25" s="53"/>
      <c r="W25" s="55"/>
      <c r="X25" s="55"/>
      <c r="Y25" s="55"/>
      <c r="Z25" s="55"/>
      <c r="AA25" s="55"/>
      <c r="AB25" s="55"/>
      <c r="AC25" s="55"/>
      <c r="AD25" s="55"/>
      <c r="AE25" s="55"/>
      <c r="AF25" s="55"/>
      <c r="AG25" s="55"/>
      <c r="AH25" s="55"/>
      <c r="AI25" s="55"/>
      <c r="AJ25" s="55"/>
      <c r="AK25" s="55"/>
      <c r="AL25" s="51"/>
      <c r="AM25" s="51"/>
      <c r="AN25" s="51"/>
      <c r="AO25" s="51"/>
      <c r="AP25" s="51"/>
      <c r="AQ25" s="52"/>
      <c r="AR25" s="52"/>
      <c r="AS25" s="52"/>
      <c r="AT25" s="52"/>
      <c r="AU25" s="52"/>
      <c r="AV25" s="52"/>
      <c r="AW25" s="52"/>
      <c r="AX25" s="52"/>
      <c r="AY25" s="52"/>
      <c r="AZ25" s="52"/>
      <c r="BA25" s="52"/>
      <c r="BB25" s="52"/>
      <c r="BC25" s="52"/>
      <c r="BD25" s="52"/>
      <c r="BE25" s="52"/>
      <c r="BF25" s="52"/>
    </row>
    <row r="26" spans="1:58">
      <c r="A26" s="29" t="s">
        <v>795</v>
      </c>
      <c r="B26" s="93">
        <v>0.15</v>
      </c>
      <c r="C26" s="19" t="s">
        <v>1682</v>
      </c>
      <c r="D26" s="3"/>
      <c r="E26" s="532"/>
      <c r="F26" s="52"/>
      <c r="G26" s="320" t="s">
        <v>950</v>
      </c>
      <c r="H26" s="330">
        <v>0.02</v>
      </c>
      <c r="I26" s="330">
        <v>0.01</v>
      </c>
      <c r="J26" s="336">
        <v>0.09</v>
      </c>
      <c r="K26" s="336">
        <v>3.5000000000000003E-2</v>
      </c>
      <c r="L26" s="320" t="s">
        <v>2272</v>
      </c>
      <c r="M26" s="52"/>
      <c r="N26" s="52"/>
      <c r="O26" s="52"/>
      <c r="P26" s="52"/>
      <c r="Q26" s="52"/>
      <c r="R26" s="52"/>
      <c r="S26" s="52"/>
      <c r="T26" s="52"/>
      <c r="U26" s="52"/>
      <c r="V26" s="53"/>
      <c r="W26" s="55"/>
      <c r="X26" s="55"/>
      <c r="Y26" s="55"/>
      <c r="Z26" s="55"/>
      <c r="AA26" s="55"/>
      <c r="AB26" s="55"/>
      <c r="AC26" s="55"/>
      <c r="AD26" s="55"/>
      <c r="AE26" s="55"/>
      <c r="AF26" s="55"/>
      <c r="AG26" s="55"/>
      <c r="AH26" s="55"/>
      <c r="AI26" s="55"/>
      <c r="AJ26" s="55"/>
      <c r="AK26" s="55"/>
      <c r="AL26" s="51"/>
      <c r="AM26" s="51"/>
      <c r="AN26" s="51"/>
      <c r="AO26" s="51"/>
      <c r="AP26" s="51"/>
      <c r="AQ26" s="52"/>
      <c r="AR26" s="52"/>
      <c r="AS26" s="52"/>
      <c r="AT26" s="52"/>
      <c r="AU26" s="52"/>
      <c r="AV26" s="52"/>
      <c r="AW26" s="52"/>
      <c r="AX26" s="52"/>
      <c r="AY26" s="52"/>
      <c r="AZ26" s="52"/>
      <c r="BA26" s="52"/>
      <c r="BB26" s="52"/>
      <c r="BC26" s="52"/>
      <c r="BD26" s="52"/>
      <c r="BE26" s="52"/>
      <c r="BF26" s="52"/>
    </row>
    <row r="27" spans="1:58">
      <c r="A27" s="29" t="s">
        <v>796</v>
      </c>
      <c r="B27" s="94">
        <v>1.17E-2</v>
      </c>
      <c r="C27" s="19" t="s">
        <v>1683</v>
      </c>
      <c r="D27" s="3"/>
      <c r="E27" s="532"/>
      <c r="F27" s="52"/>
      <c r="G27" s="63" t="s">
        <v>2274</v>
      </c>
      <c r="H27" s="390"/>
      <c r="I27" s="390"/>
      <c r="J27" s="390"/>
      <c r="K27" s="390"/>
      <c r="L27" s="390"/>
      <c r="M27" s="390"/>
      <c r="N27" s="52"/>
      <c r="O27" s="52"/>
      <c r="P27" s="52"/>
      <c r="Q27" s="52"/>
      <c r="R27" s="52"/>
      <c r="S27" s="52"/>
      <c r="T27" s="52"/>
      <c r="U27" s="52"/>
      <c r="V27" s="53"/>
      <c r="W27" s="55"/>
      <c r="X27" s="55"/>
      <c r="Y27" s="55"/>
      <c r="Z27" s="55"/>
      <c r="AA27" s="55"/>
      <c r="AB27" s="55"/>
      <c r="AC27" s="55"/>
      <c r="AD27" s="55"/>
      <c r="AE27" s="55"/>
      <c r="AF27" s="55"/>
      <c r="AG27" s="55"/>
      <c r="AH27" s="55"/>
      <c r="AI27" s="55"/>
      <c r="AJ27" s="55"/>
      <c r="AK27" s="55"/>
      <c r="AL27" s="51"/>
      <c r="AM27" s="51"/>
      <c r="AN27" s="51"/>
      <c r="AO27" s="51"/>
      <c r="AP27" s="51"/>
      <c r="AQ27" s="52"/>
      <c r="AR27" s="52"/>
      <c r="AS27" s="52"/>
      <c r="AT27" s="52"/>
      <c r="AU27" s="52"/>
      <c r="AV27" s="52"/>
      <c r="AW27" s="52"/>
      <c r="AX27" s="52"/>
      <c r="AY27" s="52"/>
      <c r="AZ27" s="52"/>
      <c r="BA27" s="52"/>
      <c r="BB27" s="52"/>
      <c r="BC27" s="52"/>
      <c r="BD27" s="52"/>
      <c r="BE27" s="52"/>
      <c r="BF27" s="52"/>
    </row>
    <row r="28" spans="1:58">
      <c r="A28" s="29" t="s">
        <v>797</v>
      </c>
      <c r="B28" s="94">
        <v>0.13400000000000001</v>
      </c>
      <c r="C28" s="19" t="s">
        <v>1684</v>
      </c>
      <c r="D28" s="19"/>
      <c r="E28" s="532"/>
      <c r="F28" s="52"/>
      <c r="G28" s="52"/>
      <c r="H28" s="52"/>
      <c r="I28" s="52"/>
      <c r="J28" s="52"/>
      <c r="K28" s="52"/>
      <c r="L28" s="52"/>
      <c r="M28" s="52"/>
      <c r="N28" s="52"/>
      <c r="O28" s="52"/>
      <c r="P28" s="52"/>
      <c r="Q28" s="52"/>
      <c r="R28" s="52"/>
      <c r="S28" s="52"/>
      <c r="T28" s="52"/>
      <c r="U28" s="52"/>
      <c r="V28" s="53"/>
      <c r="W28" s="55"/>
      <c r="X28" s="55"/>
      <c r="Y28" s="55"/>
      <c r="Z28" s="55"/>
      <c r="AA28" s="55"/>
      <c r="AB28" s="55"/>
      <c r="AC28" s="55"/>
      <c r="AD28" s="55"/>
      <c r="AE28" s="55"/>
      <c r="AF28" s="55"/>
      <c r="AG28" s="55"/>
      <c r="AH28" s="55"/>
      <c r="AI28" s="55"/>
      <c r="AJ28" s="55"/>
      <c r="AK28" s="55"/>
      <c r="AL28" s="51"/>
      <c r="AM28" s="51"/>
      <c r="AN28" s="51"/>
      <c r="AO28" s="51"/>
      <c r="AP28" s="51"/>
      <c r="AQ28" s="52"/>
      <c r="AR28" s="52"/>
      <c r="AS28" s="52"/>
      <c r="AT28" s="52"/>
      <c r="AU28" s="52"/>
      <c r="AV28" s="52"/>
      <c r="AW28" s="52"/>
      <c r="AX28" s="52"/>
      <c r="AY28" s="52"/>
      <c r="AZ28" s="52"/>
      <c r="BA28" s="52"/>
      <c r="BB28" s="52"/>
      <c r="BC28" s="52"/>
      <c r="BD28" s="52"/>
      <c r="BE28" s="52"/>
      <c r="BF28" s="52"/>
    </row>
    <row r="29" spans="1:58">
      <c r="A29" s="29" t="s">
        <v>798</v>
      </c>
      <c r="B29" s="94">
        <v>0.08</v>
      </c>
      <c r="C29" s="19" t="s">
        <v>1685</v>
      </c>
      <c r="D29" s="19"/>
      <c r="E29" s="532"/>
      <c r="F29" s="52"/>
      <c r="G29" s="27" t="s">
        <v>1282</v>
      </c>
      <c r="H29" s="27">
        <v>2025</v>
      </c>
      <c r="I29" s="27">
        <v>2026</v>
      </c>
      <c r="J29" s="27">
        <v>2027</v>
      </c>
      <c r="K29" s="27">
        <v>2028</v>
      </c>
      <c r="L29" s="27">
        <v>2029</v>
      </c>
      <c r="M29" s="52"/>
      <c r="N29" s="52"/>
      <c r="O29" s="52"/>
      <c r="P29" s="52"/>
      <c r="Q29" s="52"/>
      <c r="R29" s="52"/>
      <c r="S29" s="52"/>
      <c r="T29" s="52"/>
      <c r="U29" s="52"/>
      <c r="V29" s="53"/>
      <c r="W29" s="55"/>
      <c r="X29" s="55"/>
      <c r="Y29" s="55"/>
      <c r="Z29" s="55"/>
      <c r="AA29" s="55"/>
      <c r="AB29" s="55"/>
      <c r="AC29" s="55"/>
      <c r="AD29" s="55"/>
      <c r="AE29" s="55"/>
      <c r="AF29" s="55"/>
      <c r="AG29" s="55"/>
      <c r="AH29" s="55"/>
      <c r="AI29" s="55"/>
      <c r="AJ29" s="55"/>
      <c r="AK29" s="55"/>
      <c r="AL29" s="51"/>
      <c r="AM29" s="51"/>
      <c r="AN29" s="51"/>
      <c r="AO29" s="51"/>
      <c r="AP29" s="51"/>
      <c r="AQ29" s="52"/>
      <c r="AR29" s="52"/>
      <c r="AS29" s="52"/>
      <c r="AT29" s="52"/>
      <c r="AU29" s="52"/>
      <c r="AV29" s="52"/>
      <c r="AW29" s="52"/>
      <c r="AX29" s="52"/>
      <c r="AY29" s="52"/>
      <c r="AZ29" s="52"/>
      <c r="BA29" s="52"/>
      <c r="BB29" s="52"/>
      <c r="BC29" s="52"/>
      <c r="BD29" s="52"/>
      <c r="BE29" s="52"/>
      <c r="BF29" s="52"/>
    </row>
    <row r="30" spans="1:58">
      <c r="A30" s="29" t="s">
        <v>799</v>
      </c>
      <c r="B30" s="94">
        <v>0.36899999999999999</v>
      </c>
      <c r="C30" s="19" t="s">
        <v>1686</v>
      </c>
      <c r="D30" s="19"/>
      <c r="E30" s="532"/>
      <c r="F30" s="52"/>
      <c r="G30" s="320" t="s">
        <v>1345</v>
      </c>
      <c r="H30" s="330">
        <v>0.1</v>
      </c>
      <c r="I30" s="330">
        <v>0.11</v>
      </c>
      <c r="J30" s="330">
        <v>0.1</v>
      </c>
      <c r="K30" s="330">
        <v>0.09</v>
      </c>
      <c r="L30" s="330">
        <v>0.08</v>
      </c>
      <c r="M30" s="52"/>
      <c r="N30" s="52"/>
      <c r="O30" s="52"/>
      <c r="P30" s="52"/>
      <c r="Q30" s="52"/>
      <c r="R30" s="52"/>
      <c r="S30" s="52"/>
      <c r="T30" s="52"/>
      <c r="U30" s="52"/>
      <c r="V30" s="53"/>
      <c r="W30" s="55"/>
      <c r="X30" s="55"/>
      <c r="Y30" s="55"/>
      <c r="Z30" s="55"/>
      <c r="AA30" s="55"/>
      <c r="AB30" s="55"/>
      <c r="AC30" s="55"/>
      <c r="AD30" s="55"/>
      <c r="AE30" s="55"/>
      <c r="AF30" s="55"/>
      <c r="AG30" s="55"/>
      <c r="AH30" s="55"/>
      <c r="AI30" s="55"/>
      <c r="AJ30" s="55"/>
      <c r="AK30" s="55"/>
      <c r="AL30" s="51"/>
      <c r="AM30" s="51"/>
      <c r="AN30" s="51"/>
      <c r="AO30" s="51"/>
      <c r="AP30" s="51"/>
      <c r="AQ30" s="52"/>
      <c r="AR30" s="52"/>
      <c r="AS30" s="52"/>
      <c r="AT30" s="52"/>
      <c r="AU30" s="52"/>
      <c r="AV30" s="52"/>
      <c r="AW30" s="52"/>
      <c r="AX30" s="52"/>
      <c r="AY30" s="52"/>
      <c r="AZ30" s="52"/>
      <c r="BA30" s="52"/>
      <c r="BB30" s="52"/>
      <c r="BC30" s="52"/>
      <c r="BD30" s="52"/>
      <c r="BE30" s="52"/>
      <c r="BF30" s="52"/>
    </row>
    <row r="31" spans="1:58">
      <c r="A31" s="19" t="s">
        <v>803</v>
      </c>
      <c r="B31" s="22"/>
      <c r="C31" s="3"/>
      <c r="D31" s="3"/>
      <c r="E31" s="532"/>
      <c r="F31" s="52"/>
      <c r="G31" s="320" t="s">
        <v>1347</v>
      </c>
      <c r="H31" s="330">
        <v>0.02</v>
      </c>
      <c r="I31" s="330">
        <v>0.02</v>
      </c>
      <c r="J31" s="330">
        <v>0.02</v>
      </c>
      <c r="K31" s="330">
        <v>0.02</v>
      </c>
      <c r="L31" s="330">
        <v>0.02</v>
      </c>
      <c r="M31" s="52"/>
      <c r="N31" s="52"/>
      <c r="O31" s="52"/>
      <c r="P31" s="52"/>
      <c r="Q31" s="52"/>
      <c r="R31" s="52"/>
      <c r="S31" s="52"/>
      <c r="T31" s="52"/>
      <c r="U31" s="52"/>
      <c r="V31" s="53"/>
      <c r="W31" s="55"/>
      <c r="X31" s="55"/>
      <c r="Y31" s="55"/>
      <c r="Z31" s="55"/>
      <c r="AA31" s="55"/>
      <c r="AB31" s="55"/>
      <c r="AC31" s="55"/>
      <c r="AD31" s="55"/>
      <c r="AE31" s="55"/>
      <c r="AF31" s="55"/>
      <c r="AG31" s="55"/>
      <c r="AH31" s="55"/>
      <c r="AI31" s="55"/>
      <c r="AJ31" s="55"/>
      <c r="AK31" s="55"/>
      <c r="AL31" s="51"/>
      <c r="AM31" s="51"/>
      <c r="AN31" s="51"/>
      <c r="AO31" s="51"/>
      <c r="AP31" s="51"/>
      <c r="AQ31" s="52"/>
      <c r="AR31" s="52"/>
      <c r="AS31" s="52"/>
      <c r="AT31" s="52"/>
      <c r="AU31" s="52"/>
      <c r="AV31" s="52"/>
      <c r="AW31" s="52"/>
      <c r="AX31" s="52"/>
      <c r="AY31" s="52"/>
      <c r="AZ31" s="52"/>
      <c r="BA31" s="52"/>
      <c r="BB31" s="52"/>
      <c r="BC31" s="52"/>
      <c r="BD31" s="52"/>
      <c r="BE31" s="52"/>
      <c r="BF31" s="52"/>
    </row>
    <row r="32" spans="1:58">
      <c r="A32" s="6" t="s">
        <v>129</v>
      </c>
      <c r="B32" s="7" t="s">
        <v>117</v>
      </c>
      <c r="C32" s="3"/>
      <c r="D32" s="3"/>
      <c r="E32" s="3"/>
      <c r="F32" s="52"/>
      <c r="G32" s="320" t="s">
        <v>2275</v>
      </c>
      <c r="H32" s="320" t="s">
        <v>2276</v>
      </c>
      <c r="I32" s="320" t="s">
        <v>2276</v>
      </c>
      <c r="J32" s="320" t="s">
        <v>2276</v>
      </c>
      <c r="K32" s="320" t="s">
        <v>2276</v>
      </c>
      <c r="L32" s="320" t="s">
        <v>2276</v>
      </c>
      <c r="M32" s="52"/>
      <c r="N32" s="52"/>
      <c r="O32" s="52"/>
      <c r="P32" s="52"/>
      <c r="Q32" s="52"/>
      <c r="R32" s="52"/>
      <c r="S32" s="52"/>
      <c r="T32" s="52"/>
      <c r="U32" s="52"/>
      <c r="V32" s="53"/>
      <c r="W32" s="55"/>
      <c r="X32" s="55"/>
      <c r="Y32" s="55"/>
      <c r="Z32" s="55"/>
      <c r="AA32" s="55"/>
      <c r="AB32" s="55"/>
      <c r="AC32" s="55"/>
      <c r="AD32" s="55"/>
      <c r="AE32" s="55"/>
      <c r="AF32" s="55"/>
      <c r="AG32" s="55"/>
      <c r="AH32" s="55"/>
      <c r="AI32" s="55"/>
      <c r="AJ32" s="55"/>
      <c r="AK32" s="55"/>
      <c r="AL32" s="51"/>
      <c r="AM32" s="51"/>
      <c r="AN32" s="51"/>
      <c r="AO32" s="51"/>
      <c r="AP32" s="51"/>
      <c r="AQ32" s="52"/>
      <c r="AR32" s="52"/>
      <c r="AS32" s="52"/>
      <c r="AT32" s="52"/>
      <c r="AU32" s="52"/>
      <c r="AV32" s="52"/>
      <c r="AW32" s="52"/>
      <c r="AX32" s="52"/>
      <c r="AY32" s="52"/>
      <c r="AZ32" s="52"/>
      <c r="BA32" s="52"/>
      <c r="BB32" s="52"/>
      <c r="BC32" s="52"/>
      <c r="BD32" s="52"/>
      <c r="BE32" s="52"/>
      <c r="BF32" s="52"/>
    </row>
    <row r="33" spans="1:58">
      <c r="A33" s="29" t="s">
        <v>135</v>
      </c>
      <c r="B33" s="93">
        <v>0.04</v>
      </c>
      <c r="C33" s="19" t="s">
        <v>1687</v>
      </c>
      <c r="D33" s="19"/>
      <c r="E33" s="3"/>
      <c r="F33" s="52"/>
      <c r="G33" s="320" t="s">
        <v>2277</v>
      </c>
      <c r="H33" s="330">
        <v>0.12</v>
      </c>
      <c r="I33" s="330">
        <v>0.13</v>
      </c>
      <c r="J33" s="330">
        <v>0.12</v>
      </c>
      <c r="K33" s="330">
        <v>0.11</v>
      </c>
      <c r="L33" s="330">
        <v>0.1</v>
      </c>
      <c r="M33" s="52"/>
      <c r="N33" s="52"/>
      <c r="O33" s="52"/>
      <c r="P33" s="52"/>
      <c r="Q33" s="52"/>
      <c r="R33" s="52"/>
      <c r="S33" s="52"/>
      <c r="T33" s="52"/>
      <c r="U33" s="52"/>
      <c r="V33" s="53"/>
      <c r="W33" s="55"/>
      <c r="X33" s="55"/>
      <c r="Y33" s="55"/>
      <c r="Z33" s="55"/>
      <c r="AA33" s="55"/>
      <c r="AB33" s="55"/>
      <c r="AC33" s="55"/>
      <c r="AD33" s="55"/>
      <c r="AE33" s="55"/>
      <c r="AF33" s="55"/>
      <c r="AG33" s="55"/>
      <c r="AH33" s="55"/>
      <c r="AI33" s="55"/>
      <c r="AJ33" s="55"/>
      <c r="AK33" s="55"/>
      <c r="AL33" s="51"/>
      <c r="AM33" s="51"/>
      <c r="AN33" s="51"/>
      <c r="AO33" s="51"/>
      <c r="AP33" s="51"/>
      <c r="AQ33" s="52"/>
      <c r="AR33" s="52"/>
      <c r="AS33" s="52"/>
      <c r="AT33" s="52"/>
      <c r="AU33" s="52"/>
      <c r="AV33" s="52"/>
      <c r="AW33" s="52"/>
      <c r="AX33" s="52"/>
      <c r="AY33" s="52"/>
      <c r="AZ33" s="52"/>
      <c r="BA33" s="52"/>
      <c r="BB33" s="52"/>
      <c r="BC33" s="52"/>
      <c r="BD33" s="52"/>
      <c r="BE33" s="52"/>
      <c r="BF33" s="52"/>
    </row>
    <row r="34" spans="1:58">
      <c r="A34" s="29" t="s">
        <v>136</v>
      </c>
      <c r="B34" s="93">
        <v>0.03</v>
      </c>
      <c r="C34" s="19" t="s">
        <v>1688</v>
      </c>
      <c r="D34" s="19"/>
      <c r="E34" s="3"/>
      <c r="F34" s="52"/>
      <c r="G34" s="63" t="s">
        <v>2278</v>
      </c>
      <c r="H34" s="390"/>
      <c r="I34" s="390"/>
      <c r="J34" s="390"/>
      <c r="K34" s="52"/>
      <c r="L34" s="52"/>
      <c r="M34" s="52"/>
      <c r="N34" s="52"/>
      <c r="O34" s="52"/>
      <c r="P34" s="52"/>
      <c r="Q34" s="52"/>
      <c r="R34" s="52"/>
      <c r="S34" s="52"/>
      <c r="T34" s="52"/>
      <c r="U34" s="52"/>
      <c r="V34" s="53"/>
      <c r="W34" s="55"/>
      <c r="X34" s="55"/>
      <c r="Y34" s="55"/>
      <c r="Z34" s="55"/>
      <c r="AA34" s="55"/>
      <c r="AB34" s="55"/>
      <c r="AC34" s="55"/>
      <c r="AD34" s="55"/>
      <c r="AE34" s="55"/>
      <c r="AF34" s="55"/>
      <c r="AG34" s="55"/>
      <c r="AH34" s="55"/>
      <c r="AI34" s="55"/>
      <c r="AJ34" s="55"/>
      <c r="AK34" s="55"/>
      <c r="AL34" s="51"/>
      <c r="AM34" s="51"/>
      <c r="AN34" s="51"/>
      <c r="AO34" s="51"/>
      <c r="AP34" s="51"/>
      <c r="AQ34" s="52"/>
      <c r="AR34" s="52"/>
      <c r="AS34" s="52"/>
      <c r="AT34" s="52"/>
      <c r="AU34" s="52"/>
      <c r="AV34" s="52"/>
      <c r="AW34" s="52"/>
      <c r="AX34" s="52"/>
      <c r="AY34" s="52"/>
      <c r="AZ34" s="52"/>
      <c r="BA34" s="52"/>
      <c r="BB34" s="52"/>
      <c r="BC34" s="52"/>
      <c r="BD34" s="52"/>
      <c r="BE34" s="52"/>
      <c r="BF34" s="52"/>
    </row>
    <row r="35" spans="1:58">
      <c r="A35" s="29" t="s">
        <v>801</v>
      </c>
      <c r="B35" s="94">
        <v>5.5E-2</v>
      </c>
      <c r="C35" s="19" t="s">
        <v>1689</v>
      </c>
      <c r="D35" s="19"/>
      <c r="E35" s="3"/>
      <c r="F35" s="52"/>
      <c r="G35" s="52"/>
      <c r="H35" s="52"/>
      <c r="I35" s="52"/>
      <c r="J35" s="52"/>
      <c r="K35" s="52"/>
      <c r="L35" s="52"/>
      <c r="M35" s="52"/>
      <c r="N35" s="52"/>
      <c r="O35" s="52"/>
      <c r="P35" s="52"/>
      <c r="Q35" s="52"/>
      <c r="R35" s="52"/>
      <c r="S35" s="52"/>
      <c r="T35" s="52"/>
      <c r="U35" s="52"/>
      <c r="V35" s="53"/>
      <c r="W35" s="55"/>
      <c r="X35" s="55"/>
      <c r="Y35" s="55"/>
      <c r="Z35" s="55"/>
      <c r="AA35" s="55"/>
      <c r="AB35" s="55"/>
      <c r="AC35" s="55"/>
      <c r="AD35" s="55"/>
      <c r="AE35" s="55"/>
      <c r="AF35" s="55"/>
      <c r="AG35" s="55"/>
      <c r="AH35" s="55"/>
      <c r="AI35" s="55"/>
      <c r="AJ35" s="55"/>
      <c r="AK35" s="55"/>
      <c r="AL35" s="51"/>
      <c r="AM35" s="51"/>
      <c r="AN35" s="51"/>
      <c r="AO35" s="51"/>
      <c r="AP35" s="51"/>
      <c r="AQ35" s="52"/>
      <c r="AR35" s="52"/>
      <c r="AS35" s="52"/>
      <c r="AT35" s="52"/>
      <c r="AU35" s="52"/>
      <c r="AV35" s="52"/>
      <c r="AW35" s="52"/>
      <c r="AX35" s="52"/>
      <c r="AY35" s="52"/>
      <c r="AZ35" s="52"/>
      <c r="BA35" s="52"/>
      <c r="BB35" s="52"/>
      <c r="BC35" s="52"/>
      <c r="BD35" s="52"/>
      <c r="BE35" s="52"/>
      <c r="BF35" s="52"/>
    </row>
    <row r="36" spans="1:58">
      <c r="A36" s="29" t="s">
        <v>802</v>
      </c>
      <c r="B36" s="93">
        <v>7.0000000000000007E-2</v>
      </c>
      <c r="C36" s="19" t="s">
        <v>1690</v>
      </c>
      <c r="D36" s="18"/>
      <c r="E36" s="3"/>
      <c r="F36" s="52"/>
      <c r="G36" s="63" t="s">
        <v>2279</v>
      </c>
      <c r="H36" s="392"/>
      <c r="I36" s="392"/>
      <c r="J36" s="51"/>
      <c r="K36" s="52"/>
      <c r="L36" s="52"/>
      <c r="M36" s="52"/>
      <c r="N36" s="52"/>
      <c r="O36" s="52"/>
      <c r="P36" s="52"/>
      <c r="Q36" s="52"/>
      <c r="R36" s="52"/>
      <c r="S36" s="52"/>
      <c r="T36" s="52"/>
      <c r="U36" s="52"/>
      <c r="V36" s="53"/>
      <c r="W36" s="55"/>
      <c r="X36" s="55"/>
      <c r="Y36" s="55"/>
      <c r="Z36" s="55"/>
      <c r="AA36" s="55"/>
      <c r="AB36" s="55"/>
      <c r="AC36" s="55"/>
      <c r="AD36" s="55"/>
      <c r="AE36" s="55"/>
      <c r="AF36" s="55"/>
      <c r="AG36" s="55"/>
      <c r="AH36" s="55"/>
      <c r="AI36" s="55"/>
      <c r="AJ36" s="55"/>
      <c r="AK36" s="55"/>
      <c r="AL36" s="51"/>
      <c r="AM36" s="51"/>
      <c r="AN36" s="51"/>
      <c r="AO36" s="51"/>
      <c r="AP36" s="51"/>
      <c r="AQ36" s="52"/>
      <c r="AR36" s="52"/>
      <c r="AS36" s="52"/>
      <c r="AT36" s="52"/>
      <c r="AU36" s="52"/>
      <c r="AV36" s="52"/>
      <c r="AW36" s="52"/>
      <c r="AX36" s="52"/>
      <c r="AY36" s="52"/>
      <c r="AZ36" s="52"/>
      <c r="BA36" s="52"/>
      <c r="BB36" s="52"/>
      <c r="BC36" s="52"/>
      <c r="BD36" s="52"/>
      <c r="BE36" s="52"/>
      <c r="BF36" s="52"/>
    </row>
    <row r="37" spans="1:58">
      <c r="A37" s="18" t="s">
        <v>804</v>
      </c>
      <c r="B37" s="22"/>
      <c r="C37" s="6"/>
      <c r="D37" s="3"/>
      <c r="E37" s="3"/>
      <c r="F37" s="52"/>
      <c r="G37" s="52"/>
      <c r="H37" s="52"/>
      <c r="I37" s="52"/>
      <c r="J37" s="52"/>
      <c r="K37" s="52"/>
      <c r="L37" s="52"/>
      <c r="M37" s="52"/>
      <c r="N37" s="52"/>
      <c r="O37" s="52"/>
      <c r="P37" s="52"/>
      <c r="Q37" s="52"/>
      <c r="R37" s="52"/>
      <c r="S37" s="52"/>
      <c r="T37" s="52"/>
      <c r="U37" s="52"/>
      <c r="V37" s="53"/>
      <c r="W37" s="55"/>
      <c r="X37" s="55"/>
      <c r="Y37" s="55"/>
      <c r="Z37" s="55"/>
      <c r="AA37" s="55"/>
      <c r="AB37" s="55"/>
      <c r="AC37" s="55"/>
      <c r="AD37" s="55"/>
      <c r="AE37" s="55"/>
      <c r="AF37" s="55"/>
      <c r="AG37" s="55"/>
      <c r="AH37" s="55"/>
      <c r="AI37" s="55"/>
      <c r="AJ37" s="55"/>
      <c r="AK37" s="55"/>
      <c r="AL37" s="51"/>
      <c r="AM37" s="51"/>
      <c r="AN37" s="51"/>
      <c r="AO37" s="51"/>
      <c r="AP37" s="51"/>
      <c r="AQ37" s="52"/>
      <c r="AR37" s="52"/>
      <c r="AS37" s="52"/>
      <c r="AT37" s="52"/>
      <c r="AU37" s="52"/>
      <c r="AV37" s="52"/>
      <c r="AW37" s="52"/>
      <c r="AX37" s="52"/>
      <c r="AY37" s="52"/>
      <c r="AZ37" s="52"/>
      <c r="BA37" s="52"/>
      <c r="BB37" s="52"/>
      <c r="BC37" s="52"/>
      <c r="BD37" s="52"/>
      <c r="BE37" s="52"/>
      <c r="BF37" s="52"/>
    </row>
    <row r="38" spans="1:58">
      <c r="A38" s="6" t="s">
        <v>129</v>
      </c>
      <c r="B38" s="7" t="s">
        <v>117</v>
      </c>
      <c r="C38" s="201"/>
      <c r="D38" s="3"/>
      <c r="E38" s="3"/>
      <c r="F38" s="52"/>
      <c r="G38" s="50"/>
      <c r="H38" s="52"/>
      <c r="I38" s="52"/>
      <c r="J38" s="52"/>
      <c r="K38" s="52"/>
      <c r="L38" s="52"/>
      <c r="M38" s="52"/>
      <c r="N38" s="52"/>
      <c r="O38" s="52"/>
      <c r="P38" s="52"/>
      <c r="Q38" s="52"/>
      <c r="R38" s="52"/>
      <c r="S38" s="52"/>
      <c r="T38" s="52"/>
      <c r="U38" s="52"/>
      <c r="V38" s="53"/>
      <c r="W38" s="55"/>
      <c r="X38" s="55"/>
      <c r="Y38" s="55"/>
      <c r="Z38" s="55"/>
      <c r="AA38" s="55"/>
      <c r="AB38" s="55"/>
      <c r="AC38" s="55"/>
      <c r="AD38" s="55"/>
      <c r="AE38" s="55"/>
      <c r="AF38" s="55"/>
      <c r="AG38" s="55"/>
      <c r="AH38" s="55"/>
      <c r="AI38" s="55"/>
      <c r="AJ38" s="55"/>
      <c r="AK38" s="55"/>
      <c r="AL38" s="51"/>
      <c r="AM38" s="51"/>
      <c r="AN38" s="51"/>
      <c r="AO38" s="51"/>
      <c r="AP38" s="51"/>
      <c r="AQ38" s="52"/>
      <c r="AR38" s="52"/>
      <c r="AS38" s="52"/>
      <c r="AT38" s="52"/>
      <c r="AU38" s="52"/>
      <c r="AV38" s="52"/>
      <c r="AW38" s="52"/>
      <c r="AX38" s="52"/>
      <c r="AY38" s="52"/>
      <c r="AZ38" s="52"/>
      <c r="BA38" s="52"/>
      <c r="BB38" s="52"/>
      <c r="BC38" s="52"/>
      <c r="BD38" s="52"/>
      <c r="BE38" s="52"/>
      <c r="BF38" s="52"/>
    </row>
    <row r="39" spans="1:58">
      <c r="A39" s="29" t="s">
        <v>137</v>
      </c>
      <c r="B39" s="93">
        <v>0.3</v>
      </c>
      <c r="C39" s="18" t="s">
        <v>1692</v>
      </c>
      <c r="D39" s="19"/>
      <c r="E39" s="3"/>
      <c r="F39" s="52"/>
      <c r="G39" s="63" t="s">
        <v>2280</v>
      </c>
      <c r="H39" s="390"/>
      <c r="I39" s="390"/>
      <c r="J39" s="390"/>
      <c r="K39" s="390"/>
      <c r="L39" s="390"/>
      <c r="M39" s="52"/>
      <c r="N39" s="52"/>
      <c r="O39" s="52"/>
      <c r="P39" s="52"/>
      <c r="Q39" s="52"/>
      <c r="R39" s="52"/>
      <c r="S39" s="52"/>
      <c r="T39" s="52"/>
      <c r="U39" s="52"/>
      <c r="V39" s="53"/>
      <c r="W39" s="55"/>
      <c r="X39" s="55"/>
      <c r="Y39" s="55"/>
      <c r="Z39" s="55"/>
      <c r="AA39" s="55"/>
      <c r="AB39" s="55"/>
      <c r="AC39" s="55"/>
      <c r="AD39" s="55"/>
      <c r="AE39" s="55"/>
      <c r="AF39" s="55"/>
      <c r="AG39" s="55"/>
      <c r="AH39" s="55"/>
      <c r="AI39" s="55"/>
      <c r="AJ39" s="55"/>
      <c r="AK39" s="55"/>
      <c r="AL39" s="51"/>
      <c r="AM39" s="51"/>
      <c r="AN39" s="51"/>
      <c r="AO39" s="51"/>
      <c r="AP39" s="51"/>
      <c r="AQ39" s="52"/>
      <c r="AR39" s="52"/>
      <c r="AS39" s="52"/>
      <c r="AT39" s="52"/>
      <c r="AU39" s="52"/>
      <c r="AV39" s="52"/>
      <c r="AW39" s="52"/>
      <c r="AX39" s="52"/>
      <c r="AY39" s="52"/>
      <c r="AZ39" s="52"/>
      <c r="BA39" s="52"/>
      <c r="BB39" s="52"/>
      <c r="BC39" s="52"/>
      <c r="BD39" s="52"/>
      <c r="BE39" s="52"/>
      <c r="BF39" s="52"/>
    </row>
    <row r="40" spans="1:58">
      <c r="A40" s="29" t="s">
        <v>806</v>
      </c>
      <c r="B40" s="93">
        <v>0.02</v>
      </c>
      <c r="C40" s="46" t="s">
        <v>1691</v>
      </c>
      <c r="D40" s="3"/>
      <c r="E40" s="3"/>
      <c r="F40" s="52"/>
      <c r="G40" s="63" t="s">
        <v>2281</v>
      </c>
      <c r="H40" s="390"/>
      <c r="I40" s="390"/>
      <c r="J40" s="390"/>
      <c r="K40" s="390"/>
      <c r="L40" s="390"/>
      <c r="M40" s="52"/>
      <c r="N40" s="52"/>
      <c r="O40" s="52"/>
      <c r="P40" s="52"/>
      <c r="Q40" s="52"/>
      <c r="R40" s="52"/>
      <c r="S40" s="52"/>
      <c r="T40" s="52"/>
      <c r="U40" s="52"/>
      <c r="V40" s="53"/>
      <c r="W40" s="55"/>
      <c r="X40" s="55"/>
      <c r="Y40" s="55"/>
      <c r="Z40" s="55"/>
      <c r="AA40" s="55"/>
      <c r="AB40" s="55"/>
      <c r="AC40" s="55"/>
      <c r="AD40" s="55"/>
      <c r="AE40" s="55"/>
      <c r="AF40" s="55"/>
      <c r="AG40" s="55"/>
      <c r="AH40" s="55"/>
      <c r="AI40" s="55"/>
      <c r="AJ40" s="55"/>
      <c r="AK40" s="55"/>
      <c r="AL40" s="51"/>
      <c r="AM40" s="51"/>
      <c r="AN40" s="51"/>
      <c r="AO40" s="51"/>
      <c r="AP40" s="51"/>
      <c r="AQ40" s="52"/>
      <c r="AR40" s="52"/>
      <c r="AS40" s="52"/>
      <c r="AT40" s="52"/>
      <c r="AU40" s="52"/>
      <c r="AV40" s="52"/>
      <c r="AW40" s="52"/>
      <c r="AX40" s="52"/>
      <c r="AY40" s="52"/>
      <c r="AZ40" s="52"/>
      <c r="BA40" s="52"/>
      <c r="BB40" s="52"/>
      <c r="BC40" s="52"/>
      <c r="BD40" s="52"/>
      <c r="BE40" s="52"/>
      <c r="BF40" s="52"/>
    </row>
    <row r="41" spans="1:58">
      <c r="A41" s="18" t="s">
        <v>1242</v>
      </c>
      <c r="B41" s="22"/>
      <c r="C41" s="3"/>
      <c r="D41" s="3"/>
      <c r="E41" s="3"/>
      <c r="F41" s="52"/>
      <c r="G41" s="52"/>
      <c r="H41" s="52"/>
      <c r="I41" s="52"/>
      <c r="J41" s="52"/>
      <c r="K41" s="52"/>
      <c r="L41" s="52"/>
      <c r="M41" s="52"/>
      <c r="N41" s="52"/>
      <c r="O41" s="52"/>
      <c r="P41" s="52"/>
      <c r="Q41" s="52"/>
      <c r="R41" s="52"/>
      <c r="S41" s="52"/>
      <c r="T41" s="52"/>
      <c r="U41" s="52"/>
      <c r="V41" s="53"/>
      <c r="W41" s="55"/>
      <c r="X41" s="55"/>
      <c r="Y41" s="55"/>
      <c r="Z41" s="55"/>
      <c r="AA41" s="55"/>
      <c r="AB41" s="55"/>
      <c r="AC41" s="55"/>
      <c r="AD41" s="55"/>
      <c r="AE41" s="55"/>
      <c r="AF41" s="55"/>
      <c r="AG41" s="55"/>
      <c r="AH41" s="55"/>
      <c r="AI41" s="55"/>
      <c r="AJ41" s="55"/>
      <c r="AK41" s="55"/>
      <c r="AL41" s="51"/>
      <c r="AM41" s="51"/>
      <c r="AN41" s="51"/>
      <c r="AO41" s="51"/>
      <c r="AP41" s="51"/>
      <c r="AQ41" s="52"/>
      <c r="AR41" s="52"/>
      <c r="AS41" s="52"/>
      <c r="AT41" s="52"/>
      <c r="AU41" s="52"/>
      <c r="AV41" s="52"/>
      <c r="AW41" s="52"/>
      <c r="AX41" s="52"/>
      <c r="AY41" s="52"/>
      <c r="AZ41" s="52"/>
      <c r="BA41" s="52"/>
      <c r="BB41" s="52"/>
      <c r="BC41" s="52"/>
      <c r="BD41" s="52"/>
      <c r="BE41" s="52"/>
      <c r="BF41" s="52"/>
    </row>
    <row r="42" spans="1:58">
      <c r="A42" s="6" t="s">
        <v>129</v>
      </c>
      <c r="B42" s="7" t="s">
        <v>117</v>
      </c>
      <c r="C42" s="201"/>
      <c r="D42" s="3"/>
      <c r="E42" s="3"/>
      <c r="F42" s="52"/>
      <c r="G42" s="63" t="s">
        <v>2282</v>
      </c>
      <c r="H42" s="390"/>
      <c r="I42" s="390"/>
      <c r="J42" s="390"/>
      <c r="K42" s="390"/>
      <c r="L42" s="390"/>
      <c r="M42" s="390"/>
      <c r="N42" s="52"/>
      <c r="O42" s="52"/>
      <c r="P42" s="52"/>
      <c r="Q42" s="52"/>
      <c r="R42" s="52"/>
      <c r="S42" s="52"/>
      <c r="T42" s="52"/>
      <c r="U42" s="52"/>
      <c r="V42" s="53"/>
      <c r="W42" s="55"/>
      <c r="X42" s="55"/>
      <c r="Y42" s="55"/>
      <c r="Z42" s="55"/>
      <c r="AA42" s="55"/>
      <c r="AB42" s="55"/>
      <c r="AC42" s="55"/>
      <c r="AD42" s="55"/>
      <c r="AE42" s="55"/>
      <c r="AF42" s="55"/>
      <c r="AG42" s="55"/>
      <c r="AH42" s="55"/>
      <c r="AI42" s="55"/>
      <c r="AJ42" s="55"/>
      <c r="AK42" s="55"/>
      <c r="AL42" s="51"/>
      <c r="AM42" s="51"/>
      <c r="AN42" s="51"/>
      <c r="AO42" s="51"/>
      <c r="AP42" s="51"/>
      <c r="AQ42" s="52"/>
      <c r="AR42" s="52"/>
      <c r="AS42" s="52"/>
      <c r="AT42" s="52"/>
      <c r="AU42" s="52"/>
      <c r="AV42" s="52"/>
      <c r="AW42" s="52"/>
      <c r="AX42" s="52"/>
      <c r="AY42" s="52"/>
      <c r="AZ42" s="52"/>
      <c r="BA42" s="52"/>
      <c r="BB42" s="52"/>
      <c r="BC42" s="52"/>
      <c r="BD42" s="52"/>
      <c r="BE42" s="52"/>
      <c r="BF42" s="52"/>
    </row>
    <row r="43" spans="1:58">
      <c r="A43" s="29" t="s">
        <v>1243</v>
      </c>
      <c r="B43" s="94">
        <v>4.2000000000000003E-2</v>
      </c>
      <c r="C43" s="19" t="s">
        <v>1696</v>
      </c>
      <c r="D43" s="3"/>
      <c r="E43" s="3"/>
      <c r="F43" s="52"/>
      <c r="G43" s="52"/>
      <c r="H43" s="52"/>
      <c r="I43" s="52"/>
      <c r="J43" s="52"/>
      <c r="K43" s="52"/>
      <c r="L43" s="52"/>
      <c r="M43" s="52"/>
      <c r="N43" s="52"/>
      <c r="O43" s="52"/>
      <c r="P43" s="52"/>
      <c r="Q43" s="52"/>
      <c r="R43" s="52"/>
      <c r="S43" s="52"/>
      <c r="T43" s="52"/>
      <c r="U43" s="52"/>
      <c r="V43" s="53"/>
      <c r="W43" s="55"/>
      <c r="X43" s="55"/>
      <c r="Y43" s="55"/>
      <c r="Z43" s="55"/>
      <c r="AA43" s="55"/>
      <c r="AB43" s="55"/>
      <c r="AC43" s="55"/>
      <c r="AD43" s="55"/>
      <c r="AE43" s="55"/>
      <c r="AF43" s="55"/>
      <c r="AG43" s="55"/>
      <c r="AH43" s="55"/>
      <c r="AI43" s="55"/>
      <c r="AJ43" s="55"/>
      <c r="AK43" s="55"/>
      <c r="AL43" s="51"/>
      <c r="AM43" s="51"/>
      <c r="AN43" s="51"/>
      <c r="AO43" s="51"/>
      <c r="AP43" s="51"/>
      <c r="AQ43" s="52"/>
      <c r="AR43" s="52"/>
      <c r="AS43" s="52"/>
      <c r="AT43" s="52"/>
      <c r="AU43" s="52"/>
      <c r="AV43" s="52"/>
      <c r="AW43" s="52"/>
      <c r="AX43" s="52"/>
      <c r="AY43" s="52"/>
      <c r="AZ43" s="52"/>
      <c r="BA43" s="52"/>
      <c r="BB43" s="52"/>
      <c r="BC43" s="52"/>
      <c r="BD43" s="52"/>
      <c r="BE43" s="52"/>
      <c r="BF43" s="52"/>
    </row>
    <row r="44" spans="1:58">
      <c r="A44" s="29" t="s">
        <v>191</v>
      </c>
      <c r="B44" s="7" cm="1">
        <f t="array" ref="B44">Table23[Value]</f>
        <v>1.0354653976641053</v>
      </c>
      <c r="C44" s="19" t="s">
        <v>1693</v>
      </c>
      <c r="D44" s="3"/>
      <c r="E44" s="3"/>
      <c r="F44" s="52"/>
      <c r="G44" s="63" t="s">
        <v>2283</v>
      </c>
      <c r="H44" s="390"/>
      <c r="I44" s="390"/>
      <c r="J44" s="390"/>
      <c r="K44" s="390"/>
      <c r="L44" s="390"/>
      <c r="M44" s="390"/>
      <c r="N44" s="52"/>
      <c r="O44" s="52"/>
      <c r="P44" s="52"/>
      <c r="Q44" s="52"/>
      <c r="R44" s="52"/>
      <c r="S44" s="52"/>
      <c r="T44" s="52"/>
      <c r="U44" s="52"/>
      <c r="V44" s="53"/>
      <c r="W44" s="55"/>
      <c r="X44" s="55"/>
      <c r="Y44" s="55"/>
      <c r="Z44" s="55"/>
      <c r="AA44" s="55"/>
      <c r="AB44" s="55"/>
      <c r="AC44" s="55"/>
      <c r="AD44" s="55"/>
      <c r="AE44" s="55"/>
      <c r="AF44" s="55"/>
      <c r="AG44" s="55"/>
      <c r="AH44" s="55"/>
      <c r="AI44" s="55"/>
      <c r="AJ44" s="55"/>
      <c r="AK44" s="55"/>
      <c r="AL44" s="51"/>
      <c r="AM44" s="51"/>
      <c r="AN44" s="51"/>
      <c r="AO44" s="51"/>
      <c r="AP44" s="51"/>
      <c r="AQ44" s="52"/>
      <c r="AR44" s="52"/>
      <c r="AS44" s="52"/>
      <c r="AT44" s="52"/>
      <c r="AU44" s="52"/>
      <c r="AV44" s="52"/>
      <c r="AW44" s="52"/>
      <c r="AX44" s="52"/>
      <c r="AY44" s="52"/>
      <c r="AZ44" s="52"/>
      <c r="BA44" s="52"/>
      <c r="BB44" s="52"/>
      <c r="BC44" s="52"/>
      <c r="BD44" s="52"/>
      <c r="BE44" s="52"/>
      <c r="BF44" s="52"/>
    </row>
    <row r="45" spans="1:58">
      <c r="A45" s="29" t="s">
        <v>434</v>
      </c>
      <c r="B45" s="93">
        <v>0.1</v>
      </c>
      <c r="C45" s="19" t="s">
        <v>1694</v>
      </c>
      <c r="D45" s="3"/>
      <c r="E45" s="3"/>
      <c r="F45" s="52"/>
      <c r="G45" s="52"/>
      <c r="H45" s="52"/>
      <c r="I45" s="52"/>
      <c r="J45" s="52"/>
      <c r="K45" s="52"/>
      <c r="L45" s="52"/>
      <c r="M45" s="52"/>
      <c r="N45" s="52"/>
      <c r="O45" s="52"/>
      <c r="P45" s="52"/>
      <c r="Q45" s="52"/>
      <c r="R45" s="52"/>
      <c r="S45" s="52"/>
      <c r="T45" s="52"/>
      <c r="U45" s="52"/>
      <c r="V45" s="53"/>
      <c r="W45" s="55"/>
      <c r="X45" s="55"/>
      <c r="Y45" s="55"/>
      <c r="Z45" s="55"/>
      <c r="AA45" s="55"/>
      <c r="AB45" s="55"/>
      <c r="AC45" s="55"/>
      <c r="AD45" s="55"/>
      <c r="AE45" s="55"/>
      <c r="AF45" s="55"/>
      <c r="AG45" s="55"/>
      <c r="AH45" s="55"/>
      <c r="AI45" s="55"/>
      <c r="AJ45" s="55"/>
      <c r="AK45" s="55"/>
      <c r="AL45" s="51"/>
      <c r="AM45" s="51"/>
      <c r="AN45" s="51"/>
      <c r="AO45" s="51"/>
      <c r="AP45" s="51"/>
      <c r="AQ45" s="52"/>
      <c r="AR45" s="52"/>
      <c r="AS45" s="52"/>
      <c r="AT45" s="52"/>
      <c r="AU45" s="52"/>
      <c r="AV45" s="52"/>
      <c r="AW45" s="52"/>
      <c r="AX45" s="52"/>
      <c r="AY45" s="52"/>
      <c r="AZ45" s="52"/>
      <c r="BA45" s="52"/>
      <c r="BB45" s="52"/>
      <c r="BC45" s="52"/>
      <c r="BD45" s="52"/>
      <c r="BE45" s="52"/>
      <c r="BF45" s="52"/>
    </row>
    <row r="46" spans="1:58">
      <c r="A46" s="29" t="s">
        <v>472</v>
      </c>
      <c r="B46" s="94">
        <f>B43+B44*(B45-B43)</f>
        <v>0.10205699306451811</v>
      </c>
      <c r="C46" s="19" t="s">
        <v>1695</v>
      </c>
      <c r="D46" s="3"/>
      <c r="E46" s="3"/>
      <c r="F46" s="52"/>
      <c r="G46" s="63" t="s">
        <v>2535</v>
      </c>
      <c r="H46" s="390"/>
      <c r="I46" s="390"/>
      <c r="J46" s="390"/>
      <c r="K46" s="390"/>
      <c r="L46" s="390"/>
      <c r="M46" s="390"/>
      <c r="N46" s="52"/>
      <c r="O46" s="52"/>
      <c r="P46" s="52"/>
      <c r="Q46" s="52"/>
      <c r="R46" s="52"/>
      <c r="S46" s="52"/>
      <c r="T46" s="52"/>
      <c r="U46" s="52"/>
      <c r="V46" s="53"/>
      <c r="W46" s="55"/>
      <c r="X46" s="55"/>
      <c r="Y46" s="55"/>
      <c r="Z46" s="55"/>
      <c r="AA46" s="55"/>
      <c r="AB46" s="55"/>
      <c r="AC46" s="55"/>
      <c r="AD46" s="55"/>
      <c r="AE46" s="55"/>
      <c r="AF46" s="55"/>
      <c r="AG46" s="55"/>
      <c r="AH46" s="55"/>
      <c r="AI46" s="55"/>
      <c r="AJ46" s="55"/>
      <c r="AK46" s="55"/>
      <c r="AL46" s="51"/>
      <c r="AM46" s="51"/>
      <c r="AN46" s="51"/>
      <c r="AO46" s="51"/>
      <c r="AP46" s="51"/>
      <c r="AQ46" s="52"/>
      <c r="AR46" s="52"/>
      <c r="AS46" s="52"/>
      <c r="AT46" s="52"/>
      <c r="AU46" s="52"/>
      <c r="AV46" s="52"/>
      <c r="AW46" s="52"/>
      <c r="AX46" s="52"/>
      <c r="AY46" s="52"/>
      <c r="AZ46" s="52"/>
      <c r="BA46" s="52"/>
      <c r="BB46" s="52"/>
      <c r="BC46" s="52"/>
      <c r="BD46" s="52"/>
      <c r="BE46" s="52"/>
      <c r="BF46" s="52"/>
    </row>
    <row r="47" spans="1:58">
      <c r="A47" s="320" t="s">
        <v>1235</v>
      </c>
      <c r="B47" s="96"/>
      <c r="C47" s="19"/>
      <c r="D47" s="3"/>
      <c r="E47" s="3"/>
      <c r="F47" s="52"/>
      <c r="G47" s="52"/>
      <c r="H47" s="52"/>
      <c r="I47" s="52"/>
      <c r="J47" s="52"/>
      <c r="K47" s="52"/>
      <c r="L47" s="52"/>
      <c r="M47" s="52"/>
      <c r="N47" s="52"/>
      <c r="O47" s="52"/>
      <c r="P47" s="52"/>
      <c r="Q47" s="52"/>
      <c r="R47" s="52"/>
      <c r="S47" s="52"/>
      <c r="T47" s="52"/>
      <c r="U47" s="52"/>
      <c r="V47" s="53"/>
      <c r="W47" s="55"/>
      <c r="X47" s="55"/>
      <c r="Y47" s="55"/>
      <c r="Z47" s="55"/>
      <c r="AA47" s="55"/>
      <c r="AB47" s="55"/>
      <c r="AC47" s="55"/>
      <c r="AD47" s="55"/>
      <c r="AE47" s="55"/>
      <c r="AF47" s="55"/>
      <c r="AG47" s="55"/>
      <c r="AH47" s="55"/>
      <c r="AI47" s="55"/>
      <c r="AJ47" s="55"/>
      <c r="AK47" s="55"/>
      <c r="AL47" s="51"/>
      <c r="AM47" s="51"/>
      <c r="AN47" s="51"/>
      <c r="AO47" s="51"/>
      <c r="AP47" s="51"/>
      <c r="AQ47" s="52"/>
      <c r="AR47" s="52"/>
      <c r="AS47" s="52"/>
      <c r="AT47" s="52"/>
      <c r="AU47" s="52"/>
      <c r="AV47" s="52"/>
      <c r="AW47" s="52"/>
      <c r="AX47" s="52"/>
      <c r="AY47" s="52"/>
      <c r="AZ47" s="52"/>
      <c r="BA47" s="52"/>
      <c r="BB47" s="52"/>
      <c r="BC47" s="52"/>
      <c r="BD47" s="52"/>
      <c r="BE47" s="52"/>
      <c r="BF47" s="52"/>
    </row>
    <row r="48" spans="1:58">
      <c r="A48" s="19" t="s">
        <v>194</v>
      </c>
      <c r="B48" s="22"/>
      <c r="C48" s="19"/>
      <c r="D48" s="3"/>
      <c r="E48" s="3"/>
      <c r="F48" s="52"/>
      <c r="G48" s="27" t="s">
        <v>1266</v>
      </c>
      <c r="H48" s="27" t="s">
        <v>492</v>
      </c>
      <c r="I48" s="27" t="s">
        <v>1252</v>
      </c>
      <c r="J48" s="27" t="s">
        <v>198</v>
      </c>
      <c r="K48" s="27" t="s">
        <v>285</v>
      </c>
      <c r="L48" s="27" t="s">
        <v>864</v>
      </c>
      <c r="M48" s="52"/>
      <c r="N48" s="52"/>
      <c r="O48" s="52"/>
      <c r="P48" s="52"/>
      <c r="Q48" s="52"/>
      <c r="R48" s="52"/>
      <c r="S48" s="52"/>
      <c r="T48" s="52"/>
      <c r="U48" s="52"/>
      <c r="V48" s="53"/>
      <c r="W48" s="55"/>
      <c r="X48" s="55"/>
      <c r="Y48" s="55"/>
      <c r="Z48" s="55"/>
      <c r="AA48" s="55"/>
      <c r="AB48" s="55"/>
      <c r="AC48" s="55"/>
      <c r="AD48" s="55"/>
      <c r="AE48" s="55"/>
      <c r="AF48" s="55"/>
      <c r="AG48" s="55"/>
      <c r="AH48" s="55"/>
      <c r="AI48" s="55"/>
      <c r="AJ48" s="55"/>
      <c r="AK48" s="55"/>
      <c r="AL48" s="51"/>
      <c r="AM48" s="51"/>
      <c r="AN48" s="51"/>
      <c r="AO48" s="51"/>
      <c r="AP48" s="51"/>
      <c r="AQ48" s="52"/>
      <c r="AR48" s="52"/>
      <c r="AS48" s="52"/>
      <c r="AT48" s="52"/>
      <c r="AU48" s="52"/>
      <c r="AV48" s="52"/>
      <c r="AW48" s="52"/>
      <c r="AX48" s="52"/>
      <c r="AY48" s="52"/>
      <c r="AZ48" s="52"/>
      <c r="BA48" s="52"/>
      <c r="BB48" s="52"/>
      <c r="BC48" s="52"/>
      <c r="BD48" s="52"/>
      <c r="BE48" s="52"/>
      <c r="BF48" s="52"/>
    </row>
    <row r="49" spans="1:58">
      <c r="A49" s="28" t="s">
        <v>472</v>
      </c>
      <c r="B49" s="97">
        <f>B46</f>
        <v>0.10205699306451811</v>
      </c>
      <c r="C49" s="19"/>
      <c r="D49" s="3"/>
      <c r="E49" s="3"/>
      <c r="F49" s="52"/>
      <c r="G49" s="320" t="s">
        <v>954</v>
      </c>
      <c r="H49" s="330">
        <v>-0.02</v>
      </c>
      <c r="I49" s="330">
        <v>-0.01</v>
      </c>
      <c r="J49" s="336">
        <v>0.105</v>
      </c>
      <c r="K49" s="336">
        <v>2.5000000000000001E-2</v>
      </c>
      <c r="L49" s="320" t="s">
        <v>2284</v>
      </c>
      <c r="M49" s="52"/>
      <c r="N49" s="52"/>
      <c r="O49" s="52"/>
      <c r="P49" s="52"/>
      <c r="Q49" s="52"/>
      <c r="R49" s="52"/>
      <c r="S49" s="52"/>
      <c r="T49" s="52"/>
      <c r="U49" s="52"/>
      <c r="V49" s="53"/>
      <c r="W49" s="55"/>
      <c r="X49" s="55"/>
      <c r="Y49" s="55"/>
      <c r="Z49" s="55"/>
      <c r="AA49" s="55"/>
      <c r="AB49" s="55"/>
      <c r="AC49" s="55"/>
      <c r="AD49" s="55"/>
      <c r="AE49" s="55"/>
      <c r="AF49" s="55"/>
      <c r="AG49" s="55"/>
      <c r="AH49" s="55"/>
      <c r="AI49" s="55"/>
      <c r="AJ49" s="55"/>
      <c r="AK49" s="55"/>
      <c r="AL49" s="51"/>
      <c r="AM49" s="51"/>
      <c r="AN49" s="51"/>
      <c r="AO49" s="51"/>
      <c r="AP49" s="51"/>
      <c r="AQ49" s="52"/>
      <c r="AR49" s="52"/>
      <c r="AS49" s="52"/>
      <c r="AT49" s="52"/>
      <c r="AU49" s="52"/>
      <c r="AV49" s="52"/>
      <c r="AW49" s="52"/>
      <c r="AX49" s="52"/>
      <c r="AY49" s="52"/>
      <c r="AZ49" s="52"/>
      <c r="BA49" s="52"/>
      <c r="BB49" s="52"/>
      <c r="BC49" s="52"/>
      <c r="BD49" s="52"/>
      <c r="BE49" s="52"/>
      <c r="BF49" s="52"/>
    </row>
    <row r="50" spans="1:58">
      <c r="A50" s="28" t="s">
        <v>937</v>
      </c>
      <c r="B50" s="97">
        <v>3.5000000000000003E-2</v>
      </c>
      <c r="C50" s="19" t="s">
        <v>1855</v>
      </c>
      <c r="D50" s="3"/>
      <c r="E50" s="3"/>
      <c r="F50" s="52"/>
      <c r="G50" s="320" t="s">
        <v>952</v>
      </c>
      <c r="H50" s="330">
        <v>0</v>
      </c>
      <c r="I50" s="330">
        <v>0</v>
      </c>
      <c r="J50" s="336">
        <v>9.5000000000000001E-2</v>
      </c>
      <c r="K50" s="336">
        <v>0.03</v>
      </c>
      <c r="L50" s="320" t="s">
        <v>2273</v>
      </c>
      <c r="M50" s="52"/>
      <c r="N50" s="52"/>
      <c r="O50" s="52"/>
      <c r="P50" s="52"/>
      <c r="Q50" s="52"/>
      <c r="R50" s="52"/>
      <c r="S50" s="52"/>
      <c r="T50" s="52"/>
      <c r="U50" s="52"/>
      <c r="V50" s="53"/>
      <c r="W50" s="55"/>
      <c r="X50" s="55"/>
      <c r="Y50" s="55"/>
      <c r="Z50" s="55"/>
      <c r="AA50" s="55"/>
      <c r="AB50" s="55"/>
      <c r="AC50" s="55"/>
      <c r="AD50" s="55"/>
      <c r="AE50" s="55"/>
      <c r="AF50" s="55"/>
      <c r="AG50" s="55"/>
      <c r="AH50" s="55"/>
      <c r="AI50" s="55"/>
      <c r="AJ50" s="55"/>
      <c r="AK50" s="55"/>
      <c r="AL50" s="51"/>
      <c r="AM50" s="51"/>
      <c r="AN50" s="51"/>
      <c r="AO50" s="51"/>
      <c r="AP50" s="51"/>
      <c r="AQ50" s="52"/>
      <c r="AR50" s="52"/>
      <c r="AS50" s="52"/>
      <c r="AT50" s="52"/>
      <c r="AU50" s="52"/>
      <c r="AV50" s="52"/>
      <c r="AW50" s="52"/>
      <c r="AX50" s="52"/>
      <c r="AY50" s="52"/>
      <c r="AZ50" s="52"/>
      <c r="BA50" s="52"/>
      <c r="BB50" s="52"/>
      <c r="BC50" s="52"/>
      <c r="BD50" s="52"/>
      <c r="BE50" s="52"/>
      <c r="BF50" s="52"/>
    </row>
    <row r="51" spans="1:58">
      <c r="A51" s="28" t="s">
        <v>939</v>
      </c>
      <c r="B51" s="97">
        <v>0.9</v>
      </c>
      <c r="C51" s="19" t="s">
        <v>1697</v>
      </c>
      <c r="D51" s="3"/>
      <c r="E51" s="3"/>
      <c r="F51" s="52"/>
      <c r="G51" s="320" t="s">
        <v>950</v>
      </c>
      <c r="H51" s="330">
        <v>0.02</v>
      </c>
      <c r="I51" s="330">
        <v>0.01</v>
      </c>
      <c r="J51" s="336">
        <v>0.09</v>
      </c>
      <c r="K51" s="336">
        <v>3.5000000000000003E-2</v>
      </c>
      <c r="L51" s="320" t="s">
        <v>2285</v>
      </c>
      <c r="M51" s="52"/>
      <c r="N51" s="52"/>
      <c r="O51" s="52"/>
      <c r="P51" s="52"/>
      <c r="Q51" s="52"/>
      <c r="R51" s="52"/>
      <c r="S51" s="52"/>
      <c r="T51" s="52"/>
      <c r="U51" s="52"/>
      <c r="V51" s="53"/>
      <c r="W51" s="55"/>
      <c r="X51" s="55"/>
      <c r="Y51" s="55"/>
      <c r="Z51" s="55"/>
      <c r="AA51" s="55"/>
      <c r="AB51" s="55"/>
      <c r="AC51" s="55"/>
      <c r="AD51" s="55"/>
      <c r="AE51" s="55"/>
      <c r="AF51" s="55"/>
      <c r="AG51" s="55"/>
      <c r="AH51" s="55"/>
      <c r="AI51" s="55"/>
      <c r="AJ51" s="55"/>
      <c r="AK51" s="55"/>
      <c r="AL51" s="51"/>
      <c r="AM51" s="51"/>
      <c r="AN51" s="51"/>
      <c r="AO51" s="51"/>
      <c r="AP51" s="51"/>
      <c r="AQ51" s="52"/>
      <c r="AR51" s="52"/>
      <c r="AS51" s="52"/>
      <c r="AT51" s="52"/>
      <c r="AU51" s="52"/>
      <c r="AV51" s="52"/>
      <c r="AW51" s="52"/>
      <c r="AX51" s="52"/>
      <c r="AY51" s="52"/>
      <c r="AZ51" s="52"/>
      <c r="BA51" s="52"/>
      <c r="BB51" s="52"/>
      <c r="BC51" s="52"/>
      <c r="BD51" s="52"/>
      <c r="BE51" s="52"/>
      <c r="BF51" s="52"/>
    </row>
    <row r="52" spans="1:58">
      <c r="A52" s="28" t="s">
        <v>938</v>
      </c>
      <c r="B52" s="97">
        <v>0.1</v>
      </c>
      <c r="C52" s="19" t="s">
        <v>1698</v>
      </c>
      <c r="D52" s="3"/>
      <c r="E52" s="3"/>
      <c r="F52" s="52"/>
      <c r="G52" s="63" t="s">
        <v>2286</v>
      </c>
      <c r="H52" s="390"/>
      <c r="I52" s="390"/>
      <c r="J52" s="390"/>
      <c r="K52" s="390"/>
      <c r="L52" s="390"/>
      <c r="M52" s="390"/>
      <c r="N52" s="52"/>
      <c r="O52" s="52"/>
      <c r="P52" s="52"/>
      <c r="Q52" s="52"/>
      <c r="R52" s="52"/>
      <c r="S52" s="52"/>
      <c r="T52" s="52"/>
      <c r="U52" s="52"/>
      <c r="V52" s="53"/>
      <c r="W52" s="55"/>
      <c r="X52" s="55"/>
      <c r="Y52" s="55"/>
      <c r="Z52" s="55"/>
      <c r="AA52" s="55"/>
      <c r="AB52" s="55"/>
      <c r="AC52" s="55"/>
      <c r="AD52" s="55"/>
      <c r="AE52" s="55"/>
      <c r="AF52" s="55"/>
      <c r="AG52" s="55"/>
      <c r="AH52" s="55"/>
      <c r="AI52" s="55"/>
      <c r="AJ52" s="55"/>
      <c r="AK52" s="55"/>
      <c r="AL52" s="51"/>
      <c r="AM52" s="51"/>
      <c r="AN52" s="51"/>
      <c r="AO52" s="51"/>
      <c r="AP52" s="51"/>
      <c r="AQ52" s="52"/>
      <c r="AR52" s="52"/>
      <c r="AS52" s="52"/>
      <c r="AT52" s="52"/>
      <c r="AU52" s="52"/>
      <c r="AV52" s="52"/>
      <c r="AW52" s="52"/>
      <c r="AX52" s="52"/>
      <c r="AY52" s="52"/>
      <c r="AZ52" s="52"/>
      <c r="BA52" s="52"/>
      <c r="BB52" s="52"/>
      <c r="BC52" s="52"/>
      <c r="BD52" s="52"/>
      <c r="BE52" s="52"/>
      <c r="BF52" s="52"/>
    </row>
    <row r="53" spans="1:58">
      <c r="A53" s="367" t="s">
        <v>198</v>
      </c>
      <c r="B53" s="88">
        <f>B51*B49+B52*B50*(1-B14)</f>
        <v>9.4791293758066303E-2</v>
      </c>
      <c r="C53" s="19" t="s">
        <v>1699</v>
      </c>
      <c r="D53" s="3"/>
      <c r="E53" s="3"/>
      <c r="F53" s="52"/>
      <c r="G53" s="52"/>
      <c r="H53" s="52"/>
      <c r="I53" s="52"/>
      <c r="J53" s="52"/>
      <c r="K53" s="52"/>
      <c r="L53" s="52"/>
      <c r="M53" s="52"/>
      <c r="N53" s="52"/>
      <c r="O53" s="52"/>
      <c r="P53" s="52"/>
      <c r="Q53" s="52"/>
      <c r="R53" s="52"/>
      <c r="S53" s="52"/>
      <c r="T53" s="52"/>
      <c r="U53" s="52"/>
      <c r="V53" s="53"/>
      <c r="W53" s="55"/>
      <c r="X53" s="55"/>
      <c r="Y53" s="55"/>
      <c r="Z53" s="55"/>
      <c r="AA53" s="55"/>
      <c r="AB53" s="55"/>
      <c r="AC53" s="55"/>
      <c r="AD53" s="55"/>
      <c r="AE53" s="55"/>
      <c r="AF53" s="55"/>
      <c r="AG53" s="55"/>
      <c r="AH53" s="55"/>
      <c r="AI53" s="55"/>
      <c r="AJ53" s="55"/>
      <c r="AK53" s="55"/>
      <c r="AL53" s="51"/>
      <c r="AM53" s="51"/>
      <c r="AN53" s="51"/>
      <c r="AO53" s="51"/>
      <c r="AP53" s="51"/>
      <c r="AQ53" s="52"/>
      <c r="AR53" s="52"/>
      <c r="AS53" s="52"/>
      <c r="AT53" s="52"/>
      <c r="AU53" s="52"/>
      <c r="AV53" s="52"/>
      <c r="AW53" s="52"/>
      <c r="AX53" s="52"/>
      <c r="AY53" s="52"/>
      <c r="AZ53" s="52"/>
      <c r="BA53" s="52"/>
      <c r="BB53" s="52"/>
      <c r="BC53" s="52"/>
      <c r="BD53" s="52"/>
      <c r="BE53" s="52"/>
      <c r="BF53" s="52"/>
    </row>
    <row r="54" spans="1:58">
      <c r="A54" s="19"/>
      <c r="B54" s="22"/>
      <c r="C54" s="287"/>
      <c r="D54" s="287"/>
      <c r="E54" s="287"/>
      <c r="F54" s="52"/>
      <c r="G54" s="63" t="s">
        <v>2287</v>
      </c>
      <c r="H54" s="390"/>
      <c r="I54" s="390"/>
      <c r="J54" s="390"/>
      <c r="K54" s="390"/>
      <c r="L54" s="390"/>
      <c r="M54" s="52"/>
      <c r="N54" s="52"/>
      <c r="O54" s="52"/>
      <c r="P54" s="52"/>
      <c r="Q54" s="52"/>
      <c r="R54" s="52"/>
      <c r="S54" s="52"/>
      <c r="T54" s="52"/>
      <c r="U54" s="52"/>
      <c r="V54" s="71"/>
      <c r="W54" s="55"/>
      <c r="X54" s="55"/>
      <c r="Y54" s="55"/>
      <c r="Z54" s="55"/>
      <c r="AA54" s="55"/>
      <c r="AB54" s="55"/>
      <c r="AC54" s="55"/>
      <c r="AD54" s="55"/>
      <c r="AE54" s="55"/>
      <c r="AF54" s="55"/>
      <c r="AG54" s="55"/>
      <c r="AH54" s="55"/>
      <c r="AI54" s="55"/>
      <c r="AJ54" s="55"/>
      <c r="AK54" s="55"/>
      <c r="AL54" s="51"/>
      <c r="AM54" s="51"/>
      <c r="AN54" s="51"/>
      <c r="AO54" s="51"/>
      <c r="AP54" s="51"/>
      <c r="AQ54" s="52"/>
      <c r="AR54" s="52"/>
      <c r="AS54" s="52"/>
      <c r="AT54" s="52"/>
      <c r="AU54" s="52"/>
      <c r="AV54" s="52"/>
      <c r="AW54" s="52"/>
      <c r="AX54" s="52"/>
      <c r="AY54" s="52"/>
      <c r="AZ54" s="52"/>
      <c r="BA54" s="52"/>
      <c r="BB54" s="52"/>
      <c r="BC54" s="52"/>
      <c r="BD54" s="52"/>
      <c r="BE54" s="52"/>
      <c r="BF54" s="52"/>
    </row>
    <row r="55" spans="1:58">
      <c r="A55" s="76" t="s">
        <v>213</v>
      </c>
      <c r="B55" s="98"/>
      <c r="C55" s="287"/>
      <c r="D55" s="287"/>
      <c r="E55" s="287"/>
      <c r="F55" s="52"/>
      <c r="G55" s="52"/>
      <c r="H55" s="52"/>
      <c r="I55" s="52"/>
      <c r="J55" s="52"/>
      <c r="K55" s="52"/>
      <c r="L55" s="52"/>
      <c r="M55" s="52"/>
      <c r="N55" s="52"/>
      <c r="O55" s="52"/>
      <c r="P55" s="52"/>
      <c r="Q55" s="52"/>
      <c r="R55" s="52"/>
      <c r="S55" s="52"/>
      <c r="T55" s="52"/>
      <c r="U55" s="52"/>
      <c r="V55" s="71"/>
      <c r="W55" s="55"/>
      <c r="X55" s="55"/>
      <c r="Y55" s="55"/>
      <c r="Z55" s="55"/>
      <c r="AA55" s="55"/>
      <c r="AB55" s="55"/>
      <c r="AC55" s="55"/>
      <c r="AD55" s="55"/>
      <c r="AE55" s="55"/>
      <c r="AF55" s="55"/>
      <c r="AG55" s="55"/>
      <c r="AH55" s="55"/>
      <c r="AI55" s="55"/>
      <c r="AJ55" s="55"/>
      <c r="AK55" s="55"/>
      <c r="AL55" s="51"/>
      <c r="AM55" s="51"/>
      <c r="AN55" s="51"/>
      <c r="AO55" s="51"/>
      <c r="AP55" s="51"/>
      <c r="AQ55" s="52"/>
      <c r="AR55" s="52"/>
      <c r="AS55" s="52"/>
      <c r="AT55" s="52"/>
      <c r="AU55" s="52"/>
      <c r="AV55" s="52"/>
      <c r="AW55" s="52"/>
      <c r="AX55" s="52"/>
      <c r="AY55" s="52"/>
      <c r="AZ55" s="52"/>
      <c r="BA55" s="52"/>
      <c r="BB55" s="52"/>
      <c r="BC55" s="52"/>
      <c r="BD55" s="52"/>
      <c r="BE55" s="52"/>
      <c r="BF55" s="52"/>
    </row>
    <row r="56" spans="1:58">
      <c r="A56" s="28" t="s">
        <v>1235</v>
      </c>
      <c r="B56" s="22" t="s">
        <v>1236</v>
      </c>
      <c r="C56" s="287"/>
      <c r="D56" s="3"/>
      <c r="E56" s="287"/>
      <c r="F56" s="52"/>
      <c r="G56" s="63" t="s">
        <v>2288</v>
      </c>
      <c r="H56" s="390"/>
      <c r="I56" s="390"/>
      <c r="J56" s="390"/>
      <c r="K56" s="390"/>
      <c r="L56" s="390"/>
      <c r="M56" s="52"/>
      <c r="N56" s="52"/>
      <c r="O56" s="52"/>
      <c r="P56" s="52"/>
      <c r="Q56" s="52"/>
      <c r="R56" s="52"/>
      <c r="S56" s="52"/>
      <c r="T56" s="52"/>
      <c r="U56" s="52"/>
      <c r="V56" s="71"/>
      <c r="W56" s="55"/>
      <c r="X56" s="55"/>
      <c r="Y56" s="55"/>
      <c r="Z56" s="55"/>
      <c r="AA56" s="55"/>
      <c r="AB56" s="55"/>
      <c r="AC56" s="55"/>
      <c r="AD56" s="55"/>
      <c r="AE56" s="55"/>
      <c r="AF56" s="55"/>
      <c r="AG56" s="55"/>
      <c r="AH56" s="55"/>
      <c r="AI56" s="55"/>
      <c r="AJ56" s="55"/>
      <c r="AK56" s="55"/>
      <c r="AL56" s="51"/>
      <c r="AM56" s="51"/>
      <c r="AN56" s="51"/>
      <c r="AO56" s="51"/>
      <c r="AP56" s="51"/>
      <c r="AQ56" s="52"/>
      <c r="AR56" s="52"/>
      <c r="AS56" s="52"/>
      <c r="AT56" s="52"/>
      <c r="AU56" s="52"/>
      <c r="AV56" s="52"/>
      <c r="AW56" s="52"/>
      <c r="AX56" s="52"/>
      <c r="AY56" s="52"/>
      <c r="AZ56" s="52"/>
      <c r="BA56" s="52"/>
      <c r="BB56" s="52"/>
      <c r="BC56" s="52"/>
      <c r="BD56" s="52"/>
      <c r="BE56" s="52"/>
      <c r="BF56" s="52"/>
    </row>
    <row r="57" spans="1:58">
      <c r="A57" s="28" t="s">
        <v>198</v>
      </c>
      <c r="B57" s="22" t="s">
        <v>1237</v>
      </c>
      <c r="C57" s="287"/>
      <c r="D57" s="287"/>
      <c r="E57" s="287"/>
      <c r="F57" s="52"/>
      <c r="G57" s="52"/>
      <c r="H57" s="52"/>
      <c r="I57" s="52"/>
      <c r="J57" s="52"/>
      <c r="K57" s="52"/>
      <c r="L57" s="52"/>
      <c r="M57" s="52"/>
      <c r="N57" s="52"/>
      <c r="O57" s="52"/>
      <c r="P57" s="52"/>
      <c r="Q57" s="52"/>
      <c r="R57" s="52"/>
      <c r="S57" s="52"/>
      <c r="T57" s="52"/>
      <c r="U57" s="52"/>
      <c r="V57" s="71"/>
      <c r="W57" s="55"/>
      <c r="X57" s="55"/>
      <c r="Y57" s="55"/>
      <c r="Z57" s="55"/>
      <c r="AA57" s="55"/>
      <c r="AB57" s="55"/>
      <c r="AC57" s="55"/>
      <c r="AD57" s="55"/>
      <c r="AE57" s="55"/>
      <c r="AF57" s="55"/>
      <c r="AG57" s="55"/>
      <c r="AH57" s="55"/>
      <c r="AI57" s="55"/>
      <c r="AJ57" s="55"/>
      <c r="AK57" s="55"/>
      <c r="AL57" s="51"/>
      <c r="AM57" s="51"/>
      <c r="AN57" s="51"/>
      <c r="AO57" s="51"/>
      <c r="AP57" s="51"/>
      <c r="AQ57" s="52"/>
      <c r="AR57" s="52"/>
      <c r="AS57" s="52"/>
      <c r="AT57" s="52"/>
      <c r="AU57" s="52"/>
      <c r="AV57" s="52"/>
      <c r="AW57" s="52"/>
      <c r="AX57" s="52"/>
      <c r="AY57" s="52"/>
      <c r="AZ57" s="52"/>
      <c r="BA57" s="52"/>
      <c r="BB57" s="52"/>
      <c r="BC57" s="52"/>
      <c r="BD57" s="52"/>
      <c r="BE57" s="52"/>
      <c r="BF57" s="52"/>
    </row>
    <row r="58" spans="1:58">
      <c r="A58" s="287"/>
      <c r="B58" s="287"/>
      <c r="C58" s="287"/>
      <c r="D58" s="287"/>
      <c r="E58" s="287"/>
      <c r="F58" s="52"/>
      <c r="G58" s="63" t="s">
        <v>2289</v>
      </c>
      <c r="H58" s="390"/>
      <c r="I58" s="390"/>
      <c r="J58" s="52"/>
      <c r="K58" s="52"/>
      <c r="L58" s="52"/>
      <c r="M58" s="52"/>
      <c r="N58" s="52"/>
      <c r="O58" s="52"/>
      <c r="P58" s="52"/>
      <c r="Q58" s="52"/>
      <c r="R58" s="52"/>
      <c r="S58" s="52"/>
      <c r="T58" s="52"/>
      <c r="U58" s="52"/>
      <c r="V58" s="71"/>
      <c r="W58" s="55"/>
      <c r="X58" s="55"/>
      <c r="Y58" s="55"/>
      <c r="Z58" s="55"/>
      <c r="AA58" s="55"/>
      <c r="AB58" s="55"/>
      <c r="AC58" s="55"/>
      <c r="AD58" s="55"/>
      <c r="AE58" s="55"/>
      <c r="AF58" s="55"/>
      <c r="AG58" s="55"/>
      <c r="AH58" s="55"/>
      <c r="AI58" s="55"/>
      <c r="AJ58" s="55"/>
      <c r="AK58" s="55"/>
      <c r="AL58" s="51"/>
      <c r="AM58" s="51"/>
      <c r="AN58" s="51"/>
      <c r="AO58" s="51"/>
      <c r="AP58" s="51"/>
      <c r="AQ58" s="52"/>
      <c r="AR58" s="52"/>
      <c r="AS58" s="52"/>
      <c r="AT58" s="52"/>
      <c r="AU58" s="52"/>
      <c r="AV58" s="52"/>
      <c r="AW58" s="52"/>
      <c r="AX58" s="52"/>
      <c r="AY58" s="52"/>
      <c r="AZ58" s="52"/>
      <c r="BA58" s="52"/>
      <c r="BB58" s="52"/>
      <c r="BC58" s="52"/>
      <c r="BD58" s="52"/>
      <c r="BE58" s="52"/>
      <c r="BF58" s="52"/>
    </row>
    <row r="59" spans="1:58">
      <c r="A59" s="46" t="s">
        <v>1700</v>
      </c>
      <c r="B59" s="201"/>
      <c r="C59" s="201"/>
      <c r="D59" s="201"/>
      <c r="E59" s="287"/>
      <c r="F59" s="52"/>
      <c r="G59" s="52"/>
      <c r="H59" s="52"/>
      <c r="I59" s="52"/>
      <c r="J59" s="52"/>
      <c r="K59" s="52"/>
      <c r="L59" s="52"/>
      <c r="M59" s="52"/>
      <c r="N59" s="52"/>
      <c r="O59" s="52"/>
      <c r="P59" s="52"/>
      <c r="Q59" s="52"/>
      <c r="R59" s="52"/>
      <c r="S59" s="52"/>
      <c r="T59" s="52"/>
      <c r="U59" s="52"/>
      <c r="V59" s="71"/>
      <c r="W59" s="55"/>
      <c r="X59" s="55"/>
      <c r="Y59" s="55"/>
      <c r="Z59" s="55"/>
      <c r="AA59" s="55"/>
      <c r="AB59" s="55"/>
      <c r="AC59" s="55"/>
      <c r="AD59" s="55"/>
      <c r="AE59" s="55"/>
      <c r="AF59" s="55"/>
      <c r="AG59" s="55"/>
      <c r="AH59" s="55"/>
      <c r="AI59" s="55"/>
      <c r="AJ59" s="55"/>
      <c r="AK59" s="55"/>
      <c r="AL59" s="51"/>
      <c r="AM59" s="51"/>
      <c r="AN59" s="51"/>
      <c r="AO59" s="51"/>
      <c r="AP59" s="51"/>
      <c r="AQ59" s="52"/>
      <c r="AR59" s="52"/>
      <c r="AS59" s="52"/>
      <c r="AT59" s="52"/>
      <c r="AU59" s="52"/>
      <c r="AV59" s="52"/>
      <c r="AW59" s="52"/>
      <c r="AX59" s="52"/>
      <c r="AY59" s="52"/>
      <c r="AZ59" s="52"/>
      <c r="BA59" s="52"/>
      <c r="BB59" s="52"/>
      <c r="BC59" s="52"/>
      <c r="BD59" s="52"/>
      <c r="BE59" s="52"/>
      <c r="BF59" s="52"/>
    </row>
    <row r="60" spans="1:58">
      <c r="A60" s="46" t="s">
        <v>129</v>
      </c>
      <c r="B60" s="46" t="s">
        <v>117</v>
      </c>
      <c r="C60" s="46" t="s">
        <v>142</v>
      </c>
      <c r="D60" s="201"/>
      <c r="E60" s="287"/>
      <c r="F60" s="52"/>
      <c r="G60" s="27" t="s">
        <v>1266</v>
      </c>
      <c r="H60" s="27" t="s">
        <v>271</v>
      </c>
      <c r="I60" s="27" t="s">
        <v>501</v>
      </c>
      <c r="J60" s="52"/>
      <c r="K60" s="52"/>
      <c r="L60" s="52"/>
      <c r="M60" s="52"/>
      <c r="N60" s="52"/>
      <c r="O60" s="52"/>
      <c r="P60" s="52"/>
      <c r="Q60" s="52"/>
      <c r="R60" s="52"/>
      <c r="S60" s="52"/>
      <c r="T60" s="52"/>
      <c r="U60" s="52"/>
      <c r="V60" s="71"/>
      <c r="W60" s="55"/>
      <c r="X60" s="55"/>
      <c r="Y60" s="55"/>
      <c r="Z60" s="55"/>
      <c r="AA60" s="55"/>
      <c r="AB60" s="55"/>
      <c r="AC60" s="55"/>
      <c r="AD60" s="55"/>
      <c r="AE60" s="55"/>
      <c r="AF60" s="55"/>
      <c r="AG60" s="55"/>
      <c r="AH60" s="55"/>
      <c r="AI60" s="55"/>
      <c r="AJ60" s="55"/>
      <c r="AK60" s="55"/>
      <c r="AL60" s="51"/>
      <c r="AM60" s="51"/>
      <c r="AN60" s="51"/>
      <c r="AO60" s="51"/>
      <c r="AP60" s="51"/>
      <c r="AQ60" s="52"/>
      <c r="AR60" s="52"/>
      <c r="AS60" s="52"/>
      <c r="AT60" s="52"/>
      <c r="AU60" s="52"/>
      <c r="AV60" s="52"/>
      <c r="AW60" s="52"/>
      <c r="AX60" s="52"/>
      <c r="AY60" s="52"/>
      <c r="AZ60" s="52"/>
      <c r="BA60" s="52"/>
      <c r="BB60" s="52"/>
      <c r="BC60" s="52"/>
      <c r="BD60" s="52"/>
      <c r="BE60" s="52"/>
      <c r="BF60" s="52"/>
    </row>
    <row r="61" spans="1:58" ht="31.5" customHeight="1">
      <c r="A61" s="320" t="s">
        <v>1701</v>
      </c>
      <c r="B61" s="445">
        <v>0.03</v>
      </c>
      <c r="C61" s="320" t="s">
        <v>1985</v>
      </c>
      <c r="D61" s="375"/>
      <c r="E61" s="321"/>
      <c r="F61" s="52"/>
      <c r="G61" s="320" t="s">
        <v>954</v>
      </c>
      <c r="H61" s="320">
        <v>310</v>
      </c>
      <c r="I61" s="330">
        <v>-0.15</v>
      </c>
      <c r="J61" s="52"/>
      <c r="K61" s="52"/>
      <c r="L61" s="52"/>
      <c r="M61" s="52"/>
      <c r="N61" s="52"/>
      <c r="O61" s="52"/>
      <c r="P61" s="52"/>
      <c r="Q61" s="52"/>
      <c r="R61" s="52"/>
      <c r="S61" s="52"/>
      <c r="T61" s="52"/>
      <c r="U61" s="52"/>
      <c r="V61" s="52"/>
      <c r="W61" s="52"/>
      <c r="X61" s="55"/>
      <c r="Y61" s="55"/>
      <c r="Z61" s="55"/>
      <c r="AA61" s="55"/>
      <c r="AB61" s="55"/>
      <c r="AC61" s="55"/>
      <c r="AD61" s="55"/>
      <c r="AE61" s="55"/>
      <c r="AF61" s="55"/>
      <c r="AG61" s="55"/>
      <c r="AH61" s="55"/>
      <c r="AI61" s="55"/>
      <c r="AJ61" s="55"/>
      <c r="AK61" s="55"/>
      <c r="AL61" s="51"/>
      <c r="AM61" s="51"/>
      <c r="AN61" s="51"/>
      <c r="AO61" s="51"/>
      <c r="AP61" s="51"/>
      <c r="AQ61" s="52"/>
      <c r="AR61" s="52"/>
      <c r="AS61" s="52"/>
      <c r="AT61" s="52"/>
      <c r="AU61" s="52"/>
      <c r="AV61" s="52"/>
      <c r="AW61" s="52"/>
      <c r="AX61" s="52"/>
      <c r="AY61" s="52"/>
      <c r="AZ61" s="52"/>
      <c r="BA61" s="52"/>
      <c r="BB61" s="52"/>
      <c r="BC61" s="52"/>
      <c r="BD61" s="52"/>
      <c r="BE61" s="52"/>
      <c r="BF61" s="52"/>
    </row>
    <row r="62" spans="1:58">
      <c r="A62" s="320" t="s">
        <v>1702</v>
      </c>
      <c r="B62" s="320" t="s">
        <v>1703</v>
      </c>
      <c r="C62" s="320" t="s">
        <v>1986</v>
      </c>
      <c r="D62" s="375"/>
      <c r="E62" s="321"/>
      <c r="F62" s="52"/>
      <c r="G62" s="320" t="s">
        <v>952</v>
      </c>
      <c r="H62" s="320">
        <v>373</v>
      </c>
      <c r="I62" s="330">
        <v>0</v>
      </c>
      <c r="J62" s="52"/>
      <c r="K62" s="52"/>
      <c r="L62" s="52"/>
      <c r="M62" s="52"/>
      <c r="N62" s="52"/>
      <c r="O62" s="52"/>
      <c r="P62" s="52"/>
      <c r="Q62" s="52"/>
      <c r="R62" s="52"/>
      <c r="S62" s="52"/>
      <c r="T62" s="52"/>
      <c r="U62" s="52"/>
      <c r="V62" s="71"/>
      <c r="W62" s="55"/>
      <c r="X62" s="55"/>
      <c r="Y62" s="55"/>
      <c r="Z62" s="55"/>
      <c r="AA62" s="55"/>
      <c r="AB62" s="55"/>
      <c r="AC62" s="55"/>
      <c r="AD62" s="55"/>
      <c r="AE62" s="55"/>
      <c r="AF62" s="55"/>
      <c r="AG62" s="55"/>
      <c r="AH62" s="55"/>
      <c r="AI62" s="55"/>
      <c r="AJ62" s="55"/>
      <c r="AK62" s="55"/>
      <c r="AL62" s="51"/>
      <c r="AM62" s="51"/>
      <c r="AN62" s="51"/>
      <c r="AO62" s="51"/>
      <c r="AP62" s="51"/>
      <c r="AQ62" s="52"/>
      <c r="AR62" s="52"/>
      <c r="AS62" s="52"/>
      <c r="AT62" s="52"/>
      <c r="AU62" s="52"/>
      <c r="AV62" s="52"/>
      <c r="AW62" s="52"/>
      <c r="AX62" s="52"/>
      <c r="AY62" s="52"/>
      <c r="AZ62" s="52"/>
      <c r="BA62" s="52"/>
      <c r="BB62" s="52"/>
      <c r="BC62" s="52"/>
      <c r="BD62" s="52"/>
      <c r="BE62" s="52"/>
      <c r="BF62" s="52"/>
    </row>
    <row r="63" spans="1:58">
      <c r="A63" s="320" t="s">
        <v>1990</v>
      </c>
      <c r="B63" s="446">
        <v>5.8000000000000003E-2</v>
      </c>
      <c r="C63" s="320" t="s">
        <v>1991</v>
      </c>
      <c r="D63" s="375"/>
      <c r="E63" s="321"/>
      <c r="F63" s="52"/>
      <c r="G63" s="320" t="s">
        <v>950</v>
      </c>
      <c r="H63" s="320">
        <v>430</v>
      </c>
      <c r="I63" s="330">
        <v>0.15</v>
      </c>
      <c r="J63" s="52"/>
      <c r="K63" s="52"/>
      <c r="L63" s="52"/>
      <c r="M63" s="52"/>
      <c r="N63" s="52"/>
      <c r="O63" s="52"/>
      <c r="P63" s="52"/>
      <c r="Q63" s="52"/>
      <c r="R63" s="52"/>
      <c r="S63" s="52"/>
      <c r="T63" s="52"/>
      <c r="U63" s="52"/>
      <c r="V63" s="71"/>
      <c r="W63" s="55"/>
      <c r="X63" s="55"/>
      <c r="Y63" s="55"/>
      <c r="Z63" s="55"/>
      <c r="AA63" s="55"/>
      <c r="AB63" s="55"/>
      <c r="AC63" s="55"/>
      <c r="AD63" s="55"/>
      <c r="AE63" s="55"/>
      <c r="AF63" s="55"/>
      <c r="AG63" s="55"/>
      <c r="AH63" s="55"/>
      <c r="AI63" s="55"/>
      <c r="AJ63" s="55"/>
      <c r="AK63" s="55"/>
      <c r="AL63" s="51"/>
      <c r="AM63" s="51"/>
      <c r="AN63" s="51"/>
      <c r="AO63" s="51"/>
      <c r="AP63" s="51"/>
      <c r="AQ63" s="52"/>
      <c r="AR63" s="52"/>
      <c r="AS63" s="52"/>
      <c r="AT63" s="52"/>
      <c r="AU63" s="52"/>
      <c r="AV63" s="52"/>
      <c r="AW63" s="52"/>
      <c r="AX63" s="52"/>
      <c r="AY63" s="52"/>
      <c r="AZ63" s="52"/>
      <c r="BA63" s="52"/>
      <c r="BB63" s="52"/>
      <c r="BC63" s="52"/>
      <c r="BD63" s="52"/>
      <c r="BE63" s="52"/>
      <c r="BF63" s="52"/>
    </row>
    <row r="64" spans="1:58">
      <c r="A64" s="320" t="s">
        <v>433</v>
      </c>
      <c r="B64" s="446">
        <v>4.2000000000000003E-2</v>
      </c>
      <c r="C64" s="320" t="s">
        <v>1989</v>
      </c>
      <c r="D64" s="320" t="s">
        <v>1987</v>
      </c>
      <c r="E64" s="321"/>
      <c r="F64" s="52"/>
      <c r="G64" s="52"/>
      <c r="H64" s="52"/>
      <c r="I64" s="52"/>
      <c r="J64" s="52"/>
      <c r="K64" s="52"/>
      <c r="L64" s="52"/>
      <c r="M64" s="52"/>
      <c r="N64" s="52"/>
      <c r="O64" s="52"/>
      <c r="P64" s="52"/>
      <c r="Q64" s="52"/>
      <c r="R64" s="52"/>
      <c r="S64" s="52"/>
      <c r="T64" s="52"/>
      <c r="U64" s="52"/>
      <c r="V64" s="71"/>
      <c r="W64" s="55"/>
      <c r="X64" s="55"/>
      <c r="Y64" s="55"/>
      <c r="Z64" s="55"/>
      <c r="AA64" s="55"/>
      <c r="AB64" s="55"/>
      <c r="AC64" s="55"/>
      <c r="AD64" s="55"/>
      <c r="AE64" s="55"/>
      <c r="AF64" s="55"/>
      <c r="AG64" s="55"/>
      <c r="AH64" s="55"/>
      <c r="AI64" s="55"/>
      <c r="AJ64" s="55"/>
      <c r="AK64" s="55"/>
      <c r="AL64" s="51"/>
      <c r="AM64" s="51"/>
      <c r="AN64" s="51"/>
      <c r="AO64" s="51"/>
      <c r="AP64" s="51"/>
      <c r="AQ64" s="52"/>
      <c r="AR64" s="52"/>
      <c r="AS64" s="52"/>
      <c r="AT64" s="52"/>
      <c r="AU64" s="52"/>
      <c r="AV64" s="52"/>
      <c r="AW64" s="52"/>
      <c r="AX64" s="52"/>
      <c r="AY64" s="52"/>
      <c r="AZ64" s="52"/>
      <c r="BA64" s="52"/>
      <c r="BB64" s="52"/>
      <c r="BC64" s="52"/>
      <c r="BD64" s="52"/>
      <c r="BE64" s="52"/>
      <c r="BF64" s="52"/>
    </row>
    <row r="65" spans="1:58" ht="28">
      <c r="A65" s="320" t="s">
        <v>1704</v>
      </c>
      <c r="B65" s="320" t="s">
        <v>1705</v>
      </c>
      <c r="C65" s="326" t="s">
        <v>1988</v>
      </c>
      <c r="D65" s="375"/>
      <c r="E65" s="321"/>
      <c r="F65" s="52"/>
      <c r="G65" s="63" t="s">
        <v>2537</v>
      </c>
      <c r="H65" s="63"/>
      <c r="I65" s="63"/>
      <c r="J65" s="52"/>
      <c r="K65" s="52"/>
      <c r="L65" s="52"/>
      <c r="M65" s="52"/>
      <c r="N65" s="52"/>
      <c r="O65" s="52"/>
      <c r="P65" s="52"/>
      <c r="Q65" s="52"/>
      <c r="R65" s="52"/>
      <c r="S65" s="52"/>
      <c r="T65" s="52"/>
      <c r="U65" s="52"/>
      <c r="V65" s="71"/>
      <c r="W65" s="55"/>
      <c r="X65" s="55"/>
      <c r="Y65" s="55"/>
      <c r="Z65" s="55"/>
      <c r="AA65" s="55"/>
      <c r="AB65" s="55"/>
      <c r="AC65" s="55"/>
      <c r="AD65" s="55"/>
      <c r="AE65" s="55"/>
      <c r="AF65" s="55"/>
      <c r="AG65" s="55"/>
      <c r="AH65" s="55"/>
      <c r="AI65" s="55"/>
      <c r="AJ65" s="55"/>
      <c r="AK65" s="55"/>
      <c r="AL65" s="51"/>
      <c r="AM65" s="51"/>
      <c r="AN65" s="51"/>
      <c r="AO65" s="51"/>
      <c r="AP65" s="51"/>
      <c r="AQ65" s="52"/>
      <c r="AR65" s="52"/>
      <c r="AS65" s="52"/>
      <c r="AT65" s="52"/>
      <c r="AU65" s="52"/>
      <c r="AV65" s="52"/>
      <c r="AW65" s="52"/>
      <c r="AX65" s="52"/>
      <c r="AY65" s="52"/>
      <c r="AZ65" s="52"/>
      <c r="BA65" s="52"/>
      <c r="BB65" s="52"/>
      <c r="BC65" s="52"/>
      <c r="BD65" s="52"/>
      <c r="BE65" s="52"/>
      <c r="BF65" s="52"/>
    </row>
    <row r="66" spans="1:58">
      <c r="A66" s="201"/>
      <c r="B66" s="201"/>
      <c r="C66" s="201"/>
      <c r="D66" s="287"/>
      <c r="E66" s="287"/>
      <c r="F66" s="52"/>
      <c r="G66" s="52"/>
      <c r="H66" s="52"/>
      <c r="I66" s="52"/>
      <c r="J66" s="52"/>
      <c r="K66" s="52"/>
      <c r="L66" s="52"/>
      <c r="M66" s="52"/>
      <c r="N66" s="52"/>
      <c r="O66" s="52"/>
      <c r="P66" s="52"/>
      <c r="Q66" s="52"/>
      <c r="R66" s="52"/>
      <c r="S66" s="52"/>
      <c r="T66" s="52"/>
      <c r="U66" s="52"/>
      <c r="V66" s="71"/>
      <c r="W66" s="55"/>
      <c r="X66" s="55"/>
      <c r="Y66" s="55"/>
      <c r="Z66" s="55"/>
      <c r="AA66" s="55"/>
      <c r="AB66" s="55"/>
      <c r="AC66" s="55"/>
      <c r="AD66" s="55"/>
      <c r="AE66" s="55"/>
      <c r="AF66" s="55"/>
      <c r="AG66" s="55"/>
      <c r="AH66" s="55"/>
      <c r="AI66" s="55"/>
      <c r="AJ66" s="55"/>
      <c r="AK66" s="55"/>
      <c r="AL66" s="51"/>
      <c r="AM66" s="51"/>
      <c r="AN66" s="51"/>
      <c r="AO66" s="51"/>
      <c r="AP66" s="51"/>
      <c r="AQ66" s="52"/>
      <c r="AR66" s="52"/>
      <c r="AS66" s="52"/>
      <c r="AT66" s="52"/>
      <c r="AU66" s="52"/>
      <c r="AV66" s="52"/>
      <c r="AW66" s="52"/>
      <c r="AX66" s="52"/>
      <c r="AY66" s="52"/>
      <c r="AZ66" s="52"/>
      <c r="BA66" s="52"/>
      <c r="BB66" s="52"/>
      <c r="BC66" s="52"/>
      <c r="BD66" s="52"/>
      <c r="BE66" s="52"/>
      <c r="BF66" s="52"/>
    </row>
    <row r="67" spans="1:58">
      <c r="A67" s="76" t="s">
        <v>1449</v>
      </c>
      <c r="B67" s="287"/>
      <c r="C67" s="287"/>
      <c r="D67" s="287"/>
      <c r="E67" s="287"/>
      <c r="F67" s="52"/>
      <c r="G67" s="52"/>
      <c r="H67" s="52"/>
      <c r="I67" s="52"/>
      <c r="J67" s="52"/>
      <c r="K67" s="52"/>
      <c r="L67" s="52"/>
      <c r="M67" s="52"/>
      <c r="N67" s="52"/>
      <c r="O67" s="52"/>
      <c r="P67" s="52"/>
      <c r="Q67" s="52"/>
      <c r="R67" s="52"/>
      <c r="S67" s="52"/>
      <c r="T67" s="52"/>
      <c r="U67" s="52"/>
      <c r="V67" s="71"/>
      <c r="W67" s="55"/>
      <c r="X67" s="55"/>
      <c r="Y67" s="55"/>
      <c r="Z67" s="55"/>
      <c r="AA67" s="55"/>
      <c r="AB67" s="55"/>
      <c r="AC67" s="55"/>
      <c r="AD67" s="55"/>
      <c r="AE67" s="55"/>
      <c r="AF67" s="55"/>
      <c r="AG67" s="55"/>
      <c r="AH67" s="55"/>
      <c r="AI67" s="55"/>
      <c r="AJ67" s="55"/>
      <c r="AK67" s="55"/>
      <c r="AL67" s="51"/>
      <c r="AM67" s="51"/>
      <c r="AN67" s="51"/>
      <c r="AO67" s="51"/>
      <c r="AP67" s="51"/>
      <c r="AQ67" s="52"/>
      <c r="AR67" s="52"/>
      <c r="AS67" s="52"/>
      <c r="AT67" s="52"/>
      <c r="AU67" s="52"/>
      <c r="AV67" s="52"/>
      <c r="AW67" s="52"/>
      <c r="AX67" s="52"/>
      <c r="AY67" s="52"/>
      <c r="AZ67" s="52"/>
      <c r="BA67" s="52"/>
      <c r="BB67" s="52"/>
      <c r="BC67" s="52"/>
      <c r="BD67" s="52"/>
      <c r="BE67" s="52"/>
      <c r="BF67" s="52"/>
    </row>
    <row r="68" spans="1:58">
      <c r="A68" s="321" t="s">
        <v>1450</v>
      </c>
      <c r="B68" s="287"/>
      <c r="C68" s="287"/>
      <c r="D68" s="287"/>
      <c r="E68" s="447"/>
      <c r="F68" s="52"/>
      <c r="G68" s="52"/>
      <c r="H68" s="52"/>
      <c r="I68" s="52"/>
      <c r="J68" s="52"/>
      <c r="K68" s="52"/>
      <c r="L68" s="52"/>
      <c r="M68" s="52"/>
      <c r="N68" s="52"/>
      <c r="O68" s="52"/>
      <c r="P68" s="52"/>
      <c r="Q68" s="52"/>
      <c r="R68" s="52"/>
      <c r="S68" s="52"/>
      <c r="T68" s="52"/>
      <c r="U68" s="52"/>
      <c r="V68" s="53"/>
      <c r="W68" s="53"/>
      <c r="X68" s="53"/>
      <c r="Y68" s="53"/>
      <c r="Z68" s="53"/>
      <c r="AA68" s="53"/>
      <c r="AB68" s="55"/>
      <c r="AC68" s="55"/>
      <c r="AD68" s="55"/>
      <c r="AE68" s="55"/>
      <c r="AF68" s="55"/>
      <c r="AG68" s="55"/>
      <c r="AH68" s="55"/>
      <c r="AI68" s="55"/>
      <c r="AJ68" s="55"/>
      <c r="AK68" s="55"/>
      <c r="AL68" s="51"/>
      <c r="AM68" s="51"/>
      <c r="AN68" s="51"/>
      <c r="AO68" s="51"/>
      <c r="AP68" s="51"/>
      <c r="AQ68" s="52"/>
      <c r="AR68" s="52"/>
      <c r="AS68" s="52"/>
      <c r="AT68" s="52"/>
      <c r="AU68" s="52"/>
      <c r="AV68" s="52"/>
      <c r="AW68" s="52"/>
      <c r="AX68" s="52"/>
      <c r="AY68" s="52"/>
      <c r="AZ68" s="52"/>
      <c r="BA68" s="52"/>
      <c r="BB68" s="52"/>
      <c r="BC68" s="52"/>
      <c r="BD68" s="52"/>
      <c r="BE68" s="52"/>
      <c r="BF68" s="52"/>
    </row>
    <row r="69" spans="1:58">
      <c r="A69" s="321" t="s">
        <v>1451</v>
      </c>
      <c r="B69" s="287"/>
      <c r="C69" s="287"/>
      <c r="D69" s="287"/>
      <c r="E69" s="447"/>
      <c r="F69" s="52"/>
      <c r="G69" s="52"/>
      <c r="H69" s="52"/>
      <c r="I69" s="52"/>
      <c r="J69" s="52"/>
      <c r="K69" s="52"/>
      <c r="L69" s="52"/>
      <c r="M69" s="52"/>
      <c r="N69" s="52"/>
      <c r="O69" s="52"/>
      <c r="P69" s="52"/>
      <c r="Q69" s="52"/>
      <c r="R69" s="52"/>
      <c r="S69" s="52"/>
      <c r="T69" s="52"/>
      <c r="U69" s="52"/>
      <c r="V69" s="53"/>
      <c r="W69" s="53"/>
      <c r="X69" s="53"/>
      <c r="Y69" s="53"/>
      <c r="Z69" s="53"/>
      <c r="AA69" s="53"/>
      <c r="AB69" s="55"/>
      <c r="AC69" s="55"/>
      <c r="AD69" s="55"/>
      <c r="AE69" s="55"/>
      <c r="AF69" s="55"/>
      <c r="AG69" s="55"/>
      <c r="AH69" s="55"/>
      <c r="AI69" s="55"/>
      <c r="AJ69" s="55"/>
      <c r="AK69" s="55"/>
      <c r="AL69" s="51"/>
      <c r="AM69" s="51"/>
      <c r="AN69" s="51"/>
      <c r="AO69" s="51"/>
      <c r="AP69" s="51"/>
      <c r="AQ69" s="52"/>
      <c r="AR69" s="52"/>
      <c r="AS69" s="52"/>
      <c r="AT69" s="52"/>
      <c r="AU69" s="52"/>
      <c r="AV69" s="52"/>
      <c r="AW69" s="52"/>
      <c r="AX69" s="52"/>
      <c r="AY69" s="52"/>
      <c r="AZ69" s="52"/>
      <c r="BA69" s="52"/>
      <c r="BB69" s="52"/>
      <c r="BC69" s="52"/>
      <c r="BD69" s="52"/>
      <c r="BE69" s="52"/>
      <c r="BF69" s="52"/>
    </row>
    <row r="70" spans="1:58">
      <c r="A70" s="321" t="s">
        <v>1452</v>
      </c>
      <c r="B70" s="287"/>
      <c r="C70" s="287"/>
      <c r="D70" s="287"/>
      <c r="E70" s="447"/>
      <c r="F70" s="52"/>
      <c r="G70" s="52"/>
      <c r="H70" s="52"/>
      <c r="I70" s="52"/>
      <c r="J70" s="52"/>
      <c r="K70" s="52"/>
      <c r="L70" s="52"/>
      <c r="M70" s="52"/>
      <c r="N70" s="52"/>
      <c r="O70" s="52"/>
      <c r="P70" s="52"/>
      <c r="Q70" s="52"/>
      <c r="R70" s="52"/>
      <c r="S70" s="52"/>
      <c r="T70" s="52"/>
      <c r="U70" s="52"/>
      <c r="V70" s="55"/>
      <c r="W70" s="55"/>
      <c r="X70" s="55"/>
      <c r="Y70" s="55"/>
      <c r="Z70" s="55"/>
      <c r="AA70" s="55"/>
      <c r="AB70" s="55"/>
      <c r="AC70" s="55"/>
      <c r="AD70" s="55"/>
      <c r="AE70" s="55"/>
      <c r="AF70" s="55"/>
      <c r="AG70" s="55"/>
      <c r="AH70" s="55"/>
      <c r="AI70" s="55"/>
      <c r="AJ70" s="55"/>
      <c r="AK70" s="55"/>
      <c r="AL70" s="51"/>
      <c r="AM70" s="51"/>
      <c r="AN70" s="51"/>
      <c r="AO70" s="51"/>
      <c r="AP70" s="51"/>
      <c r="AQ70" s="52"/>
      <c r="AR70" s="52"/>
      <c r="AS70" s="52"/>
      <c r="AT70" s="52"/>
      <c r="AU70" s="52"/>
      <c r="AV70" s="52"/>
      <c r="AW70" s="52"/>
      <c r="AX70" s="52"/>
      <c r="AY70" s="52"/>
      <c r="AZ70" s="52"/>
      <c r="BA70" s="52"/>
      <c r="BB70" s="52"/>
      <c r="BC70" s="52"/>
      <c r="BD70" s="52"/>
      <c r="BE70" s="52"/>
      <c r="BF70" s="52"/>
    </row>
    <row r="71" spans="1:58">
      <c r="A71" s="287"/>
      <c r="B71" s="287"/>
      <c r="C71" s="3"/>
      <c r="D71" s="287"/>
      <c r="E71" s="447"/>
      <c r="F71" s="52"/>
      <c r="G71" s="52"/>
      <c r="H71" s="52"/>
      <c r="I71" s="52"/>
      <c r="J71" s="52"/>
      <c r="K71" s="52"/>
      <c r="L71" s="52"/>
      <c r="M71" s="52"/>
      <c r="N71" s="52"/>
      <c r="O71" s="52"/>
      <c r="P71" s="52"/>
      <c r="Q71" s="52"/>
      <c r="R71" s="52"/>
      <c r="S71" s="52"/>
      <c r="T71" s="52"/>
      <c r="U71" s="52"/>
      <c r="V71" s="53"/>
      <c r="W71" s="53"/>
      <c r="X71" s="53"/>
      <c r="Y71" s="53"/>
      <c r="Z71" s="53"/>
      <c r="AA71" s="53"/>
      <c r="AB71" s="53"/>
      <c r="AC71" s="53"/>
      <c r="AD71" s="53"/>
      <c r="AE71" s="53"/>
      <c r="AF71" s="53"/>
      <c r="AG71" s="53"/>
      <c r="AH71" s="53"/>
      <c r="AI71" s="53"/>
      <c r="AJ71" s="53"/>
      <c r="AK71" s="55"/>
      <c r="AL71" s="51"/>
      <c r="AM71" s="51"/>
      <c r="AN71" s="51"/>
      <c r="AO71" s="51"/>
      <c r="AP71" s="51"/>
      <c r="AQ71" s="52"/>
      <c r="AR71" s="52"/>
      <c r="AS71" s="52"/>
      <c r="AT71" s="52"/>
      <c r="AU71" s="52"/>
      <c r="AV71" s="52"/>
      <c r="AW71" s="52"/>
      <c r="AX71" s="52"/>
      <c r="AY71" s="52"/>
      <c r="AZ71" s="52"/>
      <c r="BA71" s="52"/>
      <c r="BB71" s="52"/>
      <c r="BC71" s="52"/>
      <c r="BD71" s="52"/>
      <c r="BE71" s="52"/>
      <c r="BF71" s="52"/>
    </row>
    <row r="72" spans="1:58">
      <c r="A72" s="64" t="s">
        <v>1322</v>
      </c>
      <c r="B72" s="64"/>
      <c r="C72" s="255"/>
      <c r="D72" s="255"/>
      <c r="E72" s="447"/>
      <c r="F72" s="52"/>
      <c r="G72" s="52"/>
      <c r="H72" s="52"/>
      <c r="I72" s="52"/>
      <c r="J72" s="52"/>
      <c r="K72" s="52"/>
      <c r="L72" s="52"/>
      <c r="M72" s="52"/>
      <c r="N72" s="52"/>
      <c r="O72" s="52"/>
      <c r="P72" s="52"/>
      <c r="Q72" s="52"/>
      <c r="R72" s="52"/>
      <c r="S72" s="52"/>
      <c r="T72" s="52"/>
      <c r="U72" s="52"/>
      <c r="V72" s="53"/>
      <c r="W72" s="53"/>
      <c r="X72" s="53"/>
      <c r="Y72" s="53"/>
      <c r="Z72" s="53"/>
      <c r="AA72" s="53"/>
      <c r="AB72" s="53"/>
      <c r="AC72" s="53"/>
      <c r="AD72" s="53"/>
      <c r="AE72" s="53"/>
      <c r="AF72" s="53"/>
      <c r="AG72" s="53"/>
      <c r="AH72" s="53"/>
      <c r="AI72" s="53"/>
      <c r="AJ72" s="53"/>
      <c r="AK72" s="55"/>
      <c r="AL72" s="51"/>
      <c r="AM72" s="51"/>
      <c r="AN72" s="51"/>
      <c r="AO72" s="51"/>
      <c r="AP72" s="51"/>
      <c r="AQ72" s="52"/>
      <c r="AR72" s="52"/>
      <c r="AS72" s="52"/>
      <c r="AT72" s="52"/>
      <c r="AU72" s="52"/>
      <c r="AV72" s="52"/>
      <c r="AW72" s="52"/>
      <c r="AX72" s="52"/>
      <c r="AY72" s="52"/>
      <c r="AZ72" s="52"/>
      <c r="BA72" s="52"/>
      <c r="BB72" s="52"/>
      <c r="BC72" s="52"/>
      <c r="BD72" s="52"/>
      <c r="BE72" s="52"/>
      <c r="BF72" s="52"/>
    </row>
    <row r="73" spans="1:58">
      <c r="A73" s="71"/>
      <c r="B73" s="71"/>
      <c r="C73" s="71"/>
      <c r="D73" s="287"/>
      <c r="E73" s="447"/>
      <c r="F73" s="52"/>
      <c r="G73" s="52"/>
      <c r="H73" s="52"/>
      <c r="I73" s="52"/>
      <c r="J73" s="52"/>
      <c r="K73" s="52"/>
      <c r="L73" s="52"/>
      <c r="M73" s="52"/>
      <c r="N73" s="52"/>
      <c r="O73" s="52"/>
      <c r="P73" s="52"/>
      <c r="Q73" s="52"/>
      <c r="R73" s="52"/>
      <c r="S73" s="52"/>
      <c r="T73" s="52"/>
      <c r="U73" s="52"/>
      <c r="V73" s="53"/>
      <c r="W73" s="53"/>
      <c r="X73" s="53"/>
      <c r="Y73" s="53"/>
      <c r="Z73" s="53"/>
      <c r="AA73" s="53"/>
      <c r="AB73" s="53"/>
      <c r="AC73" s="53"/>
      <c r="AD73" s="53"/>
      <c r="AE73" s="53"/>
      <c r="AF73" s="53"/>
      <c r="AG73" s="53"/>
      <c r="AH73" s="53"/>
      <c r="AI73" s="53"/>
      <c r="AJ73" s="53"/>
      <c r="AK73" s="55"/>
      <c r="AL73" s="51"/>
      <c r="AM73" s="51"/>
      <c r="AN73" s="51"/>
      <c r="AO73" s="51"/>
      <c r="AP73" s="51"/>
      <c r="AQ73" s="52"/>
      <c r="AR73" s="52"/>
      <c r="AS73" s="52"/>
      <c r="AT73" s="52"/>
      <c r="AU73" s="52"/>
      <c r="AV73" s="52"/>
      <c r="AW73" s="52"/>
      <c r="AX73" s="52"/>
      <c r="AY73" s="52"/>
      <c r="AZ73" s="52"/>
      <c r="BA73" s="52"/>
      <c r="BB73" s="52"/>
      <c r="BC73" s="52"/>
      <c r="BD73" s="52"/>
      <c r="BE73" s="52"/>
      <c r="BF73" s="52"/>
    </row>
    <row r="74" spans="1:58">
      <c r="A74" s="365" t="s">
        <v>1594</v>
      </c>
      <c r="B74" s="365"/>
      <c r="C74" s="287"/>
      <c r="D74" s="531" t="s">
        <v>2536</v>
      </c>
      <c r="E74" s="447"/>
      <c r="F74" s="52"/>
      <c r="G74" s="52"/>
      <c r="H74" s="52"/>
      <c r="I74" s="52"/>
      <c r="J74" s="52"/>
      <c r="K74" s="52"/>
      <c r="L74" s="52"/>
      <c r="M74" s="52"/>
      <c r="N74" s="52"/>
      <c r="O74" s="52"/>
      <c r="P74" s="52"/>
      <c r="Q74" s="52"/>
      <c r="R74" s="52"/>
      <c r="S74" s="52"/>
      <c r="T74" s="52"/>
      <c r="U74" s="52"/>
      <c r="V74" s="53"/>
      <c r="W74" s="53"/>
      <c r="X74" s="53"/>
      <c r="Y74" s="53"/>
      <c r="Z74" s="53"/>
      <c r="AA74" s="53"/>
      <c r="AB74" s="53"/>
      <c r="AC74" s="53"/>
      <c r="AD74" s="53"/>
      <c r="AE74" s="53"/>
      <c r="AF74" s="53"/>
      <c r="AG74" s="53"/>
      <c r="AH74" s="53"/>
      <c r="AI74" s="53"/>
      <c r="AJ74" s="53"/>
      <c r="AK74" s="55"/>
      <c r="AL74" s="51"/>
      <c r="AM74" s="51"/>
      <c r="AN74" s="51"/>
      <c r="AO74" s="51"/>
      <c r="AP74" s="51"/>
      <c r="AQ74" s="52"/>
      <c r="AR74" s="52"/>
      <c r="AS74" s="52"/>
      <c r="AT74" s="52"/>
      <c r="AU74" s="52"/>
      <c r="AV74" s="52"/>
      <c r="AW74" s="52"/>
      <c r="AX74" s="52"/>
      <c r="AY74" s="52"/>
      <c r="AZ74" s="52"/>
      <c r="BA74" s="52"/>
      <c r="BB74" s="52"/>
      <c r="BC74" s="52"/>
      <c r="BD74" s="52"/>
      <c r="BE74" s="52"/>
      <c r="BF74" s="52"/>
    </row>
    <row r="75" spans="1:58">
      <c r="A75" s="365" t="s">
        <v>129</v>
      </c>
      <c r="B75" s="365" t="s">
        <v>1366</v>
      </c>
      <c r="C75" s="287"/>
      <c r="D75" s="533">
        <f>'Profit Loss'!B4</f>
        <v>15301</v>
      </c>
      <c r="E75" s="447"/>
      <c r="F75" s="52"/>
      <c r="G75" s="52"/>
      <c r="H75" s="52"/>
      <c r="I75" s="52"/>
      <c r="J75" s="52"/>
      <c r="K75" s="52"/>
      <c r="L75" s="52"/>
      <c r="M75" s="52"/>
      <c r="N75" s="52"/>
      <c r="O75" s="52"/>
      <c r="P75" s="52"/>
      <c r="Q75" s="52"/>
      <c r="R75" s="52"/>
      <c r="S75" s="52"/>
      <c r="T75" s="52"/>
      <c r="U75" s="52"/>
      <c r="V75" s="53"/>
      <c r="W75" s="53"/>
      <c r="X75" s="53"/>
      <c r="Y75" s="53"/>
      <c r="Z75" s="53"/>
      <c r="AA75" s="53"/>
      <c r="AB75" s="53"/>
      <c r="AC75" s="53"/>
      <c r="AD75" s="53"/>
      <c r="AE75" s="53"/>
      <c r="AF75" s="53"/>
      <c r="AG75" s="53"/>
      <c r="AH75" s="53"/>
      <c r="AI75" s="53"/>
      <c r="AJ75" s="53"/>
      <c r="AK75" s="55"/>
      <c r="AL75" s="51"/>
      <c r="AM75" s="51"/>
      <c r="AN75" s="51"/>
      <c r="AO75" s="51"/>
      <c r="AP75" s="51"/>
      <c r="AQ75" s="52"/>
      <c r="AR75" s="52"/>
      <c r="AS75" s="52"/>
      <c r="AT75" s="52"/>
      <c r="AU75" s="52"/>
      <c r="AV75" s="52"/>
      <c r="AW75" s="52"/>
      <c r="AX75" s="52"/>
      <c r="AY75" s="52"/>
      <c r="AZ75" s="52"/>
      <c r="BA75" s="52"/>
      <c r="BB75" s="52"/>
      <c r="BC75" s="52"/>
      <c r="BD75" s="52"/>
      <c r="BE75" s="52"/>
      <c r="BF75" s="52"/>
    </row>
    <row r="76" spans="1:58">
      <c r="A76" s="321" t="s">
        <v>143</v>
      </c>
      <c r="B76" s="365" t="s">
        <v>1595</v>
      </c>
      <c r="C76" s="287"/>
      <c r="D76" s="533">
        <f>'Profit Loss'!C4</f>
        <v>18884</v>
      </c>
      <c r="E76" s="447"/>
      <c r="F76" s="52"/>
      <c r="G76" s="52"/>
      <c r="H76" s="52"/>
      <c r="I76" s="52"/>
      <c r="J76" s="52"/>
      <c r="K76" s="52"/>
      <c r="L76" s="52"/>
      <c r="M76" s="52"/>
      <c r="N76" s="52"/>
      <c r="O76" s="52"/>
      <c r="P76" s="52"/>
      <c r="Q76" s="52"/>
      <c r="R76" s="52"/>
      <c r="S76" s="52"/>
      <c r="T76" s="52"/>
      <c r="U76" s="52"/>
      <c r="V76" s="53"/>
      <c r="W76" s="53"/>
      <c r="X76" s="53"/>
      <c r="Y76" s="53"/>
      <c r="Z76" s="53"/>
      <c r="AA76" s="53"/>
      <c r="AB76" s="53"/>
      <c r="AC76" s="53"/>
      <c r="AD76" s="53"/>
      <c r="AE76" s="53"/>
      <c r="AF76" s="53"/>
      <c r="AG76" s="53"/>
      <c r="AH76" s="53"/>
      <c r="AI76" s="53"/>
      <c r="AJ76" s="53"/>
      <c r="AK76" s="55"/>
      <c r="AL76" s="51"/>
      <c r="AM76" s="51"/>
      <c r="AN76" s="51"/>
      <c r="AO76" s="51"/>
      <c r="AP76" s="51"/>
      <c r="AQ76" s="52"/>
      <c r="AR76" s="52"/>
      <c r="AS76" s="52"/>
      <c r="AT76" s="52"/>
      <c r="AU76" s="52"/>
      <c r="AV76" s="52"/>
      <c r="AW76" s="52"/>
      <c r="AX76" s="52"/>
      <c r="AY76" s="52"/>
      <c r="AZ76" s="52"/>
      <c r="BA76" s="52"/>
      <c r="BB76" s="52"/>
      <c r="BC76" s="52"/>
      <c r="BD76" s="52"/>
      <c r="BE76" s="52"/>
      <c r="BF76" s="52"/>
    </row>
    <row r="77" spans="1:58">
      <c r="A77" s="321" t="s">
        <v>198</v>
      </c>
      <c r="B77" s="365" t="s">
        <v>1595</v>
      </c>
      <c r="C77" s="287"/>
      <c r="D77" s="533">
        <f>'Profit Loss'!D4</f>
        <v>22237</v>
      </c>
      <c r="E77" s="447"/>
      <c r="F77" s="52"/>
      <c r="G77" s="52"/>
      <c r="H77" s="52"/>
      <c r="I77" s="52"/>
      <c r="J77" s="52"/>
      <c r="K77" s="52"/>
      <c r="L77" s="52"/>
      <c r="M77" s="52"/>
      <c r="N77" s="52"/>
      <c r="O77" s="52"/>
      <c r="P77" s="52"/>
      <c r="Q77" s="52"/>
      <c r="R77" s="52"/>
      <c r="S77" s="52"/>
      <c r="T77" s="52"/>
      <c r="U77" s="52"/>
      <c r="V77" s="53"/>
      <c r="W77" s="53"/>
      <c r="X77" s="53"/>
      <c r="Y77" s="53"/>
      <c r="Z77" s="53"/>
      <c r="AA77" s="53"/>
      <c r="AB77" s="53"/>
      <c r="AC77" s="53"/>
      <c r="AD77" s="53"/>
      <c r="AE77" s="53"/>
      <c r="AF77" s="53"/>
      <c r="AG77" s="53"/>
      <c r="AH77" s="53"/>
      <c r="AI77" s="53"/>
      <c r="AJ77" s="53"/>
      <c r="AK77" s="55"/>
      <c r="AL77" s="51"/>
      <c r="AM77" s="51"/>
      <c r="AN77" s="51"/>
      <c r="AO77" s="51"/>
      <c r="AP77" s="51"/>
      <c r="AQ77" s="52"/>
      <c r="AR77" s="52"/>
      <c r="AS77" s="52"/>
      <c r="AT77" s="52"/>
      <c r="AU77" s="52"/>
      <c r="AV77" s="52"/>
      <c r="AW77" s="52"/>
      <c r="AX77" s="52"/>
      <c r="AY77" s="52"/>
      <c r="AZ77" s="52"/>
      <c r="BA77" s="52"/>
      <c r="BB77" s="52"/>
      <c r="BC77" s="52"/>
      <c r="BD77" s="52"/>
      <c r="BE77" s="52"/>
      <c r="BF77" s="52"/>
    </row>
    <row r="78" spans="1:58">
      <c r="A78" s="321" t="s">
        <v>448</v>
      </c>
      <c r="B78" s="365" t="s">
        <v>1596</v>
      </c>
      <c r="C78" s="287"/>
      <c r="D78" s="533">
        <f>'Profit Loss'!E4</f>
        <v>25098</v>
      </c>
      <c r="E78" s="447"/>
      <c r="F78" s="52"/>
      <c r="G78" s="52"/>
      <c r="H78" s="52"/>
      <c r="I78" s="52"/>
      <c r="J78" s="52"/>
      <c r="K78" s="52"/>
      <c r="L78" s="52"/>
      <c r="M78" s="52"/>
      <c r="N78" s="52"/>
      <c r="O78" s="52"/>
      <c r="P78" s="52"/>
      <c r="Q78" s="52"/>
      <c r="R78" s="52"/>
      <c r="S78" s="52"/>
      <c r="T78" s="52"/>
      <c r="U78" s="52"/>
      <c r="V78" s="53"/>
      <c r="W78" s="53"/>
      <c r="X78" s="53"/>
      <c r="Y78" s="53"/>
      <c r="Z78" s="53"/>
      <c r="AA78" s="53"/>
      <c r="AB78" s="53"/>
      <c r="AC78" s="53"/>
      <c r="AD78" s="53"/>
      <c r="AE78" s="53"/>
      <c r="AF78" s="53"/>
      <c r="AG78" s="53"/>
      <c r="AH78" s="53"/>
      <c r="AI78" s="53"/>
      <c r="AJ78" s="53"/>
      <c r="AK78" s="55"/>
      <c r="AL78" s="51"/>
      <c r="AM78" s="51"/>
      <c r="AN78" s="51"/>
      <c r="AO78" s="51"/>
      <c r="AP78" s="51"/>
      <c r="AQ78" s="52"/>
      <c r="AR78" s="52"/>
      <c r="AS78" s="52"/>
      <c r="AT78" s="52"/>
      <c r="AU78" s="52"/>
      <c r="AV78" s="52"/>
      <c r="AW78" s="52"/>
      <c r="AX78" s="52"/>
      <c r="AY78" s="52"/>
      <c r="AZ78" s="52"/>
      <c r="BA78" s="52"/>
      <c r="BB78" s="52"/>
      <c r="BC78" s="52"/>
      <c r="BD78" s="52"/>
      <c r="BE78" s="52"/>
      <c r="BF78" s="52"/>
    </row>
    <row r="79" spans="1:58">
      <c r="A79" s="71"/>
      <c r="B79" s="71"/>
      <c r="C79" s="71"/>
      <c r="D79" s="533">
        <f>'Profit Loss'!F4</f>
        <v>28167</v>
      </c>
      <c r="E79" s="447"/>
      <c r="F79" s="52"/>
      <c r="G79" s="52"/>
      <c r="H79" s="52"/>
      <c r="I79" s="52"/>
      <c r="J79" s="52"/>
      <c r="K79" s="52"/>
      <c r="L79" s="52"/>
      <c r="M79" s="52"/>
      <c r="N79" s="52"/>
      <c r="O79" s="52"/>
      <c r="P79" s="52"/>
      <c r="Q79" s="52"/>
      <c r="R79" s="52"/>
      <c r="S79" s="52"/>
      <c r="T79" s="52"/>
      <c r="U79" s="52"/>
      <c r="V79" s="53"/>
      <c r="W79" s="53"/>
      <c r="X79" s="53"/>
      <c r="Y79" s="53"/>
      <c r="Z79" s="53"/>
      <c r="AA79" s="53"/>
      <c r="AB79" s="53"/>
      <c r="AC79" s="53"/>
      <c r="AD79" s="53"/>
      <c r="AE79" s="53"/>
      <c r="AF79" s="53"/>
      <c r="AG79" s="53"/>
      <c r="AH79" s="53"/>
      <c r="AI79" s="53"/>
      <c r="AJ79" s="53"/>
      <c r="AK79" s="55"/>
      <c r="AL79" s="51"/>
      <c r="AM79" s="51"/>
      <c r="AN79" s="51"/>
      <c r="AO79" s="51"/>
      <c r="AP79" s="51"/>
      <c r="AQ79" s="52"/>
      <c r="AR79" s="52"/>
      <c r="AS79" s="52"/>
      <c r="AT79" s="52"/>
      <c r="AU79" s="52"/>
      <c r="AV79" s="52"/>
      <c r="AW79" s="52"/>
      <c r="AX79" s="52"/>
      <c r="AY79" s="52"/>
      <c r="AZ79" s="52"/>
      <c r="BA79" s="52"/>
      <c r="BB79" s="52"/>
      <c r="BC79" s="52"/>
      <c r="BD79" s="52"/>
      <c r="BE79" s="52"/>
      <c r="BF79" s="52"/>
    </row>
    <row r="80" spans="1:58">
      <c r="A80" s="365" t="s">
        <v>1597</v>
      </c>
      <c r="B80" s="365"/>
      <c r="C80" s="365"/>
      <c r="D80" s="533">
        <f>'Profit Loss'!G4</f>
        <v>31547.040000000005</v>
      </c>
      <c r="E80" s="447"/>
      <c r="F80" s="52"/>
      <c r="G80" s="52"/>
      <c r="H80" s="52"/>
      <c r="I80" s="52"/>
      <c r="J80" s="52"/>
      <c r="K80" s="52"/>
      <c r="L80" s="52"/>
      <c r="M80" s="52"/>
      <c r="N80" s="52"/>
      <c r="O80" s="52"/>
      <c r="P80" s="52"/>
      <c r="Q80" s="52"/>
      <c r="R80" s="52"/>
      <c r="S80" s="52"/>
      <c r="T80" s="52"/>
      <c r="U80" s="52"/>
      <c r="V80" s="53"/>
      <c r="W80" s="53"/>
      <c r="X80" s="53"/>
      <c r="Y80" s="53"/>
      <c r="Z80" s="53"/>
      <c r="AA80" s="53"/>
      <c r="AB80" s="53"/>
      <c r="AC80" s="53"/>
      <c r="AD80" s="53"/>
      <c r="AE80" s="53"/>
      <c r="AF80" s="53"/>
      <c r="AG80" s="53"/>
      <c r="AH80" s="53"/>
      <c r="AI80" s="53"/>
      <c r="AJ80" s="53"/>
      <c r="AK80" s="55"/>
      <c r="AL80" s="51"/>
      <c r="AM80" s="51"/>
      <c r="AN80" s="51"/>
      <c r="AO80" s="51"/>
      <c r="AP80" s="51"/>
      <c r="AQ80" s="52"/>
      <c r="AR80" s="52"/>
      <c r="AS80" s="52"/>
      <c r="AT80" s="52"/>
      <c r="AU80" s="52"/>
      <c r="AV80" s="52"/>
      <c r="AW80" s="52"/>
      <c r="AX80" s="52"/>
      <c r="AY80" s="52"/>
      <c r="AZ80" s="52"/>
      <c r="BA80" s="52"/>
      <c r="BB80" s="52"/>
      <c r="BC80" s="52"/>
      <c r="BD80" s="52"/>
      <c r="BE80" s="52"/>
      <c r="BF80" s="52"/>
    </row>
    <row r="81" spans="1:58">
      <c r="A81" s="365" t="s">
        <v>1234</v>
      </c>
      <c r="B81" s="250" t="s">
        <v>117</v>
      </c>
      <c r="C81" s="250" t="s">
        <v>989</v>
      </c>
      <c r="D81" s="533">
        <f>'Profit Loss'!H4</f>
        <v>35648.155200000001</v>
      </c>
      <c r="E81" s="447"/>
      <c r="F81" s="52"/>
      <c r="G81" s="52"/>
      <c r="H81" s="52"/>
      <c r="I81" s="52"/>
      <c r="J81" s="52"/>
      <c r="K81" s="52"/>
      <c r="L81" s="52"/>
      <c r="M81" s="52"/>
      <c r="N81" s="52"/>
      <c r="O81" s="52"/>
      <c r="P81" s="52"/>
      <c r="Q81" s="52"/>
      <c r="R81" s="52"/>
      <c r="S81" s="52"/>
      <c r="T81" s="52"/>
      <c r="U81" s="52"/>
      <c r="V81" s="53"/>
      <c r="W81" s="53"/>
      <c r="X81" s="53"/>
      <c r="Y81" s="53"/>
      <c r="Z81" s="53"/>
      <c r="AA81" s="53"/>
      <c r="AB81" s="53"/>
      <c r="AC81" s="53"/>
      <c r="AD81" s="53"/>
      <c r="AE81" s="53"/>
      <c r="AF81" s="53"/>
      <c r="AG81" s="53"/>
      <c r="AH81" s="53"/>
      <c r="AI81" s="53"/>
      <c r="AJ81" s="53"/>
      <c r="AK81" s="55"/>
      <c r="AL81" s="51"/>
      <c r="AM81" s="51"/>
      <c r="AN81" s="51"/>
      <c r="AO81" s="51"/>
      <c r="AP81" s="51"/>
      <c r="AQ81" s="52"/>
      <c r="AR81" s="52"/>
      <c r="AS81" s="52"/>
      <c r="AT81" s="52"/>
      <c r="AU81" s="52"/>
      <c r="AV81" s="52"/>
      <c r="AW81" s="52"/>
      <c r="AX81" s="52"/>
      <c r="AY81" s="52"/>
      <c r="AZ81" s="52"/>
      <c r="BA81" s="52"/>
      <c r="BB81" s="52"/>
      <c r="BC81" s="52"/>
      <c r="BD81" s="52"/>
      <c r="BE81" s="52"/>
      <c r="BF81" s="52"/>
    </row>
    <row r="82" spans="1:58">
      <c r="A82" s="321" t="s">
        <v>1598</v>
      </c>
      <c r="B82" s="366">
        <v>4.2000000000000003E-2</v>
      </c>
      <c r="C82" s="250" t="s">
        <v>1577</v>
      </c>
      <c r="D82" s="533">
        <f>'Profit Loss'!I4</f>
        <v>39925.933824000007</v>
      </c>
      <c r="E82" s="447"/>
      <c r="F82" s="52"/>
      <c r="G82" s="52"/>
      <c r="H82" s="52"/>
      <c r="I82" s="52"/>
      <c r="J82" s="52"/>
      <c r="K82" s="52"/>
      <c r="L82" s="52"/>
      <c r="M82" s="52"/>
      <c r="N82" s="52"/>
      <c r="O82" s="52"/>
      <c r="P82" s="52"/>
      <c r="Q82" s="52"/>
      <c r="R82" s="52"/>
      <c r="S82" s="52"/>
      <c r="T82" s="52"/>
      <c r="U82" s="52"/>
      <c r="V82" s="53"/>
      <c r="W82" s="53"/>
      <c r="X82" s="53"/>
      <c r="Y82" s="53"/>
      <c r="Z82" s="53"/>
      <c r="AA82" s="53"/>
      <c r="AB82" s="53"/>
      <c r="AC82" s="53"/>
      <c r="AD82" s="53"/>
      <c r="AE82" s="53"/>
      <c r="AF82" s="53"/>
      <c r="AG82" s="53"/>
      <c r="AH82" s="53"/>
      <c r="AI82" s="53"/>
      <c r="AJ82" s="53"/>
      <c r="AK82" s="55"/>
      <c r="AL82" s="51"/>
      <c r="AM82" s="51"/>
      <c r="AN82" s="51"/>
      <c r="AO82" s="51"/>
      <c r="AP82" s="51"/>
      <c r="AQ82" s="52"/>
      <c r="AR82" s="52"/>
      <c r="AS82" s="52"/>
      <c r="AT82" s="52"/>
      <c r="AU82" s="52"/>
      <c r="AV82" s="52"/>
      <c r="AW82" s="52"/>
      <c r="AX82" s="52"/>
      <c r="AY82" s="52"/>
      <c r="AZ82" s="52"/>
      <c r="BA82" s="52"/>
      <c r="BB82" s="52"/>
      <c r="BC82" s="52"/>
      <c r="BD82" s="52"/>
      <c r="BE82" s="52"/>
      <c r="BF82" s="52"/>
    </row>
    <row r="83" spans="1:58">
      <c r="A83" s="28" t="s">
        <v>191</v>
      </c>
      <c r="B83" s="250">
        <f>B44</f>
        <v>1.0354653976641053</v>
      </c>
      <c r="C83" s="250" t="s">
        <v>1854</v>
      </c>
      <c r="D83" s="533">
        <f>'Profit Loss'!J4</f>
        <v>44317.78654464001</v>
      </c>
      <c r="E83" s="447"/>
      <c r="F83" s="52"/>
      <c r="G83" s="52"/>
      <c r="H83" s="52"/>
      <c r="I83" s="52"/>
      <c r="J83" s="52"/>
      <c r="K83" s="52"/>
      <c r="L83" s="52"/>
      <c r="M83" s="52"/>
      <c r="N83" s="52"/>
      <c r="O83" s="52"/>
      <c r="P83" s="52"/>
      <c r="Q83" s="52"/>
      <c r="R83" s="52"/>
      <c r="S83" s="52"/>
      <c r="T83" s="52"/>
      <c r="U83" s="52"/>
      <c r="V83" s="53"/>
      <c r="W83" s="53"/>
      <c r="X83" s="53"/>
      <c r="Y83" s="53"/>
      <c r="Z83" s="53"/>
      <c r="AA83" s="53"/>
      <c r="AB83" s="53"/>
      <c r="AC83" s="53"/>
      <c r="AD83" s="53"/>
      <c r="AE83" s="53"/>
      <c r="AF83" s="53"/>
      <c r="AG83" s="53"/>
      <c r="AH83" s="53"/>
      <c r="AI83" s="53"/>
      <c r="AJ83" s="53"/>
      <c r="AK83" s="55"/>
      <c r="AL83" s="51"/>
      <c r="AM83" s="51"/>
      <c r="AN83" s="51"/>
      <c r="AO83" s="51"/>
      <c r="AP83" s="51"/>
      <c r="AQ83" s="52"/>
      <c r="AR83" s="52"/>
      <c r="AS83" s="52"/>
      <c r="AT83" s="52"/>
      <c r="AU83" s="52"/>
      <c r="AV83" s="52"/>
      <c r="AW83" s="52"/>
      <c r="AX83" s="52"/>
      <c r="AY83" s="52"/>
      <c r="AZ83" s="52"/>
      <c r="BA83" s="52"/>
      <c r="BB83" s="52"/>
      <c r="BC83" s="52"/>
      <c r="BD83" s="52"/>
      <c r="BE83" s="52"/>
      <c r="BF83" s="52"/>
    </row>
    <row r="84" spans="1:58">
      <c r="A84" s="28" t="s">
        <v>1599</v>
      </c>
      <c r="B84" s="366">
        <v>5.8000000000000003E-2</v>
      </c>
      <c r="C84" s="250" t="s">
        <v>1600</v>
      </c>
      <c r="D84" s="533">
        <f>'Profit Loss'!K4</f>
        <v>48749.565199104014</v>
      </c>
      <c r="E84" s="201"/>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row>
    <row r="85" spans="1:58">
      <c r="A85" s="28" t="s">
        <v>848</v>
      </c>
      <c r="B85" s="366">
        <f>B46</f>
        <v>0.10205699306451811</v>
      </c>
      <c r="C85" s="250" t="s">
        <v>1235</v>
      </c>
      <c r="D85" s="447"/>
      <c r="E85" s="201"/>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row>
    <row r="86" spans="1:58">
      <c r="A86" s="55"/>
      <c r="B86" s="55"/>
      <c r="C86" s="55"/>
      <c r="D86" s="447"/>
      <c r="E86" s="201"/>
      <c r="F86" s="52"/>
      <c r="G86" s="52"/>
      <c r="H86" s="52"/>
      <c r="I86" s="52"/>
      <c r="J86" s="52"/>
      <c r="K86" s="52"/>
      <c r="L86" s="52"/>
      <c r="M86" s="52"/>
      <c r="N86" s="52"/>
      <c r="O86" s="52"/>
      <c r="P86" s="52"/>
      <c r="Q86" s="52"/>
      <c r="R86" s="52"/>
      <c r="S86" s="52"/>
      <c r="T86" s="52"/>
      <c r="U86" s="52"/>
      <c r="V86" s="50"/>
      <c r="W86" s="50"/>
      <c r="X86" s="50"/>
      <c r="Y86" s="50"/>
      <c r="Z86" s="50"/>
      <c r="AA86" s="50"/>
      <c r="AB86" s="50"/>
      <c r="AC86" s="50"/>
      <c r="AD86" s="50"/>
      <c r="AE86" s="50"/>
      <c r="AF86" s="50"/>
      <c r="AG86" s="50"/>
      <c r="AH86" s="50"/>
      <c r="AI86" s="50"/>
      <c r="AJ86" s="52"/>
      <c r="AK86" s="52"/>
      <c r="AL86" s="52"/>
      <c r="AM86" s="52"/>
      <c r="AN86" s="52"/>
      <c r="AO86" s="52"/>
      <c r="AP86" s="52"/>
      <c r="AQ86" s="52"/>
      <c r="AR86" s="52"/>
      <c r="AS86" s="52"/>
      <c r="AT86" s="52"/>
      <c r="AU86" s="52"/>
      <c r="AV86" s="52"/>
      <c r="AW86" s="52"/>
      <c r="AX86" s="52"/>
      <c r="AY86" s="52"/>
      <c r="AZ86" s="52"/>
      <c r="BA86" s="52"/>
      <c r="BB86" s="52"/>
      <c r="BC86" s="52"/>
      <c r="BD86" s="52"/>
      <c r="BE86" s="52"/>
      <c r="BF86" s="52"/>
    </row>
    <row r="87" spans="1:58">
      <c r="A87" s="250" t="s">
        <v>1601</v>
      </c>
      <c r="B87" s="250"/>
      <c r="C87" s="250"/>
      <c r="D87" s="447"/>
      <c r="E87" s="201"/>
      <c r="F87" s="52"/>
      <c r="G87" s="63" t="s">
        <v>2538</v>
      </c>
      <c r="H87" s="390"/>
      <c r="I87" s="390"/>
      <c r="J87" s="390"/>
      <c r="K87" s="390"/>
      <c r="L87" s="390"/>
      <c r="M87" s="390"/>
      <c r="N87" s="390"/>
      <c r="O87" s="52"/>
      <c r="P87" s="52"/>
      <c r="Q87" s="52"/>
      <c r="R87" s="52"/>
      <c r="S87" s="52"/>
      <c r="T87" s="52"/>
      <c r="U87" s="52"/>
      <c r="V87" s="50"/>
      <c r="W87" s="50"/>
      <c r="X87" s="50"/>
      <c r="Y87" s="50"/>
      <c r="Z87" s="50"/>
      <c r="AA87" s="50"/>
      <c r="AB87" s="50"/>
      <c r="AC87" s="50"/>
      <c r="AD87" s="50"/>
      <c r="AE87" s="50"/>
      <c r="AF87" s="50"/>
      <c r="AG87" s="50"/>
      <c r="AH87" s="50"/>
      <c r="AI87" s="50"/>
      <c r="AJ87" s="52"/>
      <c r="AK87" s="52"/>
      <c r="AL87" s="52"/>
      <c r="AM87" s="52"/>
      <c r="AN87" s="52"/>
      <c r="AO87" s="52"/>
      <c r="AP87" s="52"/>
      <c r="AQ87" s="52"/>
      <c r="AR87" s="52"/>
      <c r="AS87" s="52"/>
      <c r="AT87" s="52"/>
      <c r="AU87" s="52"/>
      <c r="AV87" s="52"/>
      <c r="AW87" s="52"/>
      <c r="AX87" s="52"/>
      <c r="AY87" s="52"/>
      <c r="AZ87" s="52"/>
      <c r="BA87" s="52"/>
      <c r="BB87" s="52"/>
      <c r="BC87" s="52"/>
      <c r="BD87" s="52"/>
      <c r="BE87" s="52"/>
      <c r="BF87" s="52"/>
    </row>
    <row r="88" spans="1:58">
      <c r="A88" s="250" t="s">
        <v>491</v>
      </c>
      <c r="B88" s="250" t="s">
        <v>117</v>
      </c>
      <c r="C88" s="250" t="s">
        <v>1602</v>
      </c>
      <c r="D88" s="447"/>
      <c r="E88" s="201"/>
      <c r="F88" s="52"/>
      <c r="G88" s="52"/>
      <c r="H88" s="52"/>
      <c r="I88" s="52"/>
      <c r="J88" s="52"/>
      <c r="K88" s="52"/>
      <c r="L88" s="52"/>
      <c r="M88" s="52"/>
      <c r="N88" s="52"/>
      <c r="O88" s="52"/>
      <c r="P88" s="52"/>
      <c r="Q88" s="52"/>
      <c r="R88" s="52"/>
      <c r="S88" s="52"/>
      <c r="T88" s="52"/>
      <c r="U88" s="52"/>
      <c r="V88" s="50"/>
      <c r="W88" s="50"/>
      <c r="X88" s="50"/>
      <c r="Y88" s="50"/>
      <c r="Z88" s="50"/>
      <c r="AA88" s="50"/>
      <c r="AB88" s="50"/>
      <c r="AC88" s="50"/>
      <c r="AD88" s="50"/>
      <c r="AE88" s="50"/>
      <c r="AF88" s="50"/>
      <c r="AG88" s="50"/>
      <c r="AH88" s="50"/>
      <c r="AI88" s="50"/>
      <c r="AJ88" s="52"/>
      <c r="AK88" s="52"/>
      <c r="AL88" s="52"/>
      <c r="AM88" s="52"/>
      <c r="AN88" s="52"/>
      <c r="AO88" s="52"/>
      <c r="AP88" s="52"/>
      <c r="AQ88" s="52"/>
      <c r="AR88" s="52"/>
      <c r="AS88" s="52"/>
      <c r="AT88" s="52"/>
      <c r="AU88" s="52"/>
      <c r="AV88" s="52"/>
      <c r="AW88" s="52"/>
      <c r="AX88" s="52"/>
      <c r="AY88" s="52"/>
      <c r="AZ88" s="52"/>
      <c r="BA88" s="52"/>
      <c r="BB88" s="52"/>
      <c r="BC88" s="52"/>
      <c r="BD88" s="52"/>
      <c r="BE88" s="52"/>
      <c r="BF88" s="52"/>
    </row>
    <row r="89" spans="1:58">
      <c r="A89" s="28" t="s">
        <v>495</v>
      </c>
      <c r="B89" s="250" t="s">
        <v>1603</v>
      </c>
      <c r="C89" s="250" t="s">
        <v>1604</v>
      </c>
      <c r="D89" s="447"/>
      <c r="E89" s="201"/>
      <c r="F89" s="52"/>
      <c r="G89" s="52"/>
      <c r="H89" s="52"/>
      <c r="I89" s="52"/>
      <c r="J89" s="52"/>
      <c r="K89" s="52"/>
      <c r="L89" s="52"/>
      <c r="M89" s="52"/>
      <c r="N89" s="52"/>
      <c r="O89" s="52"/>
      <c r="P89" s="52"/>
      <c r="Q89" s="52"/>
      <c r="R89" s="52"/>
      <c r="S89" s="52"/>
      <c r="T89" s="52"/>
      <c r="U89" s="52"/>
      <c r="V89" s="50"/>
      <c r="W89" s="50"/>
      <c r="X89" s="50"/>
      <c r="Y89" s="50"/>
      <c r="Z89" s="50"/>
      <c r="AA89" s="50"/>
      <c r="AB89" s="50"/>
      <c r="AC89" s="50"/>
      <c r="AD89" s="50"/>
      <c r="AE89" s="50"/>
      <c r="AF89" s="50"/>
      <c r="AG89" s="50"/>
      <c r="AH89" s="50"/>
      <c r="AI89" s="50"/>
      <c r="AJ89" s="52"/>
      <c r="AK89" s="52"/>
      <c r="AL89" s="52"/>
      <c r="AM89" s="52"/>
      <c r="AN89" s="52"/>
      <c r="AO89" s="52"/>
      <c r="AP89" s="52"/>
      <c r="AQ89" s="52"/>
      <c r="AR89" s="52"/>
      <c r="AS89" s="52"/>
      <c r="AT89" s="52"/>
      <c r="AU89" s="52"/>
      <c r="AV89" s="52"/>
      <c r="AW89" s="52"/>
      <c r="AX89" s="52"/>
      <c r="AY89" s="52"/>
      <c r="AZ89" s="52"/>
      <c r="BA89" s="52"/>
      <c r="BB89" s="52"/>
      <c r="BC89" s="52"/>
      <c r="BD89" s="52"/>
      <c r="BE89" s="52"/>
      <c r="BF89" s="52"/>
    </row>
    <row r="90" spans="1:58">
      <c r="A90" s="28" t="s">
        <v>1605</v>
      </c>
      <c r="B90" s="250" t="s">
        <v>1606</v>
      </c>
      <c r="C90" s="250" t="s">
        <v>1607</v>
      </c>
      <c r="D90" s="447"/>
      <c r="E90" s="201"/>
      <c r="F90" s="52"/>
      <c r="G90" s="52"/>
      <c r="H90" s="52"/>
      <c r="I90" s="52"/>
      <c r="J90" s="52"/>
      <c r="K90" s="52"/>
      <c r="L90" s="52"/>
      <c r="M90" s="52"/>
      <c r="N90" s="52"/>
      <c r="O90" s="52"/>
      <c r="P90" s="52"/>
      <c r="Q90" s="52"/>
      <c r="R90" s="52"/>
      <c r="S90" s="52"/>
      <c r="T90" s="52"/>
      <c r="U90" s="52"/>
      <c r="V90" s="50"/>
      <c r="W90" s="50"/>
      <c r="X90" s="50"/>
      <c r="Y90" s="50"/>
      <c r="Z90" s="50"/>
      <c r="AA90" s="50"/>
      <c r="AB90" s="50"/>
      <c r="AC90" s="50"/>
      <c r="AD90" s="50"/>
      <c r="AE90" s="50"/>
      <c r="AF90" s="50"/>
      <c r="AG90" s="50"/>
      <c r="AH90" s="50"/>
      <c r="AI90" s="50"/>
      <c r="AJ90" s="52"/>
      <c r="AK90" s="52"/>
      <c r="AL90" s="52"/>
      <c r="AM90" s="52"/>
      <c r="AN90" s="52"/>
      <c r="AO90" s="52"/>
      <c r="AP90" s="52"/>
      <c r="AQ90" s="52"/>
      <c r="AR90" s="52"/>
      <c r="AS90" s="52"/>
      <c r="AT90" s="52"/>
      <c r="AU90" s="52"/>
      <c r="AV90" s="52"/>
      <c r="AW90" s="52"/>
      <c r="AX90" s="52"/>
      <c r="AY90" s="52"/>
      <c r="AZ90" s="52"/>
      <c r="BA90" s="52"/>
      <c r="BB90" s="52"/>
      <c r="BC90" s="52"/>
      <c r="BD90" s="52"/>
      <c r="BE90" s="52"/>
      <c r="BF90" s="52"/>
    </row>
    <row r="91" spans="1:58">
      <c r="A91" s="28" t="s">
        <v>1608</v>
      </c>
      <c r="B91" s="250" t="s">
        <v>1609</v>
      </c>
      <c r="C91" s="250" t="s">
        <v>1610</v>
      </c>
      <c r="D91" s="201"/>
      <c r="E91" s="201"/>
      <c r="F91" s="52"/>
      <c r="G91" s="52"/>
      <c r="H91" s="52"/>
      <c r="I91" s="52"/>
      <c r="J91" s="52"/>
      <c r="K91" s="52"/>
      <c r="L91" s="52"/>
      <c r="M91" s="52"/>
      <c r="N91" s="52"/>
      <c r="O91" s="52"/>
      <c r="P91" s="52"/>
      <c r="Q91" s="52"/>
      <c r="R91" s="52"/>
      <c r="S91" s="52"/>
      <c r="T91" s="52"/>
      <c r="U91" s="52"/>
      <c r="V91" s="50"/>
      <c r="W91" s="50"/>
      <c r="X91" s="50"/>
      <c r="Y91" s="50"/>
      <c r="Z91" s="50"/>
      <c r="AA91" s="50"/>
      <c r="AB91" s="50"/>
      <c r="AC91" s="50"/>
      <c r="AD91" s="50"/>
      <c r="AE91" s="50"/>
      <c r="AF91" s="50"/>
      <c r="AG91" s="50"/>
      <c r="AH91" s="50"/>
      <c r="AI91" s="50"/>
      <c r="AJ91" s="52"/>
      <c r="AK91" s="52"/>
      <c r="AL91" s="52"/>
      <c r="AM91" s="52"/>
      <c r="AN91" s="52"/>
      <c r="AO91" s="52"/>
      <c r="AP91" s="52"/>
      <c r="AQ91" s="52"/>
      <c r="AR91" s="52"/>
      <c r="AS91" s="52"/>
      <c r="AT91" s="52"/>
      <c r="AU91" s="52"/>
      <c r="AV91" s="52"/>
      <c r="AW91" s="52"/>
      <c r="AX91" s="52"/>
      <c r="AY91" s="52"/>
      <c r="AZ91" s="52"/>
      <c r="BA91" s="52"/>
      <c r="BB91" s="52"/>
      <c r="BC91" s="52"/>
      <c r="BD91" s="52"/>
      <c r="BE91" s="52"/>
      <c r="BF91" s="52"/>
    </row>
    <row r="92" spans="1:58">
      <c r="A92" s="55"/>
      <c r="B92" s="55"/>
      <c r="C92" s="55"/>
      <c r="D92" s="201"/>
      <c r="E92" s="201"/>
      <c r="F92" s="52"/>
      <c r="G92" s="52"/>
      <c r="H92" s="52"/>
      <c r="I92" s="52"/>
      <c r="J92" s="52"/>
      <c r="K92" s="52"/>
      <c r="L92" s="52"/>
      <c r="M92" s="52"/>
      <c r="N92" s="52"/>
      <c r="O92" s="52"/>
      <c r="P92" s="52"/>
      <c r="Q92" s="52"/>
      <c r="R92" s="52"/>
      <c r="S92" s="52"/>
      <c r="T92" s="52"/>
      <c r="U92" s="52"/>
      <c r="V92" s="50"/>
      <c r="W92" s="50"/>
      <c r="X92" s="50"/>
      <c r="Y92" s="50"/>
      <c r="Z92" s="50"/>
      <c r="AA92" s="50"/>
      <c r="AB92" s="50"/>
      <c r="AC92" s="50"/>
      <c r="AD92" s="50"/>
      <c r="AE92" s="50"/>
      <c r="AF92" s="50"/>
      <c r="AG92" s="50"/>
      <c r="AH92" s="50"/>
      <c r="AI92" s="50"/>
      <c r="AJ92" s="52"/>
      <c r="AK92" s="52"/>
      <c r="AL92" s="52"/>
      <c r="AM92" s="52"/>
      <c r="AN92" s="52"/>
      <c r="AO92" s="52"/>
      <c r="AP92" s="52"/>
      <c r="AQ92" s="52"/>
      <c r="AR92" s="52"/>
      <c r="AS92" s="52"/>
      <c r="AT92" s="52"/>
      <c r="AU92" s="52"/>
      <c r="AV92" s="52"/>
      <c r="AW92" s="52"/>
      <c r="AX92" s="52"/>
      <c r="AY92" s="52"/>
      <c r="AZ92" s="52"/>
      <c r="BA92" s="52"/>
      <c r="BB92" s="52"/>
      <c r="BC92" s="52"/>
      <c r="BD92" s="52"/>
      <c r="BE92" s="52"/>
      <c r="BF92" s="52"/>
    </row>
    <row r="93" spans="1:58">
      <c r="A93" s="55"/>
      <c r="B93" s="55"/>
      <c r="C93" s="55"/>
      <c r="D93" s="201"/>
      <c r="E93" s="201"/>
      <c r="F93" s="52"/>
      <c r="G93" s="52"/>
      <c r="H93" s="52"/>
      <c r="I93" s="52"/>
      <c r="J93" s="52"/>
      <c r="K93" s="52"/>
      <c r="L93" s="52"/>
      <c r="M93" s="52"/>
      <c r="N93" s="52"/>
      <c r="O93" s="52"/>
      <c r="P93" s="52"/>
      <c r="Q93" s="52"/>
      <c r="R93" s="52"/>
      <c r="S93" s="52"/>
      <c r="T93" s="52"/>
      <c r="U93" s="52"/>
      <c r="V93" s="50"/>
      <c r="W93" s="50"/>
      <c r="X93" s="50"/>
      <c r="Y93" s="50"/>
      <c r="Z93" s="50"/>
      <c r="AA93" s="50"/>
      <c r="AB93" s="50"/>
      <c r="AC93" s="50"/>
      <c r="AD93" s="50"/>
      <c r="AE93" s="50"/>
      <c r="AF93" s="50"/>
      <c r="AG93" s="50"/>
      <c r="AH93" s="50"/>
      <c r="AI93" s="50"/>
      <c r="AJ93" s="52"/>
      <c r="AK93" s="52"/>
      <c r="AL93" s="52"/>
      <c r="AM93" s="52"/>
      <c r="AN93" s="52"/>
      <c r="AO93" s="52"/>
      <c r="AP93" s="52"/>
      <c r="AQ93" s="52"/>
      <c r="AR93" s="52"/>
      <c r="AS93" s="52"/>
      <c r="AT93" s="52"/>
      <c r="AU93" s="52"/>
      <c r="AV93" s="52"/>
      <c r="AW93" s="52"/>
      <c r="AX93" s="52"/>
      <c r="AY93" s="52"/>
      <c r="AZ93" s="52"/>
      <c r="BA93" s="52"/>
      <c r="BB93" s="52"/>
      <c r="BC93" s="52"/>
      <c r="BD93" s="52"/>
      <c r="BE93" s="52"/>
      <c r="BF93" s="52"/>
    </row>
    <row r="94" spans="1:58">
      <c r="A94" s="368" t="s">
        <v>1611</v>
      </c>
      <c r="B94" s="55"/>
      <c r="C94" s="55"/>
      <c r="D94" s="201"/>
      <c r="E94" s="201"/>
      <c r="F94" s="52"/>
      <c r="G94" s="52"/>
      <c r="H94" s="52"/>
      <c r="I94" s="52"/>
      <c r="J94" s="52"/>
      <c r="K94" s="52"/>
      <c r="L94" s="52"/>
      <c r="M94" s="52"/>
      <c r="N94" s="52"/>
      <c r="O94" s="52"/>
      <c r="P94" s="52"/>
      <c r="Q94" s="52"/>
      <c r="R94" s="52"/>
      <c r="S94" s="52"/>
      <c r="T94" s="52"/>
      <c r="U94" s="52"/>
      <c r="V94" s="50"/>
      <c r="W94" s="50"/>
      <c r="X94" s="50"/>
      <c r="Y94" s="50"/>
      <c r="Z94" s="50"/>
      <c r="AA94" s="50"/>
      <c r="AB94" s="50"/>
      <c r="AC94" s="50"/>
      <c r="AD94" s="50"/>
      <c r="AE94" s="50"/>
      <c r="AF94" s="50"/>
      <c r="AG94" s="50"/>
      <c r="AH94" s="50"/>
      <c r="AI94" s="50"/>
      <c r="AJ94" s="52"/>
      <c r="AK94" s="52"/>
      <c r="AL94" s="52"/>
      <c r="AM94" s="52"/>
      <c r="AN94" s="52"/>
      <c r="AO94" s="52"/>
      <c r="AP94" s="52"/>
      <c r="AQ94" s="52"/>
      <c r="AR94" s="52"/>
      <c r="AS94" s="52"/>
      <c r="AT94" s="52"/>
      <c r="AU94" s="52"/>
      <c r="AV94" s="52"/>
      <c r="AW94" s="52"/>
      <c r="AX94" s="52"/>
      <c r="AY94" s="52"/>
      <c r="AZ94" s="52"/>
      <c r="BA94" s="52"/>
      <c r="BB94" s="52"/>
      <c r="BC94" s="52"/>
      <c r="BD94" s="52"/>
      <c r="BE94" s="52"/>
      <c r="BF94" s="52"/>
    </row>
    <row r="95" spans="1:58">
      <c r="A95" s="28" t="s">
        <v>1612</v>
      </c>
      <c r="B95" s="55"/>
      <c r="C95" s="55"/>
      <c r="D95" s="201"/>
      <c r="E95" s="201"/>
      <c r="F95" s="52"/>
      <c r="G95" s="52"/>
      <c r="H95" s="52"/>
      <c r="I95" s="52"/>
      <c r="J95" s="52"/>
      <c r="K95" s="52"/>
      <c r="L95" s="52"/>
      <c r="M95" s="52"/>
      <c r="N95" s="52"/>
      <c r="O95" s="52"/>
      <c r="P95" s="52"/>
      <c r="Q95" s="52"/>
      <c r="R95" s="52"/>
      <c r="S95" s="52"/>
      <c r="T95" s="52"/>
      <c r="U95" s="52"/>
      <c r="V95" s="50"/>
      <c r="W95" s="50"/>
      <c r="X95" s="50"/>
      <c r="Y95" s="50"/>
      <c r="Z95" s="50"/>
      <c r="AA95" s="50"/>
      <c r="AB95" s="50"/>
      <c r="AC95" s="50"/>
      <c r="AD95" s="50"/>
      <c r="AE95" s="50"/>
      <c r="AF95" s="50"/>
      <c r="AG95" s="50"/>
      <c r="AH95" s="50"/>
      <c r="AI95" s="50"/>
      <c r="AJ95" s="52"/>
      <c r="AK95" s="52"/>
      <c r="AL95" s="52"/>
      <c r="AM95" s="52"/>
      <c r="AN95" s="52"/>
      <c r="AO95" s="52"/>
      <c r="AP95" s="52"/>
      <c r="AQ95" s="52"/>
      <c r="AR95" s="52"/>
      <c r="AS95" s="52"/>
      <c r="AT95" s="52"/>
      <c r="AU95" s="52"/>
      <c r="AV95" s="52"/>
      <c r="AW95" s="52"/>
      <c r="AX95" s="52"/>
      <c r="AY95" s="52"/>
      <c r="AZ95" s="52"/>
      <c r="BA95" s="52"/>
      <c r="BB95" s="52"/>
      <c r="BC95" s="52"/>
      <c r="BD95" s="52"/>
      <c r="BE95" s="52"/>
      <c r="BF95" s="52"/>
    </row>
    <row r="96" spans="1:58">
      <c r="A96" s="28" t="s">
        <v>1613</v>
      </c>
      <c r="B96" s="55"/>
      <c r="C96" s="55"/>
      <c r="D96" s="201"/>
      <c r="E96" s="201"/>
      <c r="F96" s="52"/>
      <c r="G96" s="52"/>
      <c r="H96" s="52"/>
      <c r="I96" s="52"/>
      <c r="J96" s="52"/>
      <c r="K96" s="52"/>
      <c r="L96" s="52"/>
      <c r="M96" s="52"/>
      <c r="N96" s="52"/>
      <c r="O96" s="52"/>
      <c r="P96" s="52"/>
      <c r="Q96" s="52"/>
      <c r="R96" s="52"/>
      <c r="S96" s="52"/>
      <c r="T96" s="52"/>
      <c r="U96" s="52"/>
      <c r="V96" s="50"/>
      <c r="W96" s="50"/>
      <c r="X96" s="50"/>
      <c r="Y96" s="50"/>
      <c r="Z96" s="50"/>
      <c r="AA96" s="50"/>
      <c r="AB96" s="50"/>
      <c r="AC96" s="50"/>
      <c r="AD96" s="50"/>
      <c r="AE96" s="50"/>
      <c r="AF96" s="50"/>
      <c r="AG96" s="50"/>
      <c r="AH96" s="50"/>
      <c r="AI96" s="50"/>
      <c r="AJ96" s="52"/>
      <c r="AK96" s="52"/>
      <c r="AL96" s="52"/>
      <c r="AM96" s="52"/>
      <c r="AN96" s="52"/>
      <c r="AO96" s="52"/>
      <c r="AP96" s="52"/>
      <c r="AQ96" s="52"/>
      <c r="AR96" s="52"/>
      <c r="AS96" s="52"/>
      <c r="AT96" s="52"/>
      <c r="AU96" s="52"/>
      <c r="AV96" s="52"/>
      <c r="AW96" s="52"/>
      <c r="AX96" s="52"/>
      <c r="AY96" s="52"/>
      <c r="AZ96" s="52"/>
      <c r="BA96" s="52"/>
      <c r="BB96" s="52"/>
      <c r="BC96" s="52"/>
      <c r="BD96" s="52"/>
      <c r="BE96" s="52"/>
      <c r="BF96" s="52"/>
    </row>
    <row r="97" spans="1:58">
      <c r="A97" s="28" t="s">
        <v>1614</v>
      </c>
      <c r="B97" s="55"/>
      <c r="C97" s="55"/>
      <c r="D97" s="201"/>
      <c r="E97" s="201"/>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row>
    <row r="98" spans="1:58">
      <c r="A98" s="320" t="s">
        <v>1615</v>
      </c>
      <c r="B98" s="52"/>
      <c r="C98" s="52"/>
      <c r="D98" s="201"/>
      <c r="E98" s="201"/>
      <c r="F98" s="52"/>
      <c r="G98" s="52"/>
      <c r="H98" s="52"/>
      <c r="I98" s="52"/>
      <c r="J98" s="52"/>
      <c r="K98" s="52"/>
      <c r="L98" s="52"/>
      <c r="M98" s="52"/>
      <c r="N98" s="52"/>
      <c r="O98" s="52"/>
      <c r="P98" s="52"/>
      <c r="Q98" s="52"/>
      <c r="R98" s="52"/>
      <c r="S98" s="52"/>
      <c r="T98" s="52"/>
      <c r="U98" s="52"/>
      <c r="V98" s="50"/>
      <c r="W98" s="50"/>
      <c r="X98" s="50"/>
      <c r="Y98" s="52"/>
      <c r="Z98" s="50"/>
      <c r="AA98" s="50"/>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row>
    <row r="99" spans="1:58">
      <c r="A99" s="27" t="s">
        <v>1620</v>
      </c>
      <c r="B99" s="52"/>
      <c r="C99" s="52"/>
      <c r="D99" s="201"/>
      <c r="E99" s="201"/>
      <c r="F99" s="52"/>
      <c r="G99" s="52"/>
      <c r="H99" s="52"/>
      <c r="I99" s="52"/>
      <c r="J99" s="52"/>
      <c r="K99" s="52"/>
      <c r="L99" s="52"/>
      <c r="M99" s="52"/>
      <c r="N99" s="52"/>
      <c r="O99" s="52"/>
      <c r="P99" s="52"/>
      <c r="Q99" s="52"/>
      <c r="R99" s="52"/>
      <c r="S99" s="52"/>
      <c r="T99" s="52"/>
      <c r="U99" s="52"/>
      <c r="V99" s="50"/>
      <c r="W99" s="50"/>
      <c r="X99" s="50"/>
      <c r="Y99" s="52"/>
      <c r="Z99" s="50"/>
      <c r="AA99" s="50"/>
      <c r="AB99" s="50"/>
      <c r="AC99" s="50"/>
      <c r="AD99" s="50"/>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row>
    <row r="100" spans="1:58">
      <c r="A100" s="27" t="s">
        <v>1616</v>
      </c>
      <c r="B100" s="256">
        <v>2.5000000000000001E-2</v>
      </c>
      <c r="C100" s="256">
        <v>0.03</v>
      </c>
      <c r="D100" s="256">
        <v>3.5000000000000003E-2</v>
      </c>
      <c r="E100" s="201"/>
      <c r="F100" s="52"/>
      <c r="G100" s="52"/>
      <c r="H100" s="52"/>
      <c r="I100" s="52"/>
      <c r="J100" s="52"/>
      <c r="K100" s="52"/>
      <c r="L100" s="52"/>
      <c r="M100" s="52"/>
      <c r="N100" s="52"/>
      <c r="O100" s="52"/>
      <c r="P100" s="52"/>
      <c r="Q100" s="52"/>
      <c r="R100" s="52"/>
      <c r="S100" s="52"/>
      <c r="T100" s="52"/>
      <c r="U100" s="52"/>
      <c r="V100" s="50"/>
      <c r="W100" s="50"/>
      <c r="X100" s="50"/>
      <c r="Y100" s="52"/>
      <c r="Z100" s="50"/>
      <c r="AA100" s="50"/>
      <c r="AB100" s="50"/>
      <c r="AC100" s="50"/>
      <c r="AD100" s="50"/>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row>
    <row r="101" spans="1:58">
      <c r="A101" s="336">
        <v>0.09</v>
      </c>
      <c r="B101" s="27" t="s">
        <v>1000</v>
      </c>
      <c r="C101" s="27" t="s">
        <v>1000</v>
      </c>
      <c r="D101" s="27" t="s">
        <v>1364</v>
      </c>
      <c r="E101" s="201"/>
      <c r="F101" s="52"/>
      <c r="G101" s="52"/>
      <c r="H101" s="52"/>
      <c r="I101" s="52"/>
      <c r="J101" s="52"/>
      <c r="K101" s="52"/>
      <c r="L101" s="52"/>
      <c r="M101" s="52"/>
      <c r="N101" s="52"/>
      <c r="O101" s="52"/>
      <c r="P101" s="52"/>
      <c r="Q101" s="52"/>
      <c r="R101" s="52"/>
      <c r="S101" s="52"/>
      <c r="T101" s="52"/>
      <c r="U101" s="52"/>
      <c r="V101" s="50"/>
      <c r="W101" s="50"/>
      <c r="X101" s="50"/>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row>
    <row r="102" spans="1:58">
      <c r="A102" s="336">
        <v>9.5000000000000001E-2</v>
      </c>
      <c r="B102" s="27" t="s">
        <v>1617</v>
      </c>
      <c r="C102" s="27" t="s">
        <v>952</v>
      </c>
      <c r="D102" s="27" t="s">
        <v>1000</v>
      </c>
      <c r="E102" s="201"/>
      <c r="F102" s="52"/>
      <c r="G102" s="52"/>
      <c r="H102" s="52"/>
      <c r="I102" s="52"/>
      <c r="J102" s="52"/>
      <c r="K102" s="52"/>
      <c r="L102" s="52"/>
      <c r="M102" s="52"/>
      <c r="N102" s="52"/>
      <c r="O102" s="52"/>
      <c r="P102" s="52"/>
      <c r="Q102" s="52"/>
      <c r="R102" s="52"/>
      <c r="S102" s="52"/>
      <c r="T102" s="52"/>
      <c r="U102" s="52"/>
      <c r="V102" s="50"/>
      <c r="W102" s="50"/>
      <c r="X102" s="50"/>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row>
    <row r="103" spans="1:58">
      <c r="A103" s="336">
        <v>0.105</v>
      </c>
      <c r="B103" s="27" t="s">
        <v>999</v>
      </c>
      <c r="C103" s="27" t="s">
        <v>999</v>
      </c>
      <c r="D103" s="27" t="s">
        <v>1617</v>
      </c>
      <c r="E103" s="201"/>
      <c r="F103" s="52"/>
      <c r="G103" s="52"/>
      <c r="H103" s="52"/>
      <c r="I103" s="52"/>
      <c r="J103" s="52"/>
      <c r="K103" s="52"/>
      <c r="L103" s="52"/>
      <c r="M103" s="52"/>
      <c r="N103" s="52"/>
      <c r="O103" s="52"/>
      <c r="P103" s="52"/>
      <c r="Q103" s="52"/>
      <c r="R103" s="52"/>
      <c r="S103" s="52"/>
      <c r="T103" s="52"/>
      <c r="U103" s="52"/>
      <c r="V103" s="50"/>
      <c r="W103" s="50"/>
      <c r="X103" s="50"/>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row>
    <row r="104" spans="1:58">
      <c r="A104" s="50"/>
      <c r="B104" s="50"/>
      <c r="C104" s="50"/>
      <c r="D104" s="50"/>
      <c r="E104" s="201"/>
      <c r="F104" s="52"/>
      <c r="G104" s="52"/>
      <c r="H104" s="52"/>
      <c r="I104" s="52"/>
      <c r="J104" s="52"/>
      <c r="K104" s="52"/>
      <c r="L104" s="52"/>
      <c r="M104" s="52"/>
      <c r="N104" s="52"/>
      <c r="O104" s="52"/>
      <c r="P104" s="52"/>
      <c r="Q104" s="52"/>
      <c r="R104" s="52"/>
      <c r="S104" s="52"/>
      <c r="T104" s="52"/>
      <c r="U104" s="52"/>
      <c r="V104" s="50"/>
      <c r="W104" s="50"/>
      <c r="X104" s="50"/>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row>
    <row r="105" spans="1:58">
      <c r="A105" s="50"/>
      <c r="B105" s="50"/>
      <c r="C105" s="50"/>
      <c r="D105" s="52"/>
      <c r="E105" s="201"/>
      <c r="F105" s="52"/>
      <c r="G105" s="52"/>
      <c r="H105" s="52"/>
      <c r="I105" s="52"/>
      <c r="J105" s="52"/>
      <c r="K105" s="52"/>
      <c r="L105" s="52"/>
      <c r="M105" s="52"/>
      <c r="N105" s="52"/>
      <c r="O105" s="52"/>
      <c r="P105" s="52"/>
      <c r="Q105" s="52"/>
      <c r="R105" s="52"/>
      <c r="S105" s="52"/>
      <c r="T105" s="52"/>
      <c r="U105" s="52"/>
      <c r="V105" s="50"/>
      <c r="W105" s="50"/>
      <c r="X105" s="50"/>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row>
    <row r="106" spans="1:58">
      <c r="A106" s="27" t="s">
        <v>1266</v>
      </c>
      <c r="B106" s="27" t="s">
        <v>1618</v>
      </c>
      <c r="C106" s="27" t="s">
        <v>1619</v>
      </c>
      <c r="D106" s="27" t="s">
        <v>198</v>
      </c>
      <c r="E106" s="201"/>
      <c r="F106" s="52"/>
      <c r="G106" s="52"/>
      <c r="H106" s="52"/>
      <c r="I106" s="52"/>
      <c r="J106" s="52"/>
      <c r="K106" s="52"/>
      <c r="L106" s="52"/>
      <c r="M106" s="52"/>
      <c r="N106" s="52"/>
      <c r="O106" s="52"/>
      <c r="P106" s="52"/>
      <c r="Q106" s="52"/>
      <c r="R106" s="52"/>
      <c r="S106" s="52"/>
      <c r="T106" s="52"/>
      <c r="U106" s="52"/>
      <c r="V106" s="50"/>
      <c r="W106" s="50"/>
      <c r="X106" s="50"/>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row>
    <row r="107" spans="1:58">
      <c r="A107" s="320" t="s">
        <v>952</v>
      </c>
      <c r="B107" s="260">
        <v>0</v>
      </c>
      <c r="C107" s="260">
        <v>0</v>
      </c>
      <c r="D107" s="256">
        <v>9.5200000000000007E-2</v>
      </c>
      <c r="E107" s="201"/>
      <c r="F107" s="52"/>
      <c r="G107" s="52"/>
      <c r="H107" s="52"/>
      <c r="I107" s="52"/>
      <c r="J107" s="52"/>
      <c r="K107" s="52"/>
      <c r="L107" s="52"/>
      <c r="M107" s="52"/>
      <c r="N107" s="52"/>
      <c r="O107" s="52"/>
      <c r="P107" s="52"/>
      <c r="Q107" s="52"/>
      <c r="R107" s="52"/>
      <c r="S107" s="52"/>
      <c r="T107" s="52"/>
      <c r="U107" s="52"/>
      <c r="V107" s="50"/>
      <c r="W107" s="50"/>
      <c r="X107" s="50"/>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row>
    <row r="108" spans="1:58">
      <c r="A108" s="320" t="s">
        <v>950</v>
      </c>
      <c r="B108" s="260">
        <v>0.02</v>
      </c>
      <c r="C108" s="260">
        <v>0.01</v>
      </c>
      <c r="D108" s="256">
        <v>0.09</v>
      </c>
      <c r="E108" s="201"/>
      <c r="F108" s="52"/>
      <c r="G108" s="52"/>
      <c r="H108" s="52"/>
      <c r="I108" s="52"/>
      <c r="J108" s="52"/>
      <c r="K108" s="52"/>
      <c r="L108" s="52"/>
      <c r="M108" s="52"/>
      <c r="N108" s="52"/>
      <c r="O108" s="52"/>
      <c r="P108" s="52"/>
      <c r="Q108" s="52"/>
      <c r="R108" s="52"/>
      <c r="S108" s="52"/>
      <c r="T108" s="52"/>
      <c r="U108" s="52"/>
      <c r="V108" s="50"/>
      <c r="W108" s="50"/>
      <c r="X108" s="50"/>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row>
    <row r="109" spans="1:58">
      <c r="A109" s="320" t="s">
        <v>954</v>
      </c>
      <c r="B109" s="260">
        <v>-0.02</v>
      </c>
      <c r="C109" s="260">
        <v>-0.01</v>
      </c>
      <c r="D109" s="256">
        <v>0.105</v>
      </c>
      <c r="E109" s="201"/>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row>
    <row r="110" spans="1:58">
      <c r="A110" s="201"/>
      <c r="B110" s="201"/>
      <c r="C110" s="201"/>
      <c r="D110" s="201"/>
      <c r="E110" s="201"/>
      <c r="F110" s="52"/>
      <c r="G110" s="52"/>
      <c r="H110" s="52"/>
      <c r="I110" s="52"/>
      <c r="J110" s="52"/>
      <c r="K110" s="52"/>
      <c r="L110" s="52"/>
      <c r="M110" s="52"/>
      <c r="N110" s="52"/>
      <c r="O110" s="52"/>
      <c r="P110" s="52"/>
      <c r="Q110" s="52"/>
      <c r="R110" s="52"/>
      <c r="S110" s="52"/>
      <c r="T110" s="52"/>
      <c r="U110" s="52"/>
      <c r="V110" s="50"/>
      <c r="W110" s="50"/>
      <c r="X110" s="50"/>
      <c r="Y110" s="50"/>
      <c r="Z110" s="50"/>
      <c r="AA110" s="50"/>
      <c r="AB110" s="50"/>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row>
    <row r="111" spans="1:58">
      <c r="A111" s="50"/>
      <c r="B111" s="50"/>
      <c r="C111" s="50"/>
      <c r="D111" s="50"/>
      <c r="E111" s="52"/>
      <c r="F111" s="52"/>
      <c r="G111" s="52"/>
      <c r="H111" s="52"/>
      <c r="I111" s="52"/>
      <c r="J111" s="52"/>
      <c r="K111" s="52"/>
      <c r="L111" s="52"/>
      <c r="M111" s="52"/>
      <c r="N111" s="52"/>
      <c r="O111" s="52"/>
      <c r="P111" s="52"/>
      <c r="Q111" s="52"/>
      <c r="R111" s="52"/>
      <c r="S111" s="52"/>
      <c r="T111" s="52"/>
      <c r="U111" s="52"/>
      <c r="V111" s="50"/>
      <c r="W111" s="50"/>
      <c r="X111" s="50"/>
      <c r="Y111" s="50"/>
      <c r="Z111" s="50"/>
      <c r="AA111" s="50"/>
      <c r="AB111" s="50"/>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row>
    <row r="112" spans="1:58">
      <c r="A112" s="63" t="s">
        <v>2520</v>
      </c>
      <c r="B112" s="63"/>
      <c r="C112" s="63"/>
      <c r="D112" s="50"/>
      <c r="E112" s="52"/>
      <c r="F112" s="52"/>
      <c r="G112" s="52"/>
      <c r="H112" s="52"/>
      <c r="I112" s="52"/>
      <c r="J112" s="52"/>
      <c r="K112" s="52"/>
      <c r="L112" s="52"/>
      <c r="M112" s="52"/>
      <c r="N112" s="52"/>
      <c r="O112" s="52"/>
      <c r="P112" s="52"/>
      <c r="Q112" s="52"/>
      <c r="R112" s="52"/>
      <c r="S112" s="52"/>
      <c r="T112" s="52"/>
      <c r="U112" s="52"/>
      <c r="V112" s="50"/>
      <c r="W112" s="50"/>
      <c r="X112" s="50"/>
      <c r="Y112" s="50"/>
      <c r="Z112" s="50"/>
      <c r="AA112" s="50"/>
      <c r="AB112" s="50"/>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row>
    <row r="113" spans="1:58">
      <c r="A113" s="50"/>
      <c r="B113" s="50"/>
      <c r="C113" s="50"/>
      <c r="D113" s="50"/>
      <c r="E113" s="52"/>
      <c r="F113" s="52"/>
      <c r="G113" s="52"/>
      <c r="H113" s="52"/>
      <c r="I113" s="52"/>
      <c r="J113" s="52"/>
      <c r="K113" s="52"/>
      <c r="L113" s="52"/>
      <c r="M113" s="52"/>
      <c r="N113" s="52"/>
      <c r="O113" s="52"/>
      <c r="P113" s="52"/>
      <c r="Q113" s="52"/>
      <c r="R113" s="52"/>
      <c r="S113" s="52"/>
      <c r="T113" s="52"/>
      <c r="U113" s="52"/>
      <c r="V113" s="50"/>
      <c r="W113" s="50"/>
      <c r="X113" s="50"/>
      <c r="Y113" s="50"/>
      <c r="Z113" s="50"/>
      <c r="AA113" s="50"/>
      <c r="AB113" s="50"/>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row>
    <row r="114" spans="1:58">
      <c r="A114" s="50"/>
      <c r="B114" s="50"/>
      <c r="C114" s="50"/>
      <c r="D114" s="50"/>
      <c r="E114" s="52"/>
      <c r="F114" s="52"/>
      <c r="G114" s="52"/>
      <c r="H114" s="52"/>
      <c r="I114" s="52"/>
      <c r="J114" s="52"/>
      <c r="K114" s="52"/>
      <c r="L114" s="52"/>
      <c r="M114" s="52"/>
      <c r="N114" s="52"/>
      <c r="O114" s="52"/>
      <c r="P114" s="52"/>
      <c r="Q114" s="52"/>
      <c r="R114" s="52"/>
      <c r="S114" s="52"/>
      <c r="T114" s="52"/>
      <c r="U114" s="52"/>
      <c r="V114" s="50"/>
      <c r="W114" s="50"/>
      <c r="X114" s="50"/>
      <c r="Y114" s="50"/>
      <c r="Z114" s="50"/>
      <c r="AA114" s="50"/>
      <c r="AB114" s="50"/>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row>
    <row r="115" spans="1:58">
      <c r="A115" s="50"/>
      <c r="B115" s="50"/>
      <c r="C115" s="50"/>
      <c r="D115" s="50"/>
      <c r="E115" s="52"/>
      <c r="F115" s="52"/>
      <c r="G115" s="52"/>
      <c r="H115" s="52"/>
      <c r="I115" s="52"/>
      <c r="J115" s="52"/>
      <c r="K115" s="52"/>
      <c r="L115" s="52"/>
      <c r="M115" s="52"/>
      <c r="N115" s="52"/>
      <c r="O115" s="52"/>
      <c r="P115" s="52"/>
      <c r="Q115" s="52"/>
      <c r="R115" s="52"/>
      <c r="S115" s="52"/>
      <c r="T115" s="52"/>
      <c r="U115" s="52"/>
      <c r="V115" s="50"/>
      <c r="W115" s="50"/>
      <c r="X115" s="50"/>
      <c r="Y115" s="50"/>
      <c r="Z115" s="50"/>
      <c r="AA115" s="50"/>
      <c r="AB115" s="50"/>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row>
    <row r="116" spans="1:58">
      <c r="A116" s="50"/>
      <c r="B116" s="50"/>
      <c r="C116" s="50"/>
      <c r="D116" s="50"/>
      <c r="E116" s="52"/>
      <c r="F116" s="52"/>
      <c r="G116" s="52"/>
      <c r="H116" s="52"/>
      <c r="I116" s="52"/>
      <c r="J116" s="52"/>
      <c r="K116" s="52"/>
      <c r="L116" s="52"/>
      <c r="M116" s="52"/>
      <c r="N116" s="52"/>
      <c r="O116" s="52"/>
      <c r="P116" s="52"/>
      <c r="Q116" s="52"/>
      <c r="R116" s="52"/>
      <c r="S116" s="52"/>
      <c r="T116" s="52"/>
      <c r="U116" s="52"/>
      <c r="V116" s="50"/>
      <c r="W116" s="50"/>
      <c r="X116" s="50"/>
      <c r="Y116" s="50"/>
      <c r="Z116" s="50"/>
      <c r="AA116" s="50"/>
      <c r="AB116" s="50"/>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row>
    <row r="117" spans="1:58">
      <c r="A117" s="50"/>
      <c r="B117" s="50"/>
      <c r="C117" s="50"/>
      <c r="D117" s="50"/>
      <c r="E117" s="52"/>
      <c r="F117" s="52"/>
      <c r="G117" s="52"/>
      <c r="H117" s="52"/>
      <c r="I117" s="52"/>
      <c r="J117" s="52"/>
      <c r="K117" s="52"/>
      <c r="L117" s="52"/>
      <c r="M117" s="52"/>
      <c r="N117" s="52"/>
      <c r="O117" s="52"/>
      <c r="P117" s="52"/>
      <c r="Q117" s="52"/>
      <c r="R117" s="52"/>
      <c r="S117" s="52"/>
      <c r="T117" s="52"/>
      <c r="U117" s="52"/>
      <c r="V117" s="50"/>
      <c r="W117" s="50"/>
      <c r="X117" s="50"/>
      <c r="Y117" s="50"/>
      <c r="Z117" s="50"/>
      <c r="AA117" s="50"/>
      <c r="AB117" s="50"/>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row>
    <row r="118" spans="1:58">
      <c r="A118" s="50"/>
      <c r="B118" s="50"/>
      <c r="C118" s="50"/>
      <c r="D118" s="50"/>
      <c r="E118" s="52"/>
      <c r="F118" s="52"/>
      <c r="G118" s="52"/>
      <c r="H118" s="52"/>
      <c r="I118" s="52"/>
      <c r="J118" s="52"/>
      <c r="K118" s="52"/>
      <c r="L118" s="52"/>
      <c r="M118" s="52"/>
      <c r="N118" s="52"/>
      <c r="O118" s="52"/>
      <c r="P118" s="52"/>
      <c r="Q118" s="52"/>
      <c r="R118" s="52"/>
      <c r="S118" s="52"/>
      <c r="T118" s="52"/>
      <c r="U118" s="52"/>
      <c r="V118" s="50"/>
      <c r="W118" s="50"/>
      <c r="X118" s="50"/>
      <c r="Y118" s="50"/>
      <c r="Z118" s="50"/>
      <c r="AA118" s="50"/>
      <c r="AB118" s="50"/>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row>
    <row r="119" spans="1:58">
      <c r="A119" s="50"/>
      <c r="B119" s="50"/>
      <c r="C119" s="50"/>
      <c r="D119" s="50"/>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row>
    <row r="120" spans="1:58">
      <c r="A120" s="50"/>
      <c r="B120" s="50"/>
      <c r="C120" s="50"/>
      <c r="D120" s="50"/>
      <c r="E120" s="52"/>
      <c r="F120" s="52"/>
      <c r="G120" s="52"/>
      <c r="H120" s="52"/>
      <c r="I120" s="52"/>
      <c r="J120" s="52"/>
      <c r="K120" s="52"/>
      <c r="L120" s="52"/>
      <c r="M120" s="52"/>
      <c r="N120" s="52"/>
      <c r="O120" s="52"/>
      <c r="P120" s="52"/>
      <c r="Q120" s="52"/>
      <c r="R120" s="52"/>
      <c r="S120" s="52"/>
      <c r="T120" s="52"/>
      <c r="U120" s="52"/>
      <c r="V120" s="50"/>
      <c r="W120" s="50"/>
      <c r="X120" s="50"/>
      <c r="Y120" s="50"/>
      <c r="Z120" s="50"/>
      <c r="AA120" s="50"/>
      <c r="AB120" s="50"/>
      <c r="AC120" s="50"/>
      <c r="AD120" s="50"/>
      <c r="AE120" s="50"/>
      <c r="AF120" s="50"/>
      <c r="AG120" s="50"/>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row>
    <row r="121" spans="1:58">
      <c r="A121" s="50"/>
      <c r="B121" s="50"/>
      <c r="C121" s="50"/>
      <c r="D121" s="50"/>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row>
    <row r="122" spans="1:58">
      <c r="A122" s="52"/>
      <c r="B122" s="52"/>
      <c r="C122" s="52"/>
      <c r="D122" s="52"/>
      <c r="E122" s="52"/>
      <c r="F122" s="52"/>
      <c r="G122" s="52"/>
      <c r="H122" s="52"/>
      <c r="I122" s="52"/>
      <c r="J122" s="52"/>
      <c r="K122" s="52"/>
      <c r="L122" s="52"/>
      <c r="M122" s="52"/>
      <c r="N122" s="52"/>
      <c r="O122" s="52"/>
      <c r="P122" s="52"/>
      <c r="Q122" s="52"/>
      <c r="R122" s="52"/>
      <c r="S122" s="52"/>
      <c r="T122" s="52"/>
      <c r="U122" s="52"/>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2"/>
      <c r="AU122" s="52"/>
      <c r="AV122" s="52"/>
      <c r="AW122" s="52"/>
      <c r="AX122" s="52"/>
      <c r="AY122" s="52"/>
      <c r="AZ122" s="52"/>
      <c r="BA122" s="52"/>
      <c r="BB122" s="52"/>
      <c r="BC122" s="52"/>
      <c r="BD122" s="52"/>
      <c r="BE122" s="52"/>
      <c r="BF122" s="52"/>
    </row>
    <row r="123" spans="1:58">
      <c r="A123" s="52"/>
      <c r="B123" s="52"/>
      <c r="C123" s="52"/>
      <c r="D123" s="52"/>
      <c r="E123" s="52"/>
      <c r="F123" s="52"/>
      <c r="G123" s="52"/>
      <c r="H123" s="52"/>
      <c r="I123" s="52"/>
      <c r="J123" s="52"/>
      <c r="K123" s="52"/>
      <c r="L123" s="52"/>
      <c r="M123" s="52"/>
      <c r="N123" s="52"/>
      <c r="O123" s="52"/>
      <c r="P123" s="52"/>
      <c r="Q123" s="52"/>
      <c r="R123" s="52"/>
      <c r="S123" s="52"/>
      <c r="T123" s="52"/>
      <c r="U123" s="52"/>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2"/>
      <c r="AU123" s="52"/>
      <c r="AV123" s="52"/>
      <c r="AW123" s="52"/>
      <c r="AX123" s="52"/>
      <c r="AY123" s="52"/>
      <c r="AZ123" s="52"/>
      <c r="BA123" s="52"/>
      <c r="BB123" s="52"/>
      <c r="BC123" s="52"/>
      <c r="BD123" s="52"/>
      <c r="BE123" s="52"/>
      <c r="BF123" s="52"/>
    </row>
    <row r="124" spans="1:58">
      <c r="A124" s="52"/>
      <c r="B124" s="52"/>
      <c r="C124" s="52"/>
      <c r="D124" s="52"/>
      <c r="E124" s="52"/>
      <c r="F124" s="52"/>
      <c r="G124" s="52"/>
      <c r="H124" s="52"/>
      <c r="I124" s="52"/>
      <c r="J124" s="52"/>
      <c r="K124" s="52"/>
      <c r="L124" s="52"/>
      <c r="M124" s="52"/>
      <c r="N124" s="52"/>
      <c r="O124" s="52"/>
      <c r="P124" s="52"/>
      <c r="Q124" s="52"/>
      <c r="R124" s="52"/>
      <c r="S124" s="52"/>
      <c r="T124" s="52"/>
      <c r="U124" s="52"/>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2"/>
      <c r="AU124" s="52"/>
      <c r="AV124" s="52"/>
      <c r="AW124" s="52"/>
      <c r="AX124" s="52"/>
      <c r="AY124" s="52"/>
      <c r="AZ124" s="52"/>
      <c r="BA124" s="52"/>
      <c r="BB124" s="52"/>
      <c r="BC124" s="52"/>
      <c r="BD124" s="52"/>
      <c r="BE124" s="52"/>
      <c r="BF124" s="52"/>
    </row>
    <row r="125" spans="1:58">
      <c r="A125" s="52"/>
      <c r="B125" s="52"/>
      <c r="C125" s="52"/>
      <c r="D125" s="52"/>
      <c r="E125" s="52"/>
      <c r="F125" s="52"/>
      <c r="G125" s="52"/>
      <c r="H125" s="52"/>
      <c r="I125" s="52"/>
      <c r="J125" s="52"/>
      <c r="K125" s="52"/>
      <c r="L125" s="52"/>
      <c r="M125" s="52"/>
      <c r="N125" s="52"/>
      <c r="O125" s="52"/>
      <c r="P125" s="52"/>
      <c r="Q125" s="52"/>
      <c r="R125" s="52"/>
      <c r="S125" s="52"/>
      <c r="T125" s="52"/>
      <c r="U125" s="52"/>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2"/>
      <c r="AU125" s="52"/>
      <c r="AV125" s="52"/>
      <c r="AW125" s="52"/>
      <c r="AX125" s="52"/>
      <c r="AY125" s="52"/>
      <c r="AZ125" s="52"/>
      <c r="BA125" s="52"/>
      <c r="BB125" s="52"/>
      <c r="BC125" s="52"/>
      <c r="BD125" s="52"/>
      <c r="BE125" s="52"/>
      <c r="BF125" s="52"/>
    </row>
    <row r="126" spans="1:58">
      <c r="A126" s="52"/>
      <c r="B126" s="52"/>
      <c r="C126" s="52"/>
      <c r="D126" s="52"/>
      <c r="E126" s="52"/>
      <c r="F126" s="52"/>
      <c r="G126" s="52"/>
      <c r="H126" s="52"/>
      <c r="I126" s="52"/>
      <c r="J126" s="52"/>
      <c r="K126" s="52"/>
      <c r="L126" s="52"/>
      <c r="M126" s="52"/>
      <c r="N126" s="52"/>
      <c r="O126" s="52"/>
      <c r="P126" s="52"/>
      <c r="Q126" s="52"/>
      <c r="R126" s="52"/>
      <c r="S126" s="52"/>
      <c r="T126" s="52"/>
      <c r="U126" s="52"/>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2"/>
      <c r="AU126" s="52"/>
      <c r="AV126" s="52"/>
      <c r="AW126" s="52"/>
      <c r="AX126" s="52"/>
      <c r="AY126" s="52"/>
      <c r="AZ126" s="52"/>
      <c r="BA126" s="52"/>
      <c r="BB126" s="52"/>
      <c r="BC126" s="52"/>
      <c r="BD126" s="52"/>
      <c r="BE126" s="52"/>
      <c r="BF126" s="52"/>
    </row>
    <row r="127" spans="1:58">
      <c r="A127" s="52"/>
      <c r="B127" s="52"/>
      <c r="C127" s="52"/>
      <c r="D127" s="52"/>
      <c r="E127" s="52"/>
      <c r="F127" s="52"/>
      <c r="G127" s="52"/>
      <c r="H127" s="52"/>
      <c r="I127" s="52"/>
      <c r="J127" s="52"/>
      <c r="K127" s="52"/>
      <c r="L127" s="52"/>
      <c r="M127" s="52"/>
      <c r="N127" s="52"/>
      <c r="O127" s="52"/>
      <c r="P127" s="52"/>
      <c r="Q127" s="52"/>
      <c r="R127" s="52"/>
      <c r="S127" s="52"/>
      <c r="T127" s="52"/>
      <c r="U127" s="52"/>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2"/>
      <c r="AU127" s="52"/>
      <c r="AV127" s="52"/>
      <c r="AW127" s="52"/>
      <c r="AX127" s="52"/>
      <c r="AY127" s="52"/>
      <c r="AZ127" s="52"/>
      <c r="BA127" s="52"/>
      <c r="BB127" s="52"/>
      <c r="BC127" s="52"/>
      <c r="BD127" s="52"/>
      <c r="BE127" s="52"/>
      <c r="BF127" s="52"/>
    </row>
    <row r="128" spans="1:58">
      <c r="A128" s="52"/>
      <c r="B128" s="52"/>
      <c r="C128" s="52"/>
      <c r="D128" s="52"/>
      <c r="E128" s="52"/>
      <c r="F128" s="52"/>
      <c r="G128" s="52"/>
      <c r="H128" s="52"/>
      <c r="I128" s="52"/>
      <c r="J128" s="52"/>
      <c r="K128" s="52"/>
      <c r="L128" s="52"/>
      <c r="M128" s="52"/>
      <c r="N128" s="52"/>
      <c r="O128" s="52"/>
      <c r="P128" s="52"/>
      <c r="Q128" s="52"/>
      <c r="R128" s="52"/>
      <c r="S128" s="52"/>
      <c r="T128" s="52"/>
      <c r="U128" s="52"/>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2"/>
      <c r="AU128" s="52"/>
      <c r="AV128" s="52"/>
      <c r="AW128" s="52"/>
      <c r="AX128" s="52"/>
      <c r="AY128" s="52"/>
      <c r="AZ128" s="52"/>
      <c r="BA128" s="52"/>
      <c r="BB128" s="52"/>
      <c r="BC128" s="52"/>
      <c r="BD128" s="52"/>
      <c r="BE128" s="52"/>
      <c r="BF128" s="52"/>
    </row>
    <row r="129" spans="1:58">
      <c r="A129" s="52"/>
      <c r="B129" s="52"/>
      <c r="C129" s="52"/>
      <c r="D129" s="52"/>
      <c r="E129" s="52"/>
      <c r="F129" s="52"/>
      <c r="G129" s="52"/>
      <c r="H129" s="52"/>
      <c r="I129" s="52"/>
      <c r="J129" s="52"/>
      <c r="K129" s="52"/>
      <c r="L129" s="52"/>
      <c r="M129" s="52"/>
      <c r="N129" s="52"/>
      <c r="O129" s="52"/>
      <c r="P129" s="52"/>
      <c r="Q129" s="52"/>
      <c r="R129" s="52"/>
      <c r="S129" s="52"/>
      <c r="T129" s="52"/>
      <c r="U129" s="52"/>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2"/>
      <c r="AU129" s="52"/>
      <c r="AV129" s="52"/>
      <c r="AW129" s="52"/>
      <c r="AX129" s="52"/>
      <c r="AY129" s="52"/>
      <c r="AZ129" s="52"/>
      <c r="BA129" s="52"/>
      <c r="BB129" s="52"/>
      <c r="BC129" s="52"/>
      <c r="BD129" s="52"/>
      <c r="BE129" s="52"/>
      <c r="BF129" s="52"/>
    </row>
    <row r="130" spans="1:58">
      <c r="A130" s="52"/>
      <c r="B130" s="52"/>
      <c r="C130" s="52"/>
      <c r="D130" s="52"/>
      <c r="E130" s="52"/>
      <c r="F130" s="52"/>
      <c r="G130" s="52"/>
      <c r="H130" s="52"/>
      <c r="I130" s="52"/>
      <c r="J130" s="52"/>
      <c r="K130" s="52"/>
      <c r="L130" s="52"/>
      <c r="M130" s="52"/>
      <c r="N130" s="52"/>
      <c r="O130" s="52"/>
      <c r="P130" s="52"/>
      <c r="Q130" s="52"/>
      <c r="R130" s="52"/>
      <c r="S130" s="52"/>
      <c r="T130" s="52"/>
      <c r="U130" s="52"/>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2"/>
      <c r="AU130" s="52"/>
      <c r="AV130" s="52"/>
      <c r="AW130" s="52"/>
      <c r="AX130" s="52"/>
      <c r="AY130" s="52"/>
      <c r="AZ130" s="52"/>
      <c r="BA130" s="52"/>
      <c r="BB130" s="52"/>
      <c r="BC130" s="52"/>
      <c r="BD130" s="52"/>
      <c r="BE130" s="52"/>
      <c r="BF130" s="52"/>
    </row>
    <row r="131" spans="1:58">
      <c r="A131" s="52"/>
      <c r="B131" s="52"/>
      <c r="C131" s="52"/>
      <c r="D131" s="52"/>
      <c r="E131" s="52"/>
      <c r="F131" s="52"/>
      <c r="G131" s="52"/>
      <c r="H131" s="52"/>
      <c r="I131" s="52"/>
      <c r="J131" s="52"/>
      <c r="K131" s="52"/>
      <c r="L131" s="52"/>
      <c r="M131" s="52"/>
      <c r="N131" s="52"/>
      <c r="O131" s="52"/>
      <c r="P131" s="52"/>
      <c r="Q131" s="52"/>
      <c r="R131" s="52"/>
      <c r="S131" s="52"/>
      <c r="T131" s="52"/>
      <c r="U131" s="52"/>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2"/>
      <c r="AU131" s="52"/>
      <c r="AV131" s="52"/>
      <c r="AW131" s="52"/>
      <c r="AX131" s="52"/>
      <c r="AY131" s="52"/>
      <c r="AZ131" s="52"/>
      <c r="BA131" s="52"/>
      <c r="BB131" s="52"/>
      <c r="BC131" s="52"/>
      <c r="BD131" s="52"/>
      <c r="BE131" s="52"/>
      <c r="BF131" s="52"/>
    </row>
    <row r="132" spans="1:58">
      <c r="A132" s="52"/>
      <c r="B132" s="52"/>
      <c r="C132" s="52"/>
      <c r="D132" s="52"/>
      <c r="E132" s="52"/>
      <c r="F132" s="52"/>
      <c r="G132" s="52"/>
      <c r="H132" s="52"/>
      <c r="I132" s="52"/>
      <c r="J132" s="52"/>
      <c r="K132" s="52"/>
      <c r="L132" s="52"/>
      <c r="M132" s="52"/>
      <c r="N132" s="52"/>
      <c r="O132" s="52"/>
      <c r="P132" s="52"/>
      <c r="Q132" s="52"/>
      <c r="R132" s="52"/>
      <c r="S132" s="52"/>
      <c r="T132" s="52"/>
      <c r="U132" s="52"/>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2"/>
      <c r="AU132" s="52"/>
      <c r="AV132" s="52"/>
      <c r="AW132" s="52"/>
      <c r="AX132" s="52"/>
      <c r="AY132" s="52"/>
      <c r="AZ132" s="52"/>
      <c r="BA132" s="52"/>
      <c r="BB132" s="52"/>
      <c r="BC132" s="52"/>
      <c r="BD132" s="52"/>
      <c r="BE132" s="52"/>
      <c r="BF132" s="52"/>
    </row>
    <row r="133" spans="1:58">
      <c r="A133" s="52"/>
      <c r="B133" s="52"/>
      <c r="C133" s="52"/>
      <c r="D133" s="52"/>
      <c r="E133" s="52"/>
      <c r="F133" s="52"/>
      <c r="G133" s="52"/>
      <c r="H133" s="52"/>
      <c r="I133" s="52"/>
      <c r="J133" s="52"/>
      <c r="K133" s="52"/>
      <c r="L133" s="52"/>
      <c r="M133" s="52"/>
      <c r="N133" s="52"/>
      <c r="O133" s="52"/>
      <c r="P133" s="52"/>
      <c r="Q133" s="52"/>
      <c r="R133" s="52"/>
      <c r="S133" s="52"/>
      <c r="T133" s="52"/>
      <c r="U133" s="52"/>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2"/>
      <c r="AU133" s="52"/>
      <c r="AV133" s="52"/>
      <c r="AW133" s="52"/>
      <c r="AX133" s="52"/>
      <c r="AY133" s="52"/>
      <c r="AZ133" s="52"/>
      <c r="BA133" s="52"/>
      <c r="BB133" s="52"/>
      <c r="BC133" s="52"/>
      <c r="BD133" s="52"/>
      <c r="BE133" s="52"/>
      <c r="BF133" s="52"/>
    </row>
    <row r="134" spans="1:58">
      <c r="A134" s="52"/>
      <c r="B134" s="52"/>
      <c r="C134" s="52"/>
      <c r="D134" s="52"/>
      <c r="E134" s="52"/>
      <c r="F134" s="52"/>
      <c r="G134" s="52"/>
      <c r="H134" s="52"/>
      <c r="I134" s="52"/>
      <c r="J134" s="52"/>
      <c r="K134" s="52"/>
      <c r="L134" s="52"/>
      <c r="M134" s="52"/>
      <c r="N134" s="52"/>
      <c r="O134" s="52"/>
      <c r="P134" s="52"/>
      <c r="Q134" s="52"/>
      <c r="R134" s="52"/>
      <c r="S134" s="52"/>
      <c r="T134" s="52"/>
      <c r="U134" s="52"/>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2"/>
      <c r="AU134" s="52"/>
      <c r="AV134" s="52"/>
      <c r="AW134" s="52"/>
      <c r="AX134" s="52"/>
      <c r="AY134" s="52"/>
      <c r="AZ134" s="52"/>
      <c r="BA134" s="52"/>
      <c r="BB134" s="52"/>
      <c r="BC134" s="52"/>
      <c r="BD134" s="52"/>
      <c r="BE134" s="52"/>
      <c r="BF134" s="52"/>
    </row>
    <row r="135" spans="1:58">
      <c r="A135" s="52"/>
      <c r="B135" s="52"/>
      <c r="C135" s="52"/>
      <c r="D135" s="52"/>
      <c r="E135" s="52"/>
      <c r="F135" s="52"/>
      <c r="G135" s="52"/>
      <c r="H135" s="52"/>
      <c r="I135" s="52"/>
      <c r="J135" s="52"/>
      <c r="K135" s="52"/>
      <c r="L135" s="52"/>
      <c r="M135" s="52"/>
      <c r="N135" s="52"/>
      <c r="O135" s="52"/>
      <c r="P135" s="52"/>
      <c r="Q135" s="52"/>
      <c r="R135" s="52"/>
      <c r="S135" s="52"/>
      <c r="T135" s="52"/>
      <c r="U135" s="52"/>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2"/>
      <c r="AU135" s="52"/>
      <c r="AV135" s="52"/>
      <c r="AW135" s="52"/>
      <c r="AX135" s="52"/>
      <c r="AY135" s="52"/>
      <c r="AZ135" s="52"/>
      <c r="BA135" s="52"/>
      <c r="BB135" s="52"/>
      <c r="BC135" s="52"/>
      <c r="BD135" s="52"/>
      <c r="BE135" s="52"/>
      <c r="BF135" s="52"/>
    </row>
    <row r="136" spans="1:58">
      <c r="A136" s="52"/>
      <c r="B136" s="52"/>
      <c r="C136" s="52"/>
      <c r="D136" s="52"/>
      <c r="E136" s="52"/>
      <c r="F136" s="52"/>
      <c r="G136" s="52"/>
      <c r="H136" s="52"/>
      <c r="I136" s="52"/>
      <c r="J136" s="52"/>
      <c r="K136" s="52"/>
      <c r="L136" s="52"/>
      <c r="M136" s="52"/>
      <c r="N136" s="52"/>
      <c r="O136" s="52"/>
      <c r="P136" s="52"/>
      <c r="Q136" s="52"/>
      <c r="R136" s="52"/>
      <c r="S136" s="52"/>
      <c r="T136" s="52"/>
      <c r="U136" s="52"/>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2"/>
      <c r="AU136" s="52"/>
      <c r="AV136" s="52"/>
      <c r="AW136" s="52"/>
      <c r="AX136" s="52"/>
      <c r="AY136" s="52"/>
      <c r="AZ136" s="52"/>
      <c r="BA136" s="52"/>
      <c r="BB136" s="52"/>
      <c r="BC136" s="52"/>
      <c r="BD136" s="52"/>
      <c r="BE136" s="52"/>
      <c r="BF136" s="52"/>
    </row>
    <row r="137" spans="1:58">
      <c r="A137" s="52"/>
      <c r="B137" s="52"/>
      <c r="C137" s="52"/>
      <c r="D137" s="52"/>
      <c r="E137" s="52"/>
      <c r="F137" s="52"/>
      <c r="G137" s="52"/>
      <c r="H137" s="52"/>
      <c r="I137" s="52"/>
      <c r="J137" s="52"/>
      <c r="K137" s="52"/>
      <c r="L137" s="52"/>
      <c r="M137" s="52"/>
      <c r="N137" s="52"/>
      <c r="O137" s="52"/>
      <c r="P137" s="52"/>
      <c r="Q137" s="52"/>
      <c r="R137" s="52"/>
      <c r="S137" s="52"/>
      <c r="T137" s="52"/>
      <c r="U137" s="52"/>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2"/>
      <c r="AU137" s="52"/>
      <c r="AV137" s="52"/>
      <c r="AW137" s="52"/>
      <c r="AX137" s="52"/>
      <c r="AY137" s="52"/>
      <c r="AZ137" s="52"/>
      <c r="BA137" s="52"/>
      <c r="BB137" s="52"/>
      <c r="BC137" s="52"/>
      <c r="BD137" s="52"/>
      <c r="BE137" s="52"/>
      <c r="BF137" s="52"/>
    </row>
    <row r="138" spans="1:58">
      <c r="A138" s="52"/>
      <c r="B138" s="52"/>
      <c r="C138" s="52"/>
      <c r="D138" s="52"/>
      <c r="E138" s="52"/>
      <c r="F138" s="52"/>
      <c r="G138" s="52"/>
      <c r="H138" s="52"/>
      <c r="I138" s="52"/>
      <c r="J138" s="52"/>
      <c r="K138" s="52"/>
      <c r="L138" s="52"/>
      <c r="M138" s="52"/>
      <c r="N138" s="52"/>
      <c r="O138" s="52"/>
      <c r="P138" s="52"/>
      <c r="Q138" s="52"/>
      <c r="R138" s="52"/>
      <c r="S138" s="52"/>
      <c r="T138" s="52"/>
      <c r="U138" s="52"/>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2"/>
      <c r="AU138" s="52"/>
      <c r="AV138" s="52"/>
      <c r="AW138" s="52"/>
      <c r="AX138" s="52"/>
      <c r="AY138" s="52"/>
      <c r="AZ138" s="52"/>
      <c r="BA138" s="52"/>
      <c r="BB138" s="52"/>
      <c r="BC138" s="52"/>
      <c r="BD138" s="52"/>
      <c r="BE138" s="52"/>
      <c r="BF138" s="52"/>
    </row>
    <row r="139" spans="1:58">
      <c r="A139" s="52"/>
      <c r="B139" s="52"/>
      <c r="C139" s="52"/>
      <c r="D139" s="52"/>
      <c r="E139" s="52"/>
      <c r="F139" s="52"/>
      <c r="G139" s="52"/>
      <c r="H139" s="52"/>
      <c r="I139" s="52"/>
      <c r="J139" s="52"/>
      <c r="K139" s="52"/>
      <c r="L139" s="52"/>
      <c r="M139" s="52"/>
      <c r="N139" s="52"/>
      <c r="O139" s="52"/>
      <c r="P139" s="52"/>
      <c r="Q139" s="52"/>
      <c r="R139" s="52"/>
      <c r="S139" s="52"/>
      <c r="T139" s="52"/>
      <c r="U139" s="52"/>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2"/>
      <c r="AU139" s="52"/>
      <c r="AV139" s="52"/>
      <c r="AW139" s="52"/>
      <c r="AX139" s="52"/>
      <c r="AY139" s="52"/>
      <c r="AZ139" s="52"/>
      <c r="BA139" s="52"/>
      <c r="BB139" s="52"/>
      <c r="BC139" s="52"/>
      <c r="BD139" s="52"/>
      <c r="BE139" s="52"/>
      <c r="BF139" s="52"/>
    </row>
    <row r="140" spans="1:58">
      <c r="A140" s="52"/>
      <c r="B140" s="52"/>
      <c r="C140" s="52"/>
      <c r="D140" s="52"/>
      <c r="E140" s="52"/>
      <c r="F140" s="52"/>
      <c r="G140" s="52"/>
      <c r="H140" s="52"/>
      <c r="I140" s="52"/>
      <c r="J140" s="52"/>
      <c r="K140" s="52"/>
      <c r="L140" s="52"/>
      <c r="M140" s="52"/>
      <c r="N140" s="52"/>
      <c r="O140" s="52"/>
      <c r="P140" s="52"/>
      <c r="Q140" s="52"/>
      <c r="R140" s="52"/>
      <c r="S140" s="52"/>
      <c r="T140" s="52"/>
      <c r="U140" s="52"/>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2"/>
      <c r="AU140" s="52"/>
      <c r="AV140" s="52"/>
      <c r="AW140" s="52"/>
      <c r="AX140" s="52"/>
      <c r="AY140" s="52"/>
      <c r="AZ140" s="52"/>
      <c r="BA140" s="52"/>
      <c r="BB140" s="52"/>
      <c r="BC140" s="52"/>
      <c r="BD140" s="52"/>
      <c r="BE140" s="52"/>
      <c r="BF140" s="52"/>
    </row>
    <row r="141" spans="1:58">
      <c r="A141" s="52"/>
      <c r="B141" s="52"/>
      <c r="C141" s="52"/>
      <c r="D141" s="52"/>
      <c r="E141" s="52"/>
      <c r="F141" s="52"/>
      <c r="G141" s="52"/>
      <c r="H141" s="52"/>
      <c r="I141" s="52"/>
      <c r="J141" s="52"/>
      <c r="K141" s="52"/>
      <c r="L141" s="52"/>
      <c r="M141" s="52"/>
      <c r="N141" s="52"/>
      <c r="O141" s="52"/>
      <c r="P141" s="52"/>
      <c r="Q141" s="52"/>
      <c r="R141" s="52"/>
      <c r="S141" s="52"/>
      <c r="T141" s="52"/>
      <c r="U141" s="52"/>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2"/>
      <c r="AU141" s="52"/>
      <c r="AV141" s="52"/>
      <c r="AW141" s="52"/>
      <c r="AX141" s="52"/>
      <c r="AY141" s="52"/>
      <c r="AZ141" s="52"/>
      <c r="BA141" s="52"/>
      <c r="BB141" s="52"/>
      <c r="BC141" s="52"/>
      <c r="BD141" s="52"/>
      <c r="BE141" s="52"/>
      <c r="BF141" s="52"/>
    </row>
    <row r="142" spans="1:58">
      <c r="A142" s="52"/>
      <c r="B142" s="52"/>
      <c r="C142" s="52"/>
      <c r="D142" s="52"/>
      <c r="E142" s="52"/>
      <c r="F142" s="52"/>
      <c r="G142" s="52"/>
      <c r="H142" s="52"/>
      <c r="I142" s="52"/>
      <c r="J142" s="52"/>
      <c r="K142" s="52"/>
      <c r="L142" s="52"/>
      <c r="M142" s="52"/>
      <c r="N142" s="52"/>
      <c r="O142" s="52"/>
      <c r="P142" s="52"/>
      <c r="Q142" s="52"/>
      <c r="R142" s="52"/>
      <c r="S142" s="52"/>
      <c r="T142" s="52"/>
      <c r="U142" s="52"/>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2"/>
      <c r="AU142" s="52"/>
      <c r="AV142" s="52"/>
      <c r="AW142" s="52"/>
      <c r="AX142" s="52"/>
      <c r="AY142" s="52"/>
      <c r="AZ142" s="52"/>
      <c r="BA142" s="52"/>
      <c r="BB142" s="52"/>
      <c r="BC142" s="52"/>
      <c r="BD142" s="52"/>
      <c r="BE142" s="52"/>
      <c r="BF142" s="52"/>
    </row>
    <row r="143" spans="1:58">
      <c r="A143" s="52"/>
      <c r="B143" s="52"/>
      <c r="C143" s="52"/>
      <c r="D143" s="52"/>
      <c r="E143" s="52"/>
      <c r="F143" s="52"/>
      <c r="G143" s="52"/>
      <c r="H143" s="52"/>
      <c r="I143" s="52"/>
      <c r="J143" s="52"/>
      <c r="K143" s="52"/>
      <c r="L143" s="52"/>
      <c r="M143" s="52"/>
      <c r="N143" s="52"/>
      <c r="O143" s="52"/>
      <c r="P143" s="52"/>
      <c r="Q143" s="52"/>
      <c r="R143" s="52"/>
      <c r="S143" s="52"/>
      <c r="T143" s="52"/>
      <c r="U143" s="52"/>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2"/>
      <c r="AU143" s="52"/>
      <c r="AV143" s="52"/>
      <c r="AW143" s="52"/>
      <c r="AX143" s="52"/>
      <c r="AY143" s="52"/>
      <c r="AZ143" s="52"/>
      <c r="BA143" s="52"/>
      <c r="BB143" s="52"/>
      <c r="BC143" s="52"/>
      <c r="BD143" s="52"/>
      <c r="BE143" s="52"/>
      <c r="BF143" s="52"/>
    </row>
    <row r="144" spans="1:58">
      <c r="A144" s="52"/>
      <c r="B144" s="52"/>
      <c r="C144" s="52"/>
      <c r="D144" s="52"/>
      <c r="E144" s="52"/>
      <c r="F144" s="52"/>
      <c r="G144" s="52"/>
      <c r="H144" s="52"/>
      <c r="I144" s="52"/>
      <c r="J144" s="52"/>
      <c r="K144" s="52"/>
      <c r="L144" s="52"/>
      <c r="M144" s="52"/>
      <c r="N144" s="52"/>
      <c r="O144" s="52"/>
      <c r="P144" s="52"/>
      <c r="Q144" s="52"/>
      <c r="R144" s="52"/>
      <c r="S144" s="52"/>
      <c r="T144" s="52"/>
      <c r="U144" s="52"/>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2"/>
      <c r="AU144" s="52"/>
      <c r="AV144" s="52"/>
      <c r="AW144" s="52"/>
      <c r="AX144" s="52"/>
      <c r="AY144" s="52"/>
      <c r="AZ144" s="52"/>
      <c r="BA144" s="52"/>
      <c r="BB144" s="52"/>
      <c r="BC144" s="52"/>
      <c r="BD144" s="52"/>
      <c r="BE144" s="52"/>
      <c r="BF144" s="52"/>
    </row>
    <row r="145" spans="1:58">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row>
    <row r="146" spans="1:58">
      <c r="A146" s="52"/>
      <c r="B146" s="52"/>
      <c r="C146" s="52"/>
      <c r="D146" s="52"/>
      <c r="E146" s="52"/>
      <c r="F146" s="52"/>
      <c r="G146" s="52"/>
      <c r="H146" s="52"/>
      <c r="I146" s="52"/>
      <c r="J146" s="52"/>
      <c r="K146" s="52"/>
      <c r="L146" s="52"/>
      <c r="M146" s="52"/>
      <c r="N146" s="52"/>
      <c r="O146" s="52"/>
      <c r="P146" s="52"/>
      <c r="Q146" s="52"/>
      <c r="R146" s="52"/>
      <c r="S146" s="52"/>
      <c r="T146" s="52"/>
      <c r="U146" s="52"/>
      <c r="V146" s="50"/>
      <c r="W146" s="50"/>
      <c r="X146" s="50"/>
      <c r="Y146" s="50"/>
      <c r="Z146" s="50"/>
      <c r="AA146" s="50"/>
      <c r="AB146" s="50"/>
      <c r="AC146" s="50"/>
      <c r="AD146" s="50"/>
      <c r="AE146" s="50"/>
      <c r="AF146" s="50"/>
      <c r="AG146" s="50"/>
      <c r="AH146" s="50"/>
      <c r="AI146" s="50"/>
      <c r="AJ146" s="50"/>
      <c r="AK146" s="50"/>
      <c r="AL146" s="50"/>
      <c r="AM146" s="50"/>
      <c r="AN146" s="50"/>
      <c r="AO146" s="52"/>
      <c r="AP146" s="52"/>
      <c r="AQ146" s="52"/>
      <c r="AR146" s="52"/>
      <c r="AS146" s="52"/>
      <c r="AT146" s="52"/>
      <c r="AU146" s="52"/>
      <c r="AV146" s="52"/>
      <c r="AW146" s="52"/>
      <c r="AX146" s="52"/>
      <c r="AY146" s="52"/>
      <c r="AZ146" s="52"/>
      <c r="BA146" s="52"/>
      <c r="BB146" s="52"/>
      <c r="BC146" s="52"/>
      <c r="BD146" s="52"/>
      <c r="BE146" s="52"/>
      <c r="BF146" s="52"/>
    </row>
    <row r="147" spans="1:58">
      <c r="A147" s="52"/>
      <c r="B147" s="52"/>
      <c r="C147" s="52"/>
      <c r="D147" s="52"/>
      <c r="E147" s="52"/>
      <c r="F147" s="52"/>
      <c r="G147" s="52"/>
      <c r="H147" s="52"/>
      <c r="I147" s="52"/>
      <c r="J147" s="52"/>
      <c r="K147" s="52"/>
      <c r="L147" s="52"/>
      <c r="M147" s="52"/>
      <c r="N147" s="52"/>
      <c r="O147" s="52"/>
      <c r="P147" s="52"/>
      <c r="Q147" s="52"/>
      <c r="R147" s="52"/>
      <c r="S147" s="52"/>
      <c r="T147" s="52"/>
      <c r="U147" s="52"/>
      <c r="V147" s="50"/>
      <c r="W147" s="50"/>
      <c r="X147" s="50"/>
      <c r="Y147" s="50"/>
      <c r="Z147" s="50"/>
      <c r="AA147" s="50"/>
      <c r="AB147" s="50"/>
      <c r="AC147" s="50"/>
      <c r="AD147" s="50"/>
      <c r="AE147" s="50"/>
      <c r="AF147" s="50"/>
      <c r="AG147" s="50"/>
      <c r="AH147" s="50"/>
      <c r="AI147" s="50"/>
      <c r="AJ147" s="50"/>
      <c r="AK147" s="50"/>
      <c r="AL147" s="50"/>
      <c r="AM147" s="50"/>
      <c r="AN147" s="50"/>
      <c r="AO147" s="52"/>
      <c r="AP147" s="52"/>
      <c r="AQ147" s="52"/>
      <c r="AR147" s="52"/>
      <c r="AS147" s="52"/>
      <c r="AT147" s="52"/>
      <c r="AU147" s="52"/>
      <c r="AV147" s="52"/>
      <c r="AW147" s="52"/>
      <c r="AX147" s="52"/>
      <c r="AY147" s="52"/>
      <c r="AZ147" s="52"/>
      <c r="BA147" s="52"/>
      <c r="BB147" s="52"/>
      <c r="BC147" s="52"/>
      <c r="BD147" s="52"/>
      <c r="BE147" s="52"/>
      <c r="BF147" s="52"/>
    </row>
    <row r="148" spans="1:58">
      <c r="A148" s="52"/>
      <c r="B148" s="52"/>
      <c r="C148" s="52"/>
      <c r="D148" s="52"/>
      <c r="E148" s="52"/>
      <c r="F148" s="52"/>
      <c r="G148" s="52"/>
      <c r="H148" s="52"/>
      <c r="I148" s="52"/>
      <c r="J148" s="52"/>
      <c r="K148" s="52"/>
      <c r="L148" s="52"/>
      <c r="M148" s="52"/>
      <c r="N148" s="52"/>
      <c r="O148" s="52"/>
      <c r="P148" s="52"/>
      <c r="Q148" s="52"/>
      <c r="R148" s="52"/>
      <c r="S148" s="52"/>
      <c r="T148" s="52"/>
      <c r="U148" s="52"/>
      <c r="V148" s="50"/>
      <c r="W148" s="50"/>
      <c r="X148" s="50"/>
      <c r="Y148" s="50"/>
      <c r="Z148" s="50"/>
      <c r="AA148" s="50"/>
      <c r="AB148" s="50"/>
      <c r="AC148" s="50"/>
      <c r="AD148" s="50"/>
      <c r="AE148" s="50"/>
      <c r="AF148" s="50"/>
      <c r="AG148" s="50"/>
      <c r="AH148" s="50"/>
      <c r="AI148" s="50"/>
      <c r="AJ148" s="50"/>
      <c r="AK148" s="50"/>
      <c r="AL148" s="50"/>
      <c r="AM148" s="50"/>
      <c r="AN148" s="50"/>
      <c r="AO148" s="52"/>
      <c r="AP148" s="52"/>
      <c r="AQ148" s="52"/>
      <c r="AR148" s="52"/>
      <c r="AS148" s="52"/>
      <c r="AT148" s="52"/>
      <c r="AU148" s="52"/>
      <c r="AV148" s="52"/>
      <c r="AW148" s="52"/>
      <c r="AX148" s="52"/>
      <c r="AY148" s="52"/>
      <c r="AZ148" s="52"/>
      <c r="BA148" s="52"/>
      <c r="BB148" s="52"/>
      <c r="BC148" s="52"/>
      <c r="BD148" s="52"/>
      <c r="BE148" s="52"/>
      <c r="BF148" s="52"/>
    </row>
    <row r="149" spans="1:58">
      <c r="A149" s="52"/>
      <c r="B149" s="52"/>
      <c r="C149" s="52"/>
      <c r="D149" s="52"/>
      <c r="E149" s="52"/>
      <c r="F149" s="52"/>
      <c r="G149" s="52"/>
      <c r="H149" s="52"/>
      <c r="I149" s="52"/>
      <c r="J149" s="52"/>
      <c r="K149" s="52"/>
      <c r="L149" s="52"/>
      <c r="M149" s="52"/>
      <c r="N149" s="52"/>
      <c r="O149" s="52"/>
      <c r="P149" s="52"/>
      <c r="Q149" s="52"/>
      <c r="R149" s="52"/>
      <c r="S149" s="52"/>
      <c r="T149" s="52"/>
      <c r="U149" s="52"/>
      <c r="V149" s="50"/>
      <c r="W149" s="50"/>
      <c r="X149" s="50"/>
      <c r="Y149" s="50"/>
      <c r="Z149" s="50"/>
      <c r="AA149" s="50"/>
      <c r="AB149" s="50"/>
      <c r="AC149" s="50"/>
      <c r="AD149" s="50"/>
      <c r="AE149" s="50"/>
      <c r="AF149" s="50"/>
      <c r="AG149" s="50"/>
      <c r="AH149" s="50"/>
      <c r="AI149" s="50"/>
      <c r="AJ149" s="50"/>
      <c r="AK149" s="50"/>
      <c r="AL149" s="50"/>
      <c r="AM149" s="50"/>
      <c r="AN149" s="50"/>
      <c r="AO149" s="52"/>
      <c r="AP149" s="52"/>
      <c r="AQ149" s="52"/>
      <c r="AR149" s="52"/>
      <c r="AS149" s="52"/>
      <c r="AT149" s="52"/>
      <c r="AU149" s="52"/>
      <c r="AV149" s="52"/>
      <c r="AW149" s="52"/>
      <c r="AX149" s="52"/>
      <c r="AY149" s="52"/>
      <c r="AZ149" s="52"/>
      <c r="BA149" s="52"/>
      <c r="BB149" s="52"/>
      <c r="BC149" s="52"/>
      <c r="BD149" s="52"/>
      <c r="BE149" s="52"/>
      <c r="BF149" s="52"/>
    </row>
    <row r="150" spans="1:58">
      <c r="A150" s="52"/>
      <c r="B150" s="52"/>
      <c r="C150" s="52"/>
      <c r="D150" s="52"/>
      <c r="E150" s="52"/>
      <c r="F150" s="52"/>
      <c r="G150" s="52"/>
      <c r="H150" s="52"/>
      <c r="I150" s="52"/>
      <c r="J150" s="52"/>
      <c r="K150" s="52"/>
      <c r="L150" s="52"/>
      <c r="M150" s="52"/>
      <c r="N150" s="52"/>
      <c r="O150" s="52"/>
      <c r="P150" s="52"/>
      <c r="Q150" s="52"/>
      <c r="R150" s="52"/>
      <c r="S150" s="52"/>
      <c r="T150" s="52"/>
      <c r="U150" s="52"/>
      <c r="V150" s="50"/>
      <c r="W150" s="50"/>
      <c r="X150" s="50"/>
      <c r="Y150" s="50"/>
      <c r="Z150" s="50"/>
      <c r="AA150" s="50"/>
      <c r="AB150" s="50"/>
      <c r="AC150" s="50"/>
      <c r="AD150" s="50"/>
      <c r="AE150" s="50"/>
      <c r="AF150" s="50"/>
      <c r="AG150" s="50"/>
      <c r="AH150" s="50"/>
      <c r="AI150" s="50"/>
      <c r="AJ150" s="50"/>
      <c r="AK150" s="50"/>
      <c r="AL150" s="50"/>
      <c r="AM150" s="50"/>
      <c r="AN150" s="50"/>
      <c r="AO150" s="52"/>
      <c r="AP150" s="52"/>
      <c r="AQ150" s="52"/>
      <c r="AR150" s="52"/>
      <c r="AS150" s="52"/>
      <c r="AT150" s="52"/>
      <c r="AU150" s="52"/>
      <c r="AV150" s="52"/>
      <c r="AW150" s="52"/>
      <c r="AX150" s="52"/>
      <c r="AY150" s="52"/>
      <c r="AZ150" s="52"/>
      <c r="BA150" s="52"/>
      <c r="BB150" s="52"/>
      <c r="BC150" s="52"/>
      <c r="BD150" s="52"/>
      <c r="BE150" s="52"/>
      <c r="BF150" s="52"/>
    </row>
    <row r="151" spans="1:58">
      <c r="A151" s="52"/>
      <c r="B151" s="52"/>
      <c r="C151" s="52"/>
      <c r="D151" s="52"/>
      <c r="E151" s="52"/>
      <c r="F151" s="52"/>
      <c r="G151" s="52"/>
      <c r="H151" s="52"/>
      <c r="I151" s="52"/>
      <c r="J151" s="52"/>
      <c r="K151" s="52"/>
      <c r="L151" s="52"/>
      <c r="M151" s="52"/>
      <c r="N151" s="52"/>
      <c r="O151" s="52"/>
      <c r="P151" s="52"/>
      <c r="Q151" s="52"/>
      <c r="R151" s="52"/>
      <c r="S151" s="52"/>
      <c r="T151" s="52"/>
      <c r="U151" s="52"/>
      <c r="V151" s="50"/>
      <c r="W151" s="50"/>
      <c r="X151" s="50"/>
      <c r="Y151" s="50"/>
      <c r="Z151" s="50"/>
      <c r="AA151" s="50"/>
      <c r="AB151" s="50"/>
      <c r="AC151" s="50"/>
      <c r="AD151" s="50"/>
      <c r="AE151" s="50"/>
      <c r="AF151" s="50"/>
      <c r="AG151" s="50"/>
      <c r="AH151" s="50"/>
      <c r="AI151" s="50"/>
      <c r="AJ151" s="50"/>
      <c r="AK151" s="50"/>
      <c r="AL151" s="50"/>
      <c r="AM151" s="50"/>
      <c r="AN151" s="50"/>
      <c r="AO151" s="52"/>
      <c r="AP151" s="52"/>
      <c r="AQ151" s="52"/>
      <c r="AR151" s="52"/>
      <c r="AS151" s="52"/>
      <c r="AT151" s="52"/>
      <c r="AU151" s="52"/>
      <c r="AV151" s="52"/>
      <c r="AW151" s="52"/>
      <c r="AX151" s="52"/>
      <c r="AY151" s="52"/>
      <c r="AZ151" s="52"/>
      <c r="BA151" s="52"/>
      <c r="BB151" s="52"/>
      <c r="BC151" s="52"/>
      <c r="BD151" s="52"/>
      <c r="BE151" s="52"/>
      <c r="BF151" s="52"/>
    </row>
    <row r="152" spans="1:58">
      <c r="A152" s="52"/>
      <c r="B152" s="52"/>
      <c r="C152" s="52"/>
      <c r="D152" s="52"/>
      <c r="E152" s="52"/>
      <c r="F152" s="52"/>
      <c r="G152" s="52"/>
      <c r="H152" s="52"/>
      <c r="I152" s="52"/>
      <c r="J152" s="52"/>
      <c r="K152" s="52"/>
      <c r="L152" s="52"/>
      <c r="M152" s="52"/>
      <c r="N152" s="52"/>
      <c r="O152" s="52"/>
      <c r="P152" s="52"/>
      <c r="Q152" s="52"/>
      <c r="R152" s="52"/>
      <c r="S152" s="52"/>
      <c r="T152" s="52"/>
      <c r="U152" s="52"/>
      <c r="V152" s="50"/>
      <c r="W152" s="50"/>
      <c r="X152" s="50"/>
      <c r="Y152" s="50"/>
      <c r="Z152" s="50"/>
      <c r="AA152" s="50"/>
      <c r="AB152" s="50"/>
      <c r="AC152" s="50"/>
      <c r="AD152" s="50"/>
      <c r="AE152" s="50"/>
      <c r="AF152" s="50"/>
      <c r="AG152" s="50"/>
      <c r="AH152" s="50"/>
      <c r="AI152" s="50"/>
      <c r="AJ152" s="50"/>
      <c r="AK152" s="50"/>
      <c r="AL152" s="50"/>
      <c r="AM152" s="50"/>
      <c r="AN152" s="50"/>
      <c r="AO152" s="52"/>
      <c r="AP152" s="52"/>
      <c r="AQ152" s="52"/>
      <c r="AR152" s="52"/>
      <c r="AS152" s="52"/>
      <c r="AT152" s="52"/>
      <c r="AU152" s="52"/>
      <c r="AV152" s="52"/>
      <c r="AW152" s="52"/>
      <c r="AX152" s="52"/>
      <c r="AY152" s="52"/>
      <c r="AZ152" s="52"/>
      <c r="BA152" s="52"/>
      <c r="BB152" s="52"/>
      <c r="BC152" s="52"/>
      <c r="BD152" s="52"/>
      <c r="BE152" s="52"/>
      <c r="BF152" s="52"/>
    </row>
    <row r="153" spans="1:58">
      <c r="A153" s="52"/>
      <c r="B153" s="52"/>
      <c r="C153" s="52"/>
      <c r="D153" s="52"/>
      <c r="E153" s="52"/>
      <c r="F153" s="52"/>
      <c r="G153" s="52"/>
      <c r="H153" s="52"/>
      <c r="I153" s="52"/>
      <c r="J153" s="52"/>
      <c r="K153" s="52"/>
      <c r="L153" s="52"/>
      <c r="M153" s="52"/>
      <c r="N153" s="52"/>
      <c r="O153" s="52"/>
      <c r="P153" s="52"/>
      <c r="Q153" s="52"/>
      <c r="R153" s="52"/>
      <c r="S153" s="52"/>
      <c r="T153" s="52"/>
      <c r="U153" s="52"/>
      <c r="V153" s="50"/>
      <c r="W153" s="50"/>
      <c r="X153" s="50"/>
      <c r="Y153" s="50"/>
      <c r="Z153" s="50"/>
      <c r="AA153" s="50"/>
      <c r="AB153" s="50"/>
      <c r="AC153" s="50"/>
      <c r="AD153" s="50"/>
      <c r="AE153" s="50"/>
      <c r="AF153" s="50"/>
      <c r="AG153" s="50"/>
      <c r="AH153" s="50"/>
      <c r="AI153" s="50"/>
      <c r="AJ153" s="50"/>
      <c r="AK153" s="50"/>
      <c r="AL153" s="50"/>
      <c r="AM153" s="50"/>
      <c r="AN153" s="50"/>
      <c r="AO153" s="52"/>
      <c r="AP153" s="52"/>
      <c r="AQ153" s="52"/>
      <c r="AR153" s="52"/>
      <c r="AS153" s="52"/>
      <c r="AT153" s="52"/>
      <c r="AU153" s="52"/>
      <c r="AV153" s="52"/>
      <c r="AW153" s="52"/>
      <c r="AX153" s="52"/>
      <c r="AY153" s="52"/>
      <c r="AZ153" s="52"/>
      <c r="BA153" s="52"/>
      <c r="BB153" s="52"/>
      <c r="BC153" s="52"/>
      <c r="BD153" s="52"/>
      <c r="BE153" s="52"/>
      <c r="BF153" s="52"/>
    </row>
    <row r="154" spans="1:58">
      <c r="A154" s="52"/>
      <c r="B154" s="52"/>
      <c r="C154" s="52"/>
      <c r="D154" s="52"/>
      <c r="E154" s="52"/>
      <c r="F154" s="52"/>
      <c r="G154" s="52"/>
      <c r="H154" s="52"/>
      <c r="I154" s="52"/>
      <c r="J154" s="52"/>
      <c r="K154" s="52"/>
      <c r="L154" s="52"/>
      <c r="M154" s="52"/>
      <c r="N154" s="52"/>
      <c r="O154" s="52"/>
      <c r="P154" s="52"/>
      <c r="Q154" s="52"/>
      <c r="R154" s="52"/>
      <c r="S154" s="52"/>
      <c r="T154" s="52"/>
      <c r="U154" s="52"/>
      <c r="V154" s="50"/>
      <c r="W154" s="50"/>
      <c r="X154" s="50"/>
      <c r="Y154" s="50"/>
      <c r="Z154" s="50"/>
      <c r="AA154" s="50"/>
      <c r="AB154" s="50"/>
      <c r="AC154" s="50"/>
      <c r="AD154" s="50"/>
      <c r="AE154" s="50"/>
      <c r="AF154" s="50"/>
      <c r="AG154" s="50"/>
      <c r="AH154" s="50"/>
      <c r="AI154" s="50"/>
      <c r="AJ154" s="50"/>
      <c r="AK154" s="50"/>
      <c r="AL154" s="50"/>
      <c r="AM154" s="50"/>
      <c r="AN154" s="50"/>
      <c r="AO154" s="52"/>
      <c r="AP154" s="52"/>
      <c r="AQ154" s="52"/>
      <c r="AR154" s="52"/>
      <c r="AS154" s="52"/>
      <c r="AT154" s="52"/>
      <c r="AU154" s="52"/>
      <c r="AV154" s="52"/>
      <c r="AW154" s="52"/>
      <c r="AX154" s="52"/>
      <c r="AY154" s="52"/>
      <c r="AZ154" s="52"/>
      <c r="BA154" s="52"/>
      <c r="BB154" s="52"/>
      <c r="BC154" s="52"/>
      <c r="BD154" s="52"/>
      <c r="BE154" s="52"/>
      <c r="BF154" s="52"/>
    </row>
    <row r="155" spans="1:58">
      <c r="A155" s="52"/>
      <c r="B155" s="52"/>
      <c r="C155" s="52"/>
      <c r="D155" s="52"/>
      <c r="E155" s="52"/>
      <c r="F155" s="52"/>
      <c r="G155" s="52"/>
      <c r="H155" s="52"/>
      <c r="I155" s="52"/>
      <c r="J155" s="52"/>
      <c r="K155" s="52"/>
      <c r="L155" s="52"/>
      <c r="M155" s="52"/>
      <c r="N155" s="52"/>
      <c r="O155" s="52"/>
      <c r="P155" s="52"/>
      <c r="Q155" s="52"/>
      <c r="R155" s="52"/>
      <c r="S155" s="52"/>
      <c r="T155" s="52"/>
      <c r="U155" s="52"/>
      <c r="V155" s="50"/>
      <c r="W155" s="50"/>
      <c r="X155" s="50"/>
      <c r="Y155" s="50"/>
      <c r="Z155" s="50"/>
      <c r="AA155" s="50"/>
      <c r="AB155" s="50"/>
      <c r="AC155" s="50"/>
      <c r="AD155" s="50"/>
      <c r="AE155" s="50"/>
      <c r="AF155" s="50"/>
      <c r="AG155" s="50"/>
      <c r="AH155" s="50"/>
      <c r="AI155" s="50"/>
      <c r="AJ155" s="50"/>
      <c r="AK155" s="50"/>
      <c r="AL155" s="50"/>
      <c r="AM155" s="50"/>
      <c r="AN155" s="50"/>
      <c r="AO155" s="52"/>
      <c r="AP155" s="52"/>
      <c r="AQ155" s="52"/>
      <c r="AR155" s="52"/>
      <c r="AS155" s="52"/>
      <c r="AT155" s="52"/>
      <c r="AU155" s="52"/>
      <c r="AV155" s="52"/>
      <c r="AW155" s="52"/>
      <c r="AX155" s="52"/>
      <c r="AY155" s="52"/>
      <c r="AZ155" s="52"/>
      <c r="BA155" s="52"/>
      <c r="BB155" s="52"/>
      <c r="BC155" s="52"/>
      <c r="BD155" s="52"/>
      <c r="BE155" s="52"/>
      <c r="BF155" s="52"/>
    </row>
    <row r="156" spans="1:58">
      <c r="A156" s="52"/>
      <c r="B156" s="52"/>
      <c r="C156" s="52"/>
      <c r="D156" s="52"/>
      <c r="E156" s="52"/>
      <c r="F156" s="52"/>
      <c r="G156" s="52"/>
      <c r="H156" s="52"/>
      <c r="I156" s="52"/>
      <c r="J156" s="52"/>
      <c r="K156" s="52"/>
      <c r="L156" s="52"/>
      <c r="M156" s="52"/>
      <c r="N156" s="52"/>
      <c r="O156" s="52"/>
      <c r="P156" s="52"/>
      <c r="Q156" s="52"/>
      <c r="R156" s="52"/>
      <c r="S156" s="52"/>
      <c r="T156" s="52"/>
      <c r="U156" s="52"/>
      <c r="V156" s="50"/>
      <c r="W156" s="50"/>
      <c r="X156" s="50"/>
      <c r="Y156" s="50"/>
      <c r="Z156" s="50"/>
      <c r="AA156" s="50"/>
      <c r="AB156" s="50"/>
      <c r="AC156" s="50"/>
      <c r="AD156" s="50"/>
      <c r="AE156" s="50"/>
      <c r="AF156" s="50"/>
      <c r="AG156" s="50"/>
      <c r="AH156" s="50"/>
      <c r="AI156" s="50"/>
      <c r="AJ156" s="50"/>
      <c r="AK156" s="50"/>
      <c r="AL156" s="50"/>
      <c r="AM156" s="50"/>
      <c r="AN156" s="50"/>
      <c r="AO156" s="52"/>
      <c r="AP156" s="52"/>
      <c r="AQ156" s="52"/>
      <c r="AR156" s="52"/>
      <c r="AS156" s="52"/>
      <c r="AT156" s="52"/>
      <c r="AU156" s="52"/>
      <c r="AV156" s="52"/>
      <c r="AW156" s="52"/>
      <c r="AX156" s="52"/>
      <c r="AY156" s="52"/>
      <c r="AZ156" s="52"/>
      <c r="BA156" s="52"/>
      <c r="BB156" s="52"/>
      <c r="BC156" s="52"/>
      <c r="BD156" s="52"/>
      <c r="BE156" s="52"/>
      <c r="BF156" s="52"/>
    </row>
    <row r="157" spans="1:58">
      <c r="A157" s="52"/>
      <c r="B157" s="52"/>
      <c r="C157" s="52"/>
      <c r="D157" s="52"/>
      <c r="E157" s="52"/>
      <c r="F157" s="52"/>
      <c r="G157" s="52"/>
      <c r="H157" s="52"/>
      <c r="I157" s="52"/>
      <c r="J157" s="52"/>
      <c r="K157" s="52"/>
      <c r="L157" s="52"/>
      <c r="M157" s="52"/>
      <c r="N157" s="52"/>
      <c r="O157" s="52"/>
      <c r="P157" s="52"/>
      <c r="Q157" s="52"/>
      <c r="R157" s="52"/>
      <c r="S157" s="52"/>
      <c r="T157" s="52"/>
      <c r="U157" s="52"/>
      <c r="V157" s="50"/>
      <c r="W157" s="50"/>
      <c r="X157" s="50"/>
      <c r="Y157" s="50"/>
      <c r="Z157" s="50"/>
      <c r="AA157" s="50"/>
      <c r="AB157" s="50"/>
      <c r="AC157" s="50"/>
      <c r="AD157" s="50"/>
      <c r="AE157" s="50"/>
      <c r="AF157" s="50"/>
      <c r="AG157" s="50"/>
      <c r="AH157" s="50"/>
      <c r="AI157" s="50"/>
      <c r="AJ157" s="50"/>
      <c r="AK157" s="50"/>
      <c r="AL157" s="50"/>
      <c r="AM157" s="50"/>
      <c r="AN157" s="50"/>
      <c r="AO157" s="52"/>
      <c r="AP157" s="52"/>
      <c r="AQ157" s="52"/>
      <c r="AR157" s="52"/>
      <c r="AS157" s="52"/>
      <c r="AT157" s="52"/>
      <c r="AU157" s="52"/>
      <c r="AV157" s="52"/>
      <c r="AW157" s="52"/>
      <c r="AX157" s="52"/>
      <c r="AY157" s="52"/>
      <c r="AZ157" s="52"/>
      <c r="BA157" s="52"/>
      <c r="BB157" s="52"/>
      <c r="BC157" s="52"/>
      <c r="BD157" s="52"/>
      <c r="BE157" s="52"/>
      <c r="BF157" s="52"/>
    </row>
    <row r="158" spans="1:58">
      <c r="A158" s="52"/>
      <c r="B158" s="52"/>
      <c r="C158" s="52"/>
      <c r="D158" s="52"/>
      <c r="E158" s="52"/>
      <c r="F158" s="52"/>
      <c r="G158" s="52"/>
      <c r="H158" s="52"/>
      <c r="I158" s="52"/>
      <c r="J158" s="52"/>
      <c r="K158" s="52"/>
      <c r="L158" s="52"/>
      <c r="M158" s="52"/>
      <c r="N158" s="52"/>
      <c r="O158" s="52"/>
      <c r="P158" s="52"/>
      <c r="Q158" s="52"/>
      <c r="R158" s="52"/>
      <c r="S158" s="52"/>
      <c r="T158" s="52"/>
      <c r="U158" s="52"/>
      <c r="V158" s="50"/>
      <c r="W158" s="50"/>
      <c r="X158" s="50"/>
      <c r="Y158" s="50"/>
      <c r="Z158" s="50"/>
      <c r="AA158" s="50"/>
      <c r="AB158" s="50"/>
      <c r="AC158" s="50"/>
      <c r="AD158" s="50"/>
      <c r="AE158" s="50"/>
      <c r="AF158" s="50"/>
      <c r="AG158" s="50"/>
      <c r="AH158" s="50"/>
      <c r="AI158" s="50"/>
      <c r="AJ158" s="50"/>
      <c r="AK158" s="50"/>
      <c r="AL158" s="50"/>
      <c r="AM158" s="50"/>
      <c r="AN158" s="50"/>
      <c r="AO158" s="52"/>
      <c r="AP158" s="52"/>
      <c r="AQ158" s="52"/>
      <c r="AR158" s="52"/>
      <c r="AS158" s="52"/>
      <c r="AT158" s="52"/>
      <c r="AU158" s="52"/>
      <c r="AV158" s="52"/>
      <c r="AW158" s="52"/>
      <c r="AX158" s="52"/>
      <c r="AY158" s="52"/>
      <c r="AZ158" s="52"/>
      <c r="BA158" s="52"/>
      <c r="BB158" s="52"/>
      <c r="BC158" s="52"/>
      <c r="BD158" s="52"/>
      <c r="BE158" s="52"/>
      <c r="BF158" s="52"/>
    </row>
    <row r="159" spans="1:58">
      <c r="A159" s="52"/>
      <c r="B159" s="52"/>
      <c r="C159" s="52"/>
      <c r="D159" s="52"/>
      <c r="E159" s="52"/>
      <c r="F159" s="52"/>
      <c r="G159" s="52"/>
      <c r="H159" s="52"/>
      <c r="I159" s="52"/>
      <c r="J159" s="52"/>
      <c r="K159" s="52"/>
      <c r="L159" s="52"/>
      <c r="M159" s="52"/>
      <c r="N159" s="52"/>
      <c r="O159" s="52"/>
      <c r="P159" s="52"/>
      <c r="Q159" s="52"/>
      <c r="R159" s="52"/>
      <c r="S159" s="52"/>
      <c r="T159" s="52"/>
      <c r="U159" s="52"/>
      <c r="V159" s="50"/>
      <c r="W159" s="50"/>
      <c r="X159" s="50"/>
      <c r="Y159" s="50"/>
      <c r="Z159" s="50"/>
      <c r="AA159" s="50"/>
      <c r="AB159" s="50"/>
      <c r="AC159" s="50"/>
      <c r="AD159" s="50"/>
      <c r="AE159" s="50"/>
      <c r="AF159" s="50"/>
      <c r="AG159" s="50"/>
      <c r="AH159" s="50"/>
      <c r="AI159" s="50"/>
      <c r="AJ159" s="50"/>
      <c r="AK159" s="50"/>
      <c r="AL159" s="50"/>
      <c r="AM159" s="50"/>
      <c r="AN159" s="50"/>
      <c r="AO159" s="52"/>
      <c r="AP159" s="52"/>
      <c r="AQ159" s="52"/>
      <c r="AR159" s="52"/>
      <c r="AS159" s="52"/>
      <c r="AT159" s="52"/>
      <c r="AU159" s="52"/>
      <c r="AV159" s="52"/>
      <c r="AW159" s="52"/>
      <c r="AX159" s="52"/>
      <c r="AY159" s="52"/>
      <c r="AZ159" s="52"/>
      <c r="BA159" s="52"/>
      <c r="BB159" s="52"/>
      <c r="BC159" s="52"/>
      <c r="BD159" s="52"/>
      <c r="BE159" s="52"/>
      <c r="BF159" s="52"/>
    </row>
    <row r="160" spans="1:58">
      <c r="A160" s="52"/>
      <c r="B160" s="52"/>
      <c r="C160" s="52"/>
      <c r="D160" s="52"/>
      <c r="E160" s="52"/>
      <c r="F160" s="52"/>
      <c r="G160" s="52"/>
      <c r="H160" s="52"/>
      <c r="I160" s="52"/>
      <c r="J160" s="52"/>
      <c r="K160" s="52"/>
      <c r="L160" s="52"/>
      <c r="M160" s="52"/>
      <c r="N160" s="52"/>
      <c r="O160" s="52"/>
      <c r="P160" s="52"/>
      <c r="Q160" s="52"/>
      <c r="R160" s="52"/>
      <c r="S160" s="52"/>
      <c r="T160" s="52"/>
      <c r="U160" s="52"/>
      <c r="V160" s="50"/>
      <c r="W160" s="50"/>
      <c r="X160" s="50"/>
      <c r="Y160" s="50"/>
      <c r="Z160" s="50"/>
      <c r="AA160" s="50"/>
      <c r="AB160" s="50"/>
      <c r="AC160" s="50"/>
      <c r="AD160" s="50"/>
      <c r="AE160" s="50"/>
      <c r="AF160" s="50"/>
      <c r="AG160" s="50"/>
      <c r="AH160" s="50"/>
      <c r="AI160" s="50"/>
      <c r="AJ160" s="50"/>
      <c r="AK160" s="50"/>
      <c r="AL160" s="50"/>
      <c r="AM160" s="50"/>
      <c r="AN160" s="50"/>
      <c r="AO160" s="52"/>
      <c r="AP160" s="52"/>
      <c r="AQ160" s="52"/>
      <c r="AR160" s="52"/>
      <c r="AS160" s="52"/>
      <c r="AT160" s="52"/>
      <c r="AU160" s="52"/>
      <c r="AV160" s="52"/>
      <c r="AW160" s="52"/>
      <c r="AX160" s="52"/>
      <c r="AY160" s="52"/>
      <c r="AZ160" s="52"/>
      <c r="BA160" s="52"/>
      <c r="BB160" s="52"/>
      <c r="BC160" s="52"/>
      <c r="BD160" s="52"/>
      <c r="BE160" s="52"/>
      <c r="BF160" s="52"/>
    </row>
    <row r="161" spans="1:58">
      <c r="A161" s="52"/>
      <c r="B161" s="52"/>
      <c r="C161" s="52"/>
      <c r="D161" s="52"/>
      <c r="E161" s="52"/>
      <c r="F161" s="52"/>
      <c r="G161" s="52"/>
      <c r="H161" s="52"/>
      <c r="I161" s="52"/>
      <c r="J161" s="52"/>
      <c r="K161" s="52"/>
      <c r="L161" s="52"/>
      <c r="M161" s="52"/>
      <c r="N161" s="52"/>
      <c r="O161" s="52"/>
      <c r="P161" s="52"/>
      <c r="Q161" s="52"/>
      <c r="R161" s="52"/>
      <c r="S161" s="52"/>
      <c r="T161" s="52"/>
      <c r="U161" s="52"/>
      <c r="V161" s="50"/>
      <c r="W161" s="50"/>
      <c r="X161" s="50"/>
      <c r="Y161" s="50"/>
      <c r="Z161" s="50"/>
      <c r="AA161" s="50"/>
      <c r="AB161" s="50"/>
      <c r="AC161" s="50"/>
      <c r="AD161" s="50"/>
      <c r="AE161" s="50"/>
      <c r="AF161" s="50"/>
      <c r="AG161" s="50"/>
      <c r="AH161" s="50"/>
      <c r="AI161" s="50"/>
      <c r="AJ161" s="50"/>
      <c r="AK161" s="50"/>
      <c r="AL161" s="50"/>
      <c r="AM161" s="50"/>
      <c r="AN161" s="50"/>
      <c r="AO161" s="52"/>
      <c r="AP161" s="52"/>
      <c r="AQ161" s="52"/>
      <c r="AR161" s="52"/>
      <c r="AS161" s="52"/>
      <c r="AT161" s="52"/>
      <c r="AU161" s="52"/>
      <c r="AV161" s="52"/>
      <c r="AW161" s="52"/>
      <c r="AX161" s="52"/>
      <c r="AY161" s="52"/>
      <c r="AZ161" s="52"/>
      <c r="BA161" s="52"/>
      <c r="BB161" s="52"/>
      <c r="BC161" s="52"/>
      <c r="BD161" s="52"/>
      <c r="BE161" s="52"/>
      <c r="BF161" s="52"/>
    </row>
    <row r="162" spans="1:58">
      <c r="A162" s="52"/>
      <c r="B162" s="52"/>
      <c r="C162" s="52"/>
      <c r="D162" s="52"/>
      <c r="E162" s="52"/>
      <c r="F162" s="52"/>
      <c r="G162" s="52"/>
      <c r="H162" s="52"/>
      <c r="I162" s="52"/>
      <c r="J162" s="52"/>
      <c r="K162" s="52"/>
      <c r="L162" s="52"/>
      <c r="M162" s="52"/>
      <c r="N162" s="52"/>
      <c r="O162" s="52"/>
      <c r="P162" s="52"/>
      <c r="Q162" s="52"/>
      <c r="R162" s="52"/>
      <c r="S162" s="52"/>
      <c r="T162" s="52"/>
      <c r="U162" s="52"/>
      <c r="V162" s="50"/>
      <c r="W162" s="50"/>
      <c r="X162" s="50"/>
      <c r="Y162" s="50"/>
      <c r="Z162" s="50"/>
      <c r="AA162" s="50"/>
      <c r="AB162" s="50"/>
      <c r="AC162" s="50"/>
      <c r="AD162" s="50"/>
      <c r="AE162" s="50"/>
      <c r="AF162" s="50"/>
      <c r="AG162" s="50"/>
      <c r="AH162" s="50"/>
      <c r="AI162" s="50"/>
      <c r="AJ162" s="50"/>
      <c r="AK162" s="50"/>
      <c r="AL162" s="50"/>
      <c r="AM162" s="50"/>
      <c r="AN162" s="50"/>
      <c r="AO162" s="52"/>
      <c r="AP162" s="52"/>
      <c r="AQ162" s="52"/>
      <c r="AR162" s="52"/>
      <c r="AS162" s="52"/>
      <c r="AT162" s="52"/>
      <c r="AU162" s="52"/>
      <c r="AV162" s="52"/>
      <c r="AW162" s="52"/>
      <c r="AX162" s="52"/>
      <c r="AY162" s="52"/>
      <c r="AZ162" s="52"/>
      <c r="BA162" s="52"/>
      <c r="BB162" s="52"/>
      <c r="BC162" s="52"/>
      <c r="BD162" s="52"/>
      <c r="BE162" s="52"/>
      <c r="BF162" s="52"/>
    </row>
    <row r="163" spans="1:58">
      <c r="A163" s="52"/>
      <c r="B163" s="52"/>
      <c r="C163" s="52"/>
      <c r="D163" s="52"/>
      <c r="E163" s="52"/>
      <c r="F163" s="52"/>
      <c r="G163" s="52"/>
      <c r="H163" s="52"/>
      <c r="I163" s="52"/>
      <c r="J163" s="52"/>
      <c r="K163" s="52"/>
      <c r="L163" s="52"/>
      <c r="M163" s="52"/>
      <c r="N163" s="52"/>
      <c r="O163" s="52"/>
      <c r="P163" s="52"/>
      <c r="Q163" s="52"/>
      <c r="R163" s="52"/>
      <c r="S163" s="52"/>
      <c r="T163" s="52"/>
      <c r="U163" s="52"/>
      <c r="V163" s="50"/>
      <c r="W163" s="50"/>
      <c r="X163" s="50"/>
      <c r="Y163" s="50"/>
      <c r="Z163" s="50"/>
      <c r="AA163" s="50"/>
      <c r="AB163" s="50"/>
      <c r="AC163" s="50"/>
      <c r="AD163" s="50"/>
      <c r="AE163" s="50"/>
      <c r="AF163" s="50"/>
      <c r="AG163" s="50"/>
      <c r="AH163" s="50"/>
      <c r="AI163" s="50"/>
      <c r="AJ163" s="50"/>
      <c r="AK163" s="50"/>
      <c r="AL163" s="50"/>
      <c r="AM163" s="50"/>
      <c r="AN163" s="50"/>
      <c r="AO163" s="52"/>
      <c r="AP163" s="52"/>
      <c r="AQ163" s="52"/>
      <c r="AR163" s="52"/>
      <c r="AS163" s="52"/>
      <c r="AT163" s="52"/>
      <c r="AU163" s="52"/>
      <c r="AV163" s="52"/>
      <c r="AW163" s="52"/>
      <c r="AX163" s="52"/>
      <c r="AY163" s="52"/>
      <c r="AZ163" s="52"/>
      <c r="BA163" s="52"/>
      <c r="BB163" s="52"/>
      <c r="BC163" s="52"/>
      <c r="BD163" s="52"/>
      <c r="BE163" s="52"/>
      <c r="BF163" s="52"/>
    </row>
    <row r="164" spans="1:58">
      <c r="A164" s="52"/>
      <c r="B164" s="52"/>
      <c r="C164" s="52"/>
      <c r="D164" s="52"/>
      <c r="E164" s="52"/>
      <c r="F164" s="52"/>
      <c r="G164" s="52"/>
      <c r="H164" s="52"/>
      <c r="I164" s="52"/>
      <c r="J164" s="52"/>
      <c r="K164" s="52"/>
      <c r="L164" s="52"/>
      <c r="M164" s="52"/>
      <c r="N164" s="52"/>
      <c r="O164" s="52"/>
      <c r="P164" s="52"/>
      <c r="Q164" s="52"/>
      <c r="R164" s="52"/>
      <c r="S164" s="52"/>
      <c r="T164" s="52"/>
      <c r="U164" s="52"/>
      <c r="V164" s="50"/>
      <c r="W164" s="50"/>
      <c r="X164" s="50"/>
      <c r="Y164" s="50"/>
      <c r="Z164" s="50"/>
      <c r="AA164" s="50"/>
      <c r="AB164" s="50"/>
      <c r="AC164" s="50"/>
      <c r="AD164" s="50"/>
      <c r="AE164" s="50"/>
      <c r="AF164" s="50"/>
      <c r="AG164" s="50"/>
      <c r="AH164" s="50"/>
      <c r="AI164" s="50"/>
      <c r="AJ164" s="50"/>
      <c r="AK164" s="50"/>
      <c r="AL164" s="50"/>
      <c r="AM164" s="50"/>
      <c r="AN164" s="50"/>
      <c r="AO164" s="52"/>
      <c r="AP164" s="52"/>
      <c r="AQ164" s="52"/>
      <c r="AR164" s="52"/>
      <c r="AS164" s="52"/>
      <c r="AT164" s="52"/>
      <c r="AU164" s="52"/>
      <c r="AV164" s="52"/>
      <c r="AW164" s="52"/>
      <c r="AX164" s="52"/>
      <c r="AY164" s="52"/>
      <c r="AZ164" s="52"/>
      <c r="BA164" s="52"/>
      <c r="BB164" s="52"/>
      <c r="BC164" s="52"/>
      <c r="BD164" s="52"/>
      <c r="BE164" s="52"/>
      <c r="BF164" s="52"/>
    </row>
    <row r="165" spans="1:58">
      <c r="A165" s="52"/>
      <c r="B165" s="52"/>
      <c r="C165" s="52"/>
      <c r="D165" s="52"/>
      <c r="E165" s="52"/>
      <c r="F165" s="52"/>
      <c r="G165" s="52"/>
      <c r="H165" s="52"/>
      <c r="I165" s="52"/>
      <c r="J165" s="52"/>
      <c r="K165" s="52"/>
      <c r="L165" s="52"/>
      <c r="M165" s="52"/>
      <c r="N165" s="52"/>
      <c r="O165" s="52"/>
      <c r="P165" s="52"/>
      <c r="Q165" s="52"/>
      <c r="R165" s="52"/>
      <c r="S165" s="52"/>
      <c r="T165" s="52"/>
      <c r="U165" s="52"/>
      <c r="V165" s="50"/>
      <c r="W165" s="50"/>
      <c r="X165" s="50"/>
      <c r="Y165" s="50"/>
      <c r="Z165" s="50"/>
      <c r="AA165" s="50"/>
      <c r="AB165" s="50"/>
      <c r="AC165" s="50"/>
      <c r="AD165" s="50"/>
      <c r="AE165" s="50"/>
      <c r="AF165" s="50"/>
      <c r="AG165" s="50"/>
      <c r="AH165" s="50"/>
      <c r="AI165" s="50"/>
      <c r="AJ165" s="50"/>
      <c r="AK165" s="50"/>
      <c r="AL165" s="50"/>
      <c r="AM165" s="50"/>
      <c r="AN165" s="50"/>
      <c r="AO165" s="52"/>
      <c r="AP165" s="52"/>
      <c r="AQ165" s="52"/>
      <c r="AR165" s="52"/>
      <c r="AS165" s="52"/>
      <c r="AT165" s="52"/>
      <c r="AU165" s="52"/>
      <c r="AV165" s="52"/>
      <c r="AW165" s="52"/>
      <c r="AX165" s="52"/>
      <c r="AY165" s="52"/>
      <c r="AZ165" s="52"/>
      <c r="BA165" s="52"/>
      <c r="BB165" s="52"/>
      <c r="BC165" s="52"/>
      <c r="BD165" s="52"/>
      <c r="BE165" s="52"/>
      <c r="BF165" s="52"/>
    </row>
    <row r="166" spans="1:58">
      <c r="A166" s="52"/>
      <c r="B166" s="52"/>
      <c r="C166" s="52"/>
      <c r="D166" s="52"/>
      <c r="E166" s="52"/>
      <c r="F166" s="52"/>
      <c r="G166" s="52"/>
      <c r="H166" s="52"/>
      <c r="I166" s="52"/>
      <c r="J166" s="52"/>
      <c r="K166" s="52"/>
      <c r="L166" s="52"/>
      <c r="M166" s="52"/>
      <c r="N166" s="52"/>
      <c r="O166" s="52"/>
      <c r="P166" s="52"/>
      <c r="Q166" s="52"/>
      <c r="R166" s="52"/>
      <c r="S166" s="52"/>
      <c r="T166" s="52"/>
      <c r="U166" s="52"/>
      <c r="V166" s="50"/>
      <c r="W166" s="50"/>
      <c r="X166" s="50"/>
      <c r="Y166" s="50"/>
      <c r="Z166" s="50"/>
      <c r="AA166" s="50"/>
      <c r="AB166" s="50"/>
      <c r="AC166" s="50"/>
      <c r="AD166" s="50"/>
      <c r="AE166" s="50"/>
      <c r="AF166" s="50"/>
      <c r="AG166" s="50"/>
      <c r="AH166" s="50"/>
      <c r="AI166" s="50"/>
      <c r="AJ166" s="50"/>
      <c r="AK166" s="50"/>
      <c r="AL166" s="50"/>
      <c r="AM166" s="50"/>
      <c r="AN166" s="50"/>
      <c r="AO166" s="52"/>
      <c r="AP166" s="52"/>
      <c r="AQ166" s="52"/>
      <c r="AR166" s="52"/>
      <c r="AS166" s="52"/>
      <c r="AT166" s="52"/>
      <c r="AU166" s="52"/>
      <c r="AV166" s="52"/>
      <c r="AW166" s="52"/>
      <c r="AX166" s="52"/>
      <c r="AY166" s="52"/>
      <c r="AZ166" s="52"/>
      <c r="BA166" s="52"/>
      <c r="BB166" s="52"/>
      <c r="BC166" s="52"/>
      <c r="BD166" s="52"/>
      <c r="BE166" s="52"/>
      <c r="BF166" s="52"/>
    </row>
    <row r="167" spans="1:58">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row>
    <row r="168" spans="1:58">
      <c r="A168" s="52"/>
      <c r="B168" s="52"/>
      <c r="C168" s="52"/>
      <c r="D168" s="52"/>
      <c r="E168" s="52"/>
      <c r="F168" s="52"/>
      <c r="G168" s="52"/>
      <c r="H168" s="52"/>
      <c r="I168" s="52"/>
      <c r="J168" s="52"/>
      <c r="K168" s="52"/>
      <c r="L168" s="52"/>
      <c r="M168" s="52"/>
      <c r="N168" s="52"/>
      <c r="O168" s="52"/>
      <c r="P168" s="52"/>
      <c r="Q168" s="52"/>
      <c r="R168" s="52"/>
      <c r="S168" s="52"/>
      <c r="T168" s="52"/>
      <c r="U168" s="52"/>
      <c r="V168" s="50"/>
      <c r="W168" s="50"/>
      <c r="X168" s="50"/>
      <c r="Y168" s="50"/>
      <c r="Z168" s="50"/>
      <c r="AA168" s="50"/>
      <c r="AB168" s="50"/>
      <c r="AC168" s="50"/>
      <c r="AD168" s="50"/>
      <c r="AE168" s="50"/>
      <c r="AF168" s="50"/>
      <c r="AG168" s="50"/>
      <c r="AH168" s="50"/>
      <c r="AI168" s="50"/>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row>
    <row r="169" spans="1:58">
      <c r="A169" s="52"/>
      <c r="B169" s="52"/>
      <c r="C169" s="52"/>
      <c r="D169" s="52"/>
      <c r="E169" s="52"/>
      <c r="F169" s="52"/>
      <c r="G169" s="52"/>
      <c r="H169" s="52"/>
      <c r="I169" s="52"/>
      <c r="J169" s="52"/>
      <c r="K169" s="52"/>
      <c r="L169" s="52"/>
      <c r="M169" s="52"/>
      <c r="N169" s="52"/>
      <c r="O169" s="52"/>
      <c r="P169" s="52"/>
      <c r="Q169" s="52"/>
      <c r="R169" s="52"/>
      <c r="S169" s="52"/>
      <c r="T169" s="52"/>
      <c r="U169" s="52"/>
      <c r="V169" s="50"/>
      <c r="W169" s="50"/>
      <c r="X169" s="50"/>
      <c r="Y169" s="50"/>
      <c r="Z169" s="50"/>
      <c r="AA169" s="50"/>
      <c r="AB169" s="50"/>
      <c r="AC169" s="50"/>
      <c r="AD169" s="50"/>
      <c r="AE169" s="50"/>
      <c r="AF169" s="50"/>
      <c r="AG169" s="50"/>
      <c r="AH169" s="50"/>
      <c r="AI169" s="50"/>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row>
    <row r="170" spans="1:58">
      <c r="A170" s="52"/>
      <c r="B170" s="52"/>
      <c r="C170" s="52"/>
      <c r="D170" s="52"/>
      <c r="E170" s="52"/>
      <c r="F170" s="52"/>
      <c r="G170" s="52"/>
      <c r="H170" s="52"/>
      <c r="I170" s="52"/>
      <c r="J170" s="52"/>
      <c r="K170" s="52"/>
      <c r="L170" s="52"/>
      <c r="M170" s="52"/>
      <c r="N170" s="52"/>
      <c r="O170" s="52"/>
      <c r="P170" s="52"/>
      <c r="Q170" s="52"/>
      <c r="R170" s="52"/>
      <c r="S170" s="52"/>
      <c r="T170" s="52"/>
      <c r="U170" s="52"/>
      <c r="V170" s="50"/>
      <c r="W170" s="50"/>
      <c r="X170" s="50"/>
      <c r="Y170" s="50"/>
      <c r="Z170" s="50"/>
      <c r="AA170" s="50"/>
      <c r="AB170" s="50"/>
      <c r="AC170" s="50"/>
      <c r="AD170" s="50"/>
      <c r="AE170" s="50"/>
      <c r="AF170" s="50"/>
      <c r="AG170" s="50"/>
      <c r="AH170" s="50"/>
      <c r="AI170" s="50"/>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row>
    <row r="171" spans="1:58">
      <c r="A171" s="52"/>
      <c r="B171" s="52"/>
      <c r="C171" s="52"/>
      <c r="D171" s="52"/>
      <c r="E171" s="52"/>
      <c r="F171" s="52"/>
      <c r="G171" s="52"/>
      <c r="H171" s="52"/>
      <c r="I171" s="52"/>
      <c r="J171" s="52"/>
      <c r="K171" s="52"/>
      <c r="L171" s="52"/>
      <c r="M171" s="52"/>
      <c r="N171" s="52"/>
      <c r="O171" s="52"/>
      <c r="P171" s="52"/>
      <c r="Q171" s="52"/>
      <c r="R171" s="52"/>
      <c r="S171" s="52"/>
      <c r="T171" s="52"/>
      <c r="U171" s="52"/>
      <c r="V171" s="50"/>
      <c r="W171" s="50"/>
      <c r="X171" s="50"/>
      <c r="Y171" s="50"/>
      <c r="Z171" s="50"/>
      <c r="AA171" s="50"/>
      <c r="AB171" s="50"/>
      <c r="AC171" s="50"/>
      <c r="AD171" s="50"/>
      <c r="AE171" s="50"/>
      <c r="AF171" s="50"/>
      <c r="AG171" s="50"/>
      <c r="AH171" s="50"/>
      <c r="AI171" s="50"/>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row>
    <row r="172" spans="1:58">
      <c r="A172" s="52"/>
      <c r="B172" s="52"/>
      <c r="C172" s="52"/>
      <c r="D172" s="52"/>
      <c r="E172" s="52"/>
      <c r="F172" s="52"/>
      <c r="G172" s="52"/>
      <c r="H172" s="52"/>
      <c r="I172" s="52"/>
      <c r="J172" s="52"/>
      <c r="K172" s="52"/>
      <c r="L172" s="52"/>
      <c r="M172" s="52"/>
      <c r="N172" s="52"/>
      <c r="O172" s="52"/>
      <c r="P172" s="52"/>
      <c r="Q172" s="52"/>
      <c r="R172" s="52"/>
      <c r="S172" s="52"/>
      <c r="T172" s="52"/>
      <c r="U172" s="52"/>
      <c r="V172" s="50"/>
      <c r="W172" s="50"/>
      <c r="X172" s="50"/>
      <c r="Y172" s="50"/>
      <c r="Z172" s="50"/>
      <c r="AA172" s="50"/>
      <c r="AB172" s="50"/>
      <c r="AC172" s="50"/>
      <c r="AD172" s="50"/>
      <c r="AE172" s="50"/>
      <c r="AF172" s="50"/>
      <c r="AG172" s="50"/>
      <c r="AH172" s="50"/>
      <c r="AI172" s="50"/>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row>
    <row r="173" spans="1:58">
      <c r="A173" s="52"/>
      <c r="B173" s="52"/>
      <c r="C173" s="52"/>
      <c r="D173" s="52"/>
      <c r="E173" s="52"/>
      <c r="F173" s="52"/>
      <c r="G173" s="52"/>
      <c r="H173" s="52"/>
      <c r="I173" s="52"/>
      <c r="J173" s="52"/>
      <c r="K173" s="52"/>
      <c r="L173" s="52"/>
      <c r="M173" s="52"/>
      <c r="N173" s="52"/>
      <c r="O173" s="52"/>
      <c r="P173" s="52"/>
      <c r="Q173" s="52"/>
      <c r="R173" s="52"/>
      <c r="S173" s="52"/>
      <c r="T173" s="52"/>
      <c r="U173" s="52"/>
      <c r="V173" s="50"/>
      <c r="W173" s="50"/>
      <c r="X173" s="50"/>
      <c r="Y173" s="50"/>
      <c r="Z173" s="50"/>
      <c r="AA173" s="50"/>
      <c r="AB173" s="50"/>
      <c r="AC173" s="50"/>
      <c r="AD173" s="50"/>
      <c r="AE173" s="50"/>
      <c r="AF173" s="50"/>
      <c r="AG173" s="50"/>
      <c r="AH173" s="50"/>
      <c r="AI173" s="50"/>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row>
    <row r="174" spans="1:58">
      <c r="A174" s="52"/>
      <c r="B174" s="52"/>
      <c r="C174" s="52"/>
      <c r="D174" s="52"/>
      <c r="E174" s="52"/>
      <c r="F174" s="52"/>
      <c r="G174" s="52"/>
      <c r="H174" s="52"/>
      <c r="I174" s="52"/>
      <c r="J174" s="52"/>
      <c r="K174" s="52"/>
      <c r="L174" s="52"/>
      <c r="M174" s="52"/>
      <c r="N174" s="52"/>
      <c r="O174" s="52"/>
      <c r="P174" s="52"/>
      <c r="Q174" s="52"/>
      <c r="R174" s="52"/>
      <c r="S174" s="52"/>
      <c r="T174" s="52"/>
      <c r="U174" s="52"/>
      <c r="V174" s="50"/>
      <c r="W174" s="50"/>
      <c r="X174" s="50"/>
      <c r="Y174" s="50"/>
      <c r="Z174" s="50"/>
      <c r="AA174" s="50"/>
      <c r="AB174" s="50"/>
      <c r="AC174" s="50"/>
      <c r="AD174" s="50"/>
      <c r="AE174" s="50"/>
      <c r="AF174" s="50"/>
      <c r="AG174" s="50"/>
      <c r="AH174" s="50"/>
      <c r="AI174" s="50"/>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row>
    <row r="175" spans="1:58">
      <c r="A175" s="52"/>
      <c r="B175" s="52"/>
      <c r="C175" s="52"/>
      <c r="D175" s="52"/>
      <c r="E175" s="52"/>
      <c r="F175" s="52"/>
      <c r="G175" s="52"/>
      <c r="H175" s="52"/>
      <c r="I175" s="52"/>
      <c r="J175" s="52"/>
      <c r="K175" s="52"/>
      <c r="L175" s="52"/>
      <c r="M175" s="52"/>
      <c r="N175" s="52"/>
      <c r="O175" s="52"/>
      <c r="P175" s="52"/>
      <c r="Q175" s="52"/>
      <c r="R175" s="52"/>
      <c r="S175" s="52"/>
      <c r="T175" s="52"/>
      <c r="U175" s="52"/>
      <c r="V175" s="50"/>
      <c r="W175" s="50"/>
      <c r="X175" s="50"/>
      <c r="Y175" s="50"/>
      <c r="Z175" s="50"/>
      <c r="AA175" s="50"/>
      <c r="AB175" s="50"/>
      <c r="AC175" s="50"/>
      <c r="AD175" s="50"/>
      <c r="AE175" s="50"/>
      <c r="AF175" s="50"/>
      <c r="AG175" s="50"/>
      <c r="AH175" s="50"/>
      <c r="AI175" s="50"/>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row>
    <row r="176" spans="1:58">
      <c r="A176" s="52"/>
      <c r="B176" s="52"/>
      <c r="C176" s="52"/>
      <c r="D176" s="52"/>
      <c r="E176" s="52"/>
      <c r="F176" s="52"/>
      <c r="G176" s="52"/>
      <c r="H176" s="52"/>
      <c r="I176" s="52"/>
      <c r="J176" s="52"/>
      <c r="K176" s="52"/>
      <c r="L176" s="52"/>
      <c r="M176" s="52"/>
      <c r="N176" s="52"/>
      <c r="O176" s="52"/>
      <c r="P176" s="52"/>
      <c r="Q176" s="52"/>
      <c r="R176" s="52"/>
      <c r="S176" s="52"/>
      <c r="T176" s="52"/>
      <c r="U176" s="52"/>
      <c r="V176" s="50"/>
      <c r="W176" s="50"/>
      <c r="X176" s="50"/>
      <c r="Y176" s="50"/>
      <c r="Z176" s="50"/>
      <c r="AA176" s="50"/>
      <c r="AB176" s="50"/>
      <c r="AC176" s="50"/>
      <c r="AD176" s="50"/>
      <c r="AE176" s="50"/>
      <c r="AF176" s="50"/>
      <c r="AG176" s="50"/>
      <c r="AH176" s="50"/>
      <c r="AI176" s="50"/>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row>
    <row r="177" spans="1:58">
      <c r="A177" s="52"/>
      <c r="B177" s="52"/>
      <c r="C177" s="52"/>
      <c r="D177" s="52"/>
      <c r="E177" s="52"/>
      <c r="F177" s="52"/>
      <c r="G177" s="52"/>
      <c r="H177" s="52"/>
      <c r="I177" s="52"/>
      <c r="J177" s="52"/>
      <c r="K177" s="52"/>
      <c r="L177" s="52"/>
      <c r="M177" s="52"/>
      <c r="N177" s="52"/>
      <c r="O177" s="52"/>
      <c r="P177" s="52"/>
      <c r="Q177" s="52"/>
      <c r="R177" s="52"/>
      <c r="S177" s="52"/>
      <c r="T177" s="52"/>
      <c r="U177" s="52"/>
      <c r="V177" s="50"/>
      <c r="W177" s="50"/>
      <c r="X177" s="50"/>
      <c r="Y177" s="50"/>
      <c r="Z177" s="50"/>
      <c r="AA177" s="50"/>
      <c r="AB177" s="50"/>
      <c r="AC177" s="50"/>
      <c r="AD177" s="50"/>
      <c r="AE177" s="50"/>
      <c r="AF177" s="50"/>
      <c r="AG177" s="50"/>
      <c r="AH177" s="50"/>
      <c r="AI177" s="50"/>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row>
    <row r="178" spans="1:58">
      <c r="A178" s="52"/>
      <c r="B178" s="52"/>
      <c r="C178" s="52"/>
      <c r="D178" s="52"/>
      <c r="E178" s="52"/>
      <c r="F178" s="52"/>
      <c r="G178" s="52"/>
      <c r="H178" s="52"/>
      <c r="I178" s="52"/>
      <c r="J178" s="52"/>
      <c r="K178" s="52"/>
      <c r="L178" s="52"/>
      <c r="M178" s="52"/>
      <c r="N178" s="52"/>
      <c r="O178" s="52"/>
      <c r="P178" s="52"/>
      <c r="Q178" s="52"/>
      <c r="R178" s="52"/>
      <c r="S178" s="52"/>
      <c r="T178" s="52"/>
      <c r="U178" s="52"/>
      <c r="V178" s="50"/>
      <c r="W178" s="50"/>
      <c r="X178" s="50"/>
      <c r="Y178" s="50"/>
      <c r="Z178" s="50"/>
      <c r="AA178" s="50"/>
      <c r="AB178" s="50"/>
      <c r="AC178" s="50"/>
      <c r="AD178" s="50"/>
      <c r="AE178" s="50"/>
      <c r="AF178" s="50"/>
      <c r="AG178" s="50"/>
      <c r="AH178" s="50"/>
      <c r="AI178" s="50"/>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row>
    <row r="179" spans="1:58">
      <c r="A179" s="52"/>
      <c r="B179" s="52"/>
      <c r="C179" s="52"/>
      <c r="D179" s="52"/>
      <c r="E179" s="52"/>
      <c r="F179" s="52"/>
      <c r="G179" s="52"/>
      <c r="H179" s="52"/>
      <c r="I179" s="52"/>
      <c r="J179" s="52"/>
      <c r="K179" s="52"/>
      <c r="L179" s="52"/>
      <c r="M179" s="52"/>
      <c r="N179" s="52"/>
      <c r="O179" s="52"/>
      <c r="P179" s="52"/>
      <c r="Q179" s="52"/>
      <c r="R179" s="52"/>
      <c r="S179" s="52"/>
      <c r="T179" s="52"/>
      <c r="U179" s="52"/>
      <c r="V179" s="50"/>
      <c r="W179" s="50"/>
      <c r="X179" s="50"/>
      <c r="Y179" s="50"/>
      <c r="Z179" s="50"/>
      <c r="AA179" s="50"/>
      <c r="AB179" s="50"/>
      <c r="AC179" s="50"/>
      <c r="AD179" s="50"/>
      <c r="AE179" s="50"/>
      <c r="AF179" s="50"/>
      <c r="AG179" s="50"/>
      <c r="AH179" s="50"/>
      <c r="AI179" s="50"/>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row>
    <row r="180" spans="1:58">
      <c r="A180" s="52"/>
      <c r="B180" s="52"/>
      <c r="C180" s="52"/>
      <c r="D180" s="52"/>
      <c r="E180" s="52"/>
      <c r="F180" s="52"/>
      <c r="G180" s="52"/>
      <c r="H180" s="52"/>
      <c r="I180" s="52"/>
      <c r="J180" s="52"/>
      <c r="K180" s="52"/>
      <c r="L180" s="52"/>
      <c r="M180" s="52"/>
      <c r="N180" s="52"/>
      <c r="O180" s="52"/>
      <c r="P180" s="52"/>
      <c r="Q180" s="52"/>
      <c r="R180" s="52"/>
      <c r="S180" s="52"/>
      <c r="T180" s="52"/>
      <c r="U180" s="52"/>
      <c r="V180" s="50"/>
      <c r="W180" s="50"/>
      <c r="X180" s="50"/>
      <c r="Y180" s="50"/>
      <c r="Z180" s="50"/>
      <c r="AA180" s="50"/>
      <c r="AB180" s="50"/>
      <c r="AC180" s="50"/>
      <c r="AD180" s="50"/>
      <c r="AE180" s="50"/>
      <c r="AF180" s="50"/>
      <c r="AG180" s="50"/>
      <c r="AH180" s="50"/>
      <c r="AI180" s="50"/>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row>
    <row r="181" spans="1:58">
      <c r="A181" s="52"/>
      <c r="B181" s="52"/>
      <c r="C181" s="52"/>
      <c r="D181" s="52"/>
      <c r="E181" s="52"/>
      <c r="F181" s="52"/>
      <c r="G181" s="52"/>
      <c r="H181" s="52"/>
      <c r="I181" s="52"/>
      <c r="J181" s="52"/>
      <c r="K181" s="52"/>
      <c r="L181" s="52"/>
      <c r="M181" s="52"/>
      <c r="N181" s="52"/>
      <c r="O181" s="52"/>
      <c r="P181" s="52"/>
      <c r="Q181" s="52"/>
      <c r="R181" s="52"/>
      <c r="S181" s="52"/>
      <c r="T181" s="52"/>
      <c r="U181" s="52"/>
      <c r="V181" s="50"/>
      <c r="W181" s="50"/>
      <c r="X181" s="50"/>
      <c r="Y181" s="50"/>
      <c r="Z181" s="50"/>
      <c r="AA181" s="50"/>
      <c r="AB181" s="50"/>
      <c r="AC181" s="50"/>
      <c r="AD181" s="50"/>
      <c r="AE181" s="50"/>
      <c r="AF181" s="50"/>
      <c r="AG181" s="50"/>
      <c r="AH181" s="50"/>
      <c r="AI181" s="50"/>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row>
    <row r="182" spans="1:58">
      <c r="A182" s="52"/>
      <c r="B182" s="52"/>
      <c r="C182" s="52"/>
      <c r="D182" s="52"/>
      <c r="E182" s="52"/>
      <c r="F182" s="52"/>
      <c r="G182" s="52"/>
      <c r="H182" s="52"/>
      <c r="I182" s="52"/>
      <c r="J182" s="52"/>
      <c r="K182" s="52"/>
      <c r="L182" s="52"/>
      <c r="M182" s="52"/>
      <c r="N182" s="52"/>
      <c r="O182" s="52"/>
      <c r="P182" s="52"/>
      <c r="Q182" s="52"/>
      <c r="R182" s="52"/>
      <c r="S182" s="52"/>
      <c r="T182" s="52"/>
      <c r="U182" s="52"/>
      <c r="V182" s="50"/>
      <c r="W182" s="50"/>
      <c r="X182" s="50"/>
      <c r="Y182" s="50"/>
      <c r="Z182" s="50"/>
      <c r="AA182" s="50"/>
      <c r="AB182" s="50"/>
      <c r="AC182" s="50"/>
      <c r="AD182" s="50"/>
      <c r="AE182" s="50"/>
      <c r="AF182" s="50"/>
      <c r="AG182" s="50"/>
      <c r="AH182" s="50"/>
      <c r="AI182" s="50"/>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row>
    <row r="183" spans="1:58">
      <c r="A183" s="52"/>
      <c r="B183" s="52"/>
      <c r="C183" s="52"/>
      <c r="D183" s="52"/>
      <c r="E183" s="52"/>
      <c r="F183" s="52"/>
      <c r="G183" s="52"/>
      <c r="H183" s="52"/>
      <c r="I183" s="52"/>
      <c r="J183" s="52"/>
      <c r="K183" s="52"/>
      <c r="L183" s="52"/>
      <c r="M183" s="52"/>
      <c r="N183" s="52"/>
      <c r="O183" s="52"/>
      <c r="P183" s="52"/>
      <c r="Q183" s="52"/>
      <c r="R183" s="52"/>
      <c r="S183" s="52"/>
      <c r="T183" s="52"/>
      <c r="U183" s="52"/>
      <c r="V183" s="50"/>
      <c r="W183" s="50"/>
      <c r="X183" s="50"/>
      <c r="Y183" s="50"/>
      <c r="Z183" s="50"/>
      <c r="AA183" s="50"/>
      <c r="AB183" s="50"/>
      <c r="AC183" s="50"/>
      <c r="AD183" s="50"/>
      <c r="AE183" s="50"/>
      <c r="AF183" s="50"/>
      <c r="AG183" s="50"/>
      <c r="AH183" s="50"/>
      <c r="AI183" s="50"/>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row>
    <row r="184" spans="1:58">
      <c r="A184" s="52"/>
      <c r="B184" s="52"/>
      <c r="C184" s="52"/>
      <c r="D184" s="52"/>
      <c r="E184" s="52"/>
      <c r="F184" s="52"/>
      <c r="G184" s="52"/>
      <c r="H184" s="52"/>
      <c r="I184" s="52"/>
      <c r="J184" s="52"/>
      <c r="K184" s="52"/>
      <c r="L184" s="52"/>
      <c r="M184" s="52"/>
      <c r="N184" s="52"/>
      <c r="O184" s="52"/>
      <c r="P184" s="52"/>
      <c r="Q184" s="52"/>
      <c r="R184" s="52"/>
      <c r="S184" s="52"/>
      <c r="T184" s="52"/>
      <c r="U184" s="52"/>
      <c r="V184" s="50"/>
      <c r="W184" s="50"/>
      <c r="X184" s="50"/>
      <c r="Y184" s="50"/>
      <c r="Z184" s="50"/>
      <c r="AA184" s="50"/>
      <c r="AB184" s="50"/>
      <c r="AC184" s="50"/>
      <c r="AD184" s="50"/>
      <c r="AE184" s="50"/>
      <c r="AF184" s="50"/>
      <c r="AG184" s="50"/>
      <c r="AH184" s="50"/>
      <c r="AI184" s="50"/>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row>
    <row r="185" spans="1:58">
      <c r="A185" s="52"/>
      <c r="B185" s="52"/>
      <c r="C185" s="52"/>
      <c r="D185" s="52"/>
      <c r="E185" s="52"/>
      <c r="F185" s="52"/>
      <c r="G185" s="52"/>
      <c r="H185" s="52"/>
      <c r="I185" s="52"/>
      <c r="J185" s="52"/>
      <c r="K185" s="52"/>
      <c r="L185" s="52"/>
      <c r="M185" s="52"/>
      <c r="N185" s="52"/>
      <c r="O185" s="52"/>
      <c r="P185" s="52"/>
      <c r="Q185" s="52"/>
      <c r="R185" s="52"/>
      <c r="S185" s="52"/>
      <c r="T185" s="52"/>
      <c r="U185" s="52"/>
      <c r="V185" s="50"/>
      <c r="W185" s="50"/>
      <c r="X185" s="50"/>
      <c r="Y185" s="50"/>
      <c r="Z185" s="50"/>
      <c r="AA185" s="50"/>
      <c r="AB185" s="50"/>
      <c r="AC185" s="50"/>
      <c r="AD185" s="50"/>
      <c r="AE185" s="50"/>
      <c r="AF185" s="50"/>
      <c r="AG185" s="50"/>
      <c r="AH185" s="50"/>
      <c r="AI185" s="50"/>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row>
    <row r="186" spans="1:58">
      <c r="A186" s="52"/>
      <c r="B186" s="52"/>
      <c r="C186" s="52"/>
      <c r="D186" s="52"/>
      <c r="E186" s="52"/>
      <c r="F186" s="52"/>
      <c r="G186" s="52"/>
      <c r="H186" s="52"/>
      <c r="I186" s="52"/>
      <c r="J186" s="52"/>
      <c r="K186" s="52"/>
      <c r="L186" s="52"/>
      <c r="M186" s="52"/>
      <c r="N186" s="52"/>
      <c r="O186" s="52"/>
      <c r="P186" s="52"/>
      <c r="Q186" s="52"/>
      <c r="R186" s="52"/>
      <c r="S186" s="52"/>
      <c r="T186" s="52"/>
      <c r="U186" s="52"/>
      <c r="V186" s="50"/>
      <c r="W186" s="50"/>
      <c r="X186" s="50"/>
      <c r="Y186" s="50"/>
      <c r="Z186" s="50"/>
      <c r="AA186" s="50"/>
      <c r="AB186" s="50"/>
      <c r="AC186" s="50"/>
      <c r="AD186" s="50"/>
      <c r="AE186" s="50"/>
      <c r="AF186" s="50"/>
      <c r="AG186" s="50"/>
      <c r="AH186" s="50"/>
      <c r="AI186" s="50"/>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row>
    <row r="187" spans="1:58">
      <c r="A187" s="52"/>
      <c r="B187" s="52"/>
      <c r="C187" s="52"/>
      <c r="D187" s="52"/>
      <c r="E187" s="52"/>
      <c r="F187" s="52"/>
      <c r="G187" s="52"/>
      <c r="H187" s="52"/>
      <c r="I187" s="52"/>
      <c r="J187" s="52"/>
      <c r="K187" s="52"/>
      <c r="L187" s="52"/>
      <c r="M187" s="52"/>
      <c r="N187" s="52"/>
      <c r="O187" s="52"/>
      <c r="P187" s="52"/>
      <c r="Q187" s="52"/>
      <c r="R187" s="52"/>
      <c r="S187" s="52"/>
      <c r="T187" s="52"/>
      <c r="U187" s="52"/>
      <c r="V187" s="50"/>
      <c r="W187" s="50"/>
      <c r="X187" s="50"/>
      <c r="Y187" s="50"/>
      <c r="Z187" s="50"/>
      <c r="AA187" s="50"/>
      <c r="AB187" s="50"/>
      <c r="AC187" s="50"/>
      <c r="AD187" s="50"/>
      <c r="AE187" s="50"/>
      <c r="AF187" s="50"/>
      <c r="AG187" s="50"/>
      <c r="AH187" s="50"/>
      <c r="AI187" s="50"/>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row>
    <row r="188" spans="1:58">
      <c r="A188" s="52"/>
      <c r="B188" s="52"/>
      <c r="C188" s="52"/>
      <c r="D188" s="52"/>
      <c r="E188" s="52"/>
      <c r="F188" s="52"/>
      <c r="G188" s="52"/>
      <c r="H188" s="52"/>
      <c r="I188" s="52"/>
      <c r="J188" s="52"/>
      <c r="K188" s="52"/>
      <c r="L188" s="52"/>
      <c r="M188" s="52"/>
      <c r="N188" s="52"/>
      <c r="O188" s="52"/>
      <c r="P188" s="52"/>
      <c r="Q188" s="52"/>
      <c r="R188" s="52"/>
      <c r="S188" s="52"/>
      <c r="T188" s="52"/>
      <c r="U188" s="52"/>
      <c r="V188" s="50"/>
      <c r="W188" s="50"/>
      <c r="X188" s="50"/>
      <c r="Y188" s="50"/>
      <c r="Z188" s="50"/>
      <c r="AA188" s="50"/>
      <c r="AB188" s="50"/>
      <c r="AC188" s="50"/>
      <c r="AD188" s="50"/>
      <c r="AE188" s="50"/>
      <c r="AF188" s="50"/>
      <c r="AG188" s="50"/>
      <c r="AH188" s="50"/>
      <c r="AI188" s="50"/>
      <c r="AJ188" s="51"/>
      <c r="AK188" s="51"/>
      <c r="AL188" s="51"/>
      <c r="AM188" s="51"/>
      <c r="AN188" s="52"/>
      <c r="AO188" s="52"/>
      <c r="AP188" s="52"/>
      <c r="AQ188" s="52"/>
      <c r="AR188" s="52"/>
      <c r="AS188" s="52"/>
      <c r="AT188" s="52"/>
      <c r="AU188" s="52"/>
      <c r="AV188" s="52"/>
      <c r="AW188" s="52"/>
      <c r="AX188" s="52"/>
      <c r="AY188" s="52"/>
      <c r="AZ188" s="52"/>
      <c r="BA188" s="52"/>
      <c r="BB188" s="52"/>
      <c r="BC188" s="52"/>
      <c r="BD188" s="52"/>
      <c r="BE188" s="52"/>
      <c r="BF188" s="52"/>
    </row>
    <row r="189" spans="1:58">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row>
    <row r="190" spans="1:58">
      <c r="A190" s="50"/>
      <c r="B190" s="50"/>
      <c r="C190" s="50"/>
      <c r="D190" s="50"/>
      <c r="E190" s="50"/>
      <c r="F190" s="50"/>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row>
    <row r="191" spans="1:58">
      <c r="A191" s="50"/>
      <c r="B191" s="461"/>
      <c r="C191" s="461"/>
      <c r="D191" s="461"/>
      <c r="E191" s="461"/>
      <c r="F191" s="461"/>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row>
    <row r="192" spans="1:58">
      <c r="A192" s="50"/>
      <c r="B192" s="461"/>
      <c r="C192" s="461"/>
      <c r="D192" s="461"/>
      <c r="E192" s="461"/>
      <c r="F192" s="461"/>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row>
    <row r="193" spans="1:58">
      <c r="A193" s="50"/>
      <c r="B193" s="461"/>
      <c r="C193" s="461"/>
      <c r="D193" s="461"/>
      <c r="E193" s="461"/>
      <c r="F193" s="461"/>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row>
    <row r="194" spans="1:58">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row>
    <row r="195" spans="1:58">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row>
    <row r="196" spans="1:58">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row>
    <row r="197" spans="1:58">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row>
    <row r="198" spans="1:5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row>
    <row r="199" spans="1:58">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row>
    <row r="200" spans="1:58">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row>
    <row r="201" spans="1:58">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row>
    <row r="202" spans="1:58">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row>
    <row r="203" spans="1:58">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row>
    <row r="204" spans="1:58">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row>
  </sheetData>
  <phoneticPr fontId="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2A72-4603-4544-A5A5-0FFDA5265DA7}">
  <dimension ref="A1:Z210"/>
  <sheetViews>
    <sheetView workbookViewId="0"/>
  </sheetViews>
  <sheetFormatPr defaultRowHeight="14"/>
  <cols>
    <col min="3" max="3" width="9.58203125" customWidth="1"/>
    <col min="6" max="6" width="9.83203125" customWidth="1"/>
    <col min="8" max="8" width="9.6640625" customWidth="1"/>
    <col min="10" max="10" width="24.83203125" customWidth="1"/>
    <col min="11" max="11" width="12.4140625" customWidth="1"/>
    <col min="12" max="12" width="23.58203125" customWidth="1"/>
    <col min="14" max="14" width="9.5" customWidth="1"/>
  </cols>
  <sheetData>
    <row r="1" spans="1:26">
      <c r="A1" s="27" t="s">
        <v>2539</v>
      </c>
      <c r="B1" s="27"/>
      <c r="C1" s="529"/>
      <c r="D1" s="529"/>
      <c r="E1" s="529"/>
      <c r="F1" s="529"/>
      <c r="G1" s="529"/>
      <c r="H1" s="529"/>
      <c r="I1" s="50"/>
      <c r="J1" s="27" t="s">
        <v>129</v>
      </c>
      <c r="K1" s="27" t="s">
        <v>117</v>
      </c>
      <c r="L1" s="27" t="s">
        <v>1138</v>
      </c>
      <c r="M1" s="27"/>
      <c r="N1" s="503"/>
      <c r="O1" s="50"/>
      <c r="P1" s="50"/>
      <c r="Q1" s="50"/>
      <c r="R1" s="50"/>
      <c r="S1" s="50"/>
      <c r="T1" s="50"/>
      <c r="U1" s="50"/>
      <c r="V1" s="50"/>
      <c r="W1" s="50"/>
      <c r="X1" s="50"/>
      <c r="Y1" s="50"/>
      <c r="Z1" s="50"/>
    </row>
    <row r="2" spans="1:26">
      <c r="A2" s="27" t="s">
        <v>2540</v>
      </c>
      <c r="B2" s="27"/>
      <c r="C2" s="27"/>
      <c r="D2" s="27"/>
      <c r="E2" s="27"/>
      <c r="F2" s="27"/>
      <c r="G2" s="27"/>
      <c r="H2" s="27"/>
      <c r="I2" s="50"/>
      <c r="J2" s="320" t="s">
        <v>143</v>
      </c>
      <c r="K2" s="330">
        <v>0.1</v>
      </c>
      <c r="L2" s="320" t="s">
        <v>2604</v>
      </c>
      <c r="M2" s="320"/>
      <c r="N2" s="50"/>
      <c r="O2" s="50"/>
      <c r="P2" s="50"/>
      <c r="Q2" s="50"/>
      <c r="R2" s="50"/>
      <c r="S2" s="50"/>
      <c r="T2" s="50"/>
      <c r="U2" s="50"/>
      <c r="V2" s="50"/>
      <c r="W2" s="50"/>
      <c r="X2" s="50"/>
      <c r="Y2" s="50"/>
      <c r="Z2" s="50"/>
    </row>
    <row r="3" spans="1:26">
      <c r="A3" s="320"/>
      <c r="B3" s="320"/>
      <c r="C3" s="320"/>
      <c r="D3" s="320"/>
      <c r="E3" s="320"/>
      <c r="F3" s="320"/>
      <c r="G3" s="320"/>
      <c r="H3" s="320"/>
      <c r="I3" s="50"/>
      <c r="J3" s="320" t="s">
        <v>493</v>
      </c>
      <c r="K3" s="330">
        <v>0.56000000000000005</v>
      </c>
      <c r="L3" s="320" t="s">
        <v>2605</v>
      </c>
      <c r="M3" s="320"/>
      <c r="N3" s="50"/>
      <c r="O3" s="50"/>
      <c r="P3" s="50"/>
      <c r="Q3" s="50"/>
      <c r="R3" s="50"/>
      <c r="S3" s="50"/>
      <c r="T3" s="50"/>
      <c r="U3" s="50"/>
      <c r="V3" s="50"/>
      <c r="W3" s="50"/>
      <c r="X3" s="50"/>
      <c r="Y3" s="50"/>
      <c r="Z3" s="50"/>
    </row>
    <row r="4" spans="1:26">
      <c r="A4" s="320" t="s">
        <v>2541</v>
      </c>
      <c r="B4" s="320"/>
      <c r="C4" s="320"/>
      <c r="D4" s="320"/>
      <c r="E4" s="320"/>
      <c r="F4" s="320"/>
      <c r="G4" s="320"/>
      <c r="H4" s="320"/>
      <c r="I4" s="50"/>
      <c r="J4" s="320" t="s">
        <v>198</v>
      </c>
      <c r="K4" s="330">
        <v>0.09</v>
      </c>
      <c r="L4" s="320" t="s">
        <v>2606</v>
      </c>
      <c r="M4" s="320"/>
      <c r="N4" s="50"/>
      <c r="O4" s="50"/>
      <c r="P4" s="50"/>
      <c r="Q4" s="50"/>
      <c r="R4" s="50"/>
      <c r="S4" s="50"/>
      <c r="T4" s="50"/>
      <c r="U4" s="50"/>
      <c r="V4" s="50"/>
      <c r="W4" s="50"/>
      <c r="X4" s="50"/>
      <c r="Y4" s="50"/>
      <c r="Z4" s="50"/>
    </row>
    <row r="5" spans="1:26">
      <c r="A5" s="320"/>
      <c r="B5" s="320"/>
      <c r="C5" s="320"/>
      <c r="D5" s="320"/>
      <c r="E5" s="320"/>
      <c r="F5" s="320"/>
      <c r="G5" s="320"/>
      <c r="H5" s="320"/>
      <c r="I5" s="50"/>
      <c r="J5" s="320" t="s">
        <v>448</v>
      </c>
      <c r="K5" s="330">
        <v>0.03</v>
      </c>
      <c r="L5" s="320" t="s">
        <v>2607</v>
      </c>
      <c r="M5" s="320"/>
      <c r="N5" s="50"/>
      <c r="O5" s="50"/>
      <c r="P5" s="50"/>
      <c r="Q5" s="50"/>
      <c r="R5" s="50"/>
      <c r="S5" s="50"/>
      <c r="T5" s="50"/>
      <c r="U5" s="50"/>
      <c r="V5" s="50"/>
      <c r="W5" s="50"/>
      <c r="X5" s="50"/>
      <c r="Y5" s="50"/>
      <c r="Z5" s="50"/>
    </row>
    <row r="6" spans="1:26">
      <c r="A6" s="320" t="s">
        <v>2542</v>
      </c>
      <c r="B6" s="320"/>
      <c r="C6" s="320"/>
      <c r="D6" s="320"/>
      <c r="E6" s="320"/>
      <c r="F6" s="320"/>
      <c r="G6" s="320"/>
      <c r="H6" s="320"/>
      <c r="I6" s="50"/>
      <c r="J6" s="50"/>
      <c r="K6" s="50"/>
      <c r="L6" s="50"/>
      <c r="M6" s="50"/>
      <c r="N6" s="50"/>
      <c r="O6" s="50"/>
      <c r="P6" s="50"/>
      <c r="Q6" s="50"/>
      <c r="R6" s="50"/>
      <c r="S6" s="50"/>
      <c r="T6" s="50"/>
      <c r="U6" s="50"/>
      <c r="V6" s="50"/>
      <c r="W6" s="50"/>
      <c r="X6" s="50"/>
      <c r="Y6" s="50"/>
      <c r="Z6" s="50"/>
    </row>
    <row r="7" spans="1:26">
      <c r="A7" s="320"/>
      <c r="B7" s="320"/>
      <c r="C7" s="320"/>
      <c r="D7" s="320"/>
      <c r="E7" s="320"/>
      <c r="F7" s="320"/>
      <c r="G7" s="320"/>
      <c r="H7" s="320"/>
      <c r="I7" s="50"/>
      <c r="J7" s="27" t="s">
        <v>2662</v>
      </c>
      <c r="K7" s="27"/>
      <c r="L7" s="27"/>
      <c r="M7" s="50"/>
      <c r="N7" s="50"/>
      <c r="O7" s="50"/>
      <c r="P7" s="50"/>
      <c r="Q7" s="50"/>
      <c r="R7" s="50"/>
      <c r="S7" s="50"/>
      <c r="T7" s="50"/>
      <c r="U7" s="50"/>
      <c r="V7" s="50"/>
      <c r="W7" s="50"/>
      <c r="X7" s="50"/>
      <c r="Y7" s="50"/>
      <c r="Z7" s="50"/>
    </row>
    <row r="8" spans="1:26">
      <c r="A8" s="320" t="s">
        <v>2543</v>
      </c>
      <c r="B8" s="320"/>
      <c r="C8" s="320"/>
      <c r="D8" s="320"/>
      <c r="E8" s="320"/>
      <c r="F8" s="320"/>
      <c r="G8" s="320"/>
      <c r="H8" s="320"/>
      <c r="I8" s="50"/>
      <c r="J8" s="320"/>
      <c r="K8" s="320"/>
      <c r="L8" s="320"/>
      <c r="M8" s="50"/>
      <c r="N8" s="50"/>
      <c r="O8" s="50"/>
      <c r="P8" s="50"/>
      <c r="Q8" s="50"/>
      <c r="R8" s="50"/>
      <c r="S8" s="50"/>
      <c r="T8" s="50"/>
      <c r="U8" s="50"/>
      <c r="V8" s="50"/>
      <c r="W8" s="50"/>
      <c r="X8" s="50"/>
      <c r="Y8" s="50"/>
      <c r="Z8" s="50"/>
    </row>
    <row r="9" spans="1:26">
      <c r="A9" s="320" t="s">
        <v>2544</v>
      </c>
      <c r="B9" s="320"/>
      <c r="C9" s="320"/>
      <c r="D9" s="320"/>
      <c r="E9" s="320"/>
      <c r="F9" s="320"/>
      <c r="G9" s="320"/>
      <c r="H9" s="320"/>
      <c r="I9" s="50"/>
      <c r="J9" s="320" t="s">
        <v>2658</v>
      </c>
      <c r="K9" s="320"/>
      <c r="L9" s="320"/>
      <c r="M9" s="50"/>
      <c r="N9" s="50"/>
      <c r="O9" s="50"/>
      <c r="P9" s="50"/>
      <c r="Q9" s="50"/>
      <c r="R9" s="50"/>
      <c r="S9" s="50"/>
      <c r="T9" s="50"/>
      <c r="U9" s="50"/>
      <c r="V9" s="50"/>
      <c r="W9" s="50"/>
      <c r="X9" s="50"/>
      <c r="Y9" s="50"/>
      <c r="Z9" s="50"/>
    </row>
    <row r="10" spans="1:26">
      <c r="A10" s="320" t="s">
        <v>2545</v>
      </c>
      <c r="B10" s="320"/>
      <c r="C10" s="320"/>
      <c r="D10" s="320"/>
      <c r="E10" s="320"/>
      <c r="F10" s="320"/>
      <c r="G10" s="320"/>
      <c r="H10" s="320"/>
      <c r="I10" s="50"/>
      <c r="J10" s="320"/>
      <c r="K10" s="320"/>
      <c r="L10" s="320"/>
      <c r="M10" s="50"/>
      <c r="N10" s="50"/>
      <c r="O10" s="50"/>
      <c r="P10" s="50"/>
      <c r="Q10" s="50"/>
      <c r="R10" s="50"/>
      <c r="S10" s="50"/>
      <c r="T10" s="50"/>
      <c r="U10" s="50"/>
      <c r="V10" s="50"/>
      <c r="W10" s="50"/>
      <c r="X10" s="50"/>
      <c r="Y10" s="50"/>
      <c r="Z10" s="50"/>
    </row>
    <row r="11" spans="1:26">
      <c r="A11" s="320" t="s">
        <v>2546</v>
      </c>
      <c r="B11" s="320"/>
      <c r="C11" s="320"/>
      <c r="D11" s="320"/>
      <c r="E11" s="320"/>
      <c r="F11" s="320"/>
      <c r="G11" s="320"/>
      <c r="H11" s="320"/>
      <c r="I11" s="50"/>
      <c r="J11" s="320" t="s">
        <v>2659</v>
      </c>
      <c r="K11" s="320"/>
      <c r="L11" s="320"/>
      <c r="M11" s="50"/>
      <c r="N11" s="50"/>
      <c r="O11" s="50"/>
      <c r="P11" s="50"/>
      <c r="Q11" s="50"/>
      <c r="R11" s="50"/>
      <c r="S11" s="50"/>
      <c r="T11" s="50"/>
      <c r="U11" s="50"/>
      <c r="V11" s="50"/>
      <c r="W11" s="50"/>
      <c r="X11" s="50"/>
      <c r="Y11" s="50"/>
      <c r="Z11" s="50"/>
    </row>
    <row r="12" spans="1:26">
      <c r="A12" s="320" t="s">
        <v>2547</v>
      </c>
      <c r="B12" s="320"/>
      <c r="C12" s="320"/>
      <c r="D12" s="320"/>
      <c r="E12" s="320"/>
      <c r="F12" s="320"/>
      <c r="G12" s="320"/>
      <c r="H12" s="320"/>
      <c r="I12" s="50"/>
      <c r="J12" s="320" t="s">
        <v>198</v>
      </c>
      <c r="K12" s="320"/>
      <c r="L12" s="320"/>
      <c r="M12" s="50"/>
      <c r="N12" s="50"/>
      <c r="O12" s="50"/>
      <c r="P12" s="50"/>
      <c r="Q12" s="50"/>
      <c r="R12" s="50"/>
      <c r="S12" s="50"/>
      <c r="T12" s="50"/>
      <c r="U12" s="50"/>
      <c r="V12" s="50"/>
      <c r="W12" s="50"/>
      <c r="X12" s="50"/>
      <c r="Y12" s="50"/>
      <c r="Z12" s="50"/>
    </row>
    <row r="13" spans="1:26">
      <c r="A13" s="320" t="s">
        <v>2548</v>
      </c>
      <c r="B13" s="320"/>
      <c r="C13" s="320"/>
      <c r="D13" s="320"/>
      <c r="E13" s="320"/>
      <c r="F13" s="320"/>
      <c r="G13" s="320"/>
      <c r="H13" s="320"/>
      <c r="I13" s="50"/>
      <c r="J13" s="320" t="s">
        <v>2660</v>
      </c>
      <c r="K13" s="320"/>
      <c r="L13" s="320"/>
      <c r="M13" s="50"/>
      <c r="N13" s="50"/>
      <c r="O13" s="50"/>
      <c r="P13" s="50"/>
      <c r="Q13" s="50"/>
      <c r="R13" s="50"/>
      <c r="S13" s="50"/>
      <c r="T13" s="50"/>
      <c r="U13" s="50"/>
      <c r="V13" s="50"/>
      <c r="W13" s="50"/>
      <c r="X13" s="50"/>
      <c r="Y13" s="50"/>
      <c r="Z13" s="50"/>
    </row>
    <row r="14" spans="1:26">
      <c r="A14" s="320"/>
      <c r="B14" s="320"/>
      <c r="C14" s="320"/>
      <c r="D14" s="320"/>
      <c r="E14" s="320"/>
      <c r="F14" s="320"/>
      <c r="G14" s="320"/>
      <c r="H14" s="320"/>
      <c r="I14" s="50"/>
      <c r="J14" s="320" t="s">
        <v>2661</v>
      </c>
      <c r="K14" s="320"/>
      <c r="L14" s="320"/>
      <c r="M14" s="50"/>
      <c r="N14" s="50"/>
      <c r="O14" s="50"/>
      <c r="P14" s="50"/>
      <c r="Q14" s="50"/>
      <c r="R14" s="50"/>
      <c r="S14" s="50"/>
      <c r="T14" s="50"/>
      <c r="U14" s="50"/>
      <c r="V14" s="50"/>
      <c r="W14" s="50"/>
      <c r="X14" s="50"/>
      <c r="Y14" s="50"/>
      <c r="Z14" s="50"/>
    </row>
    <row r="15" spans="1:26">
      <c r="A15" s="320" t="s">
        <v>2549</v>
      </c>
      <c r="B15" s="320"/>
      <c r="C15" s="320"/>
      <c r="D15" s="320"/>
      <c r="E15" s="320"/>
      <c r="F15" s="320"/>
      <c r="G15" s="320"/>
      <c r="H15" s="320"/>
      <c r="I15" s="50"/>
      <c r="J15" s="50"/>
      <c r="K15" s="50"/>
      <c r="L15" s="50"/>
      <c r="M15" s="50"/>
      <c r="N15" s="50"/>
      <c r="O15" s="50"/>
      <c r="P15" s="50"/>
      <c r="Q15" s="50"/>
      <c r="R15" s="50"/>
      <c r="S15" s="50"/>
      <c r="T15" s="50"/>
      <c r="U15" s="50"/>
      <c r="V15" s="50"/>
      <c r="W15" s="50"/>
      <c r="X15" s="50"/>
      <c r="Y15" s="50"/>
      <c r="Z15" s="50"/>
    </row>
    <row r="16" spans="1:26">
      <c r="A16" s="320"/>
      <c r="B16" s="320"/>
      <c r="C16" s="320"/>
      <c r="D16" s="320"/>
      <c r="E16" s="320"/>
      <c r="F16" s="320"/>
      <c r="G16" s="320"/>
      <c r="H16" s="320"/>
      <c r="I16" s="50"/>
      <c r="J16" s="50"/>
      <c r="K16" s="50"/>
      <c r="L16" s="50"/>
      <c r="M16" s="50"/>
      <c r="N16" s="50"/>
      <c r="O16" s="50"/>
      <c r="P16" s="50"/>
      <c r="Q16" s="50"/>
      <c r="R16" s="50"/>
      <c r="S16" s="50"/>
      <c r="T16" s="50"/>
      <c r="U16" s="50"/>
      <c r="V16" s="50"/>
      <c r="W16" s="50"/>
      <c r="X16" s="50"/>
      <c r="Y16" s="50"/>
      <c r="Z16" s="50"/>
    </row>
    <row r="17" spans="1:26">
      <c r="A17" s="320" t="s">
        <v>2550</v>
      </c>
      <c r="B17" s="320"/>
      <c r="C17" s="320"/>
      <c r="D17" s="320"/>
      <c r="E17" s="320"/>
      <c r="F17" s="320"/>
      <c r="G17" s="320"/>
      <c r="H17" s="320"/>
      <c r="I17" s="50"/>
      <c r="J17" s="50"/>
      <c r="K17" s="50"/>
      <c r="L17" s="50"/>
      <c r="M17" s="50"/>
      <c r="N17" s="50"/>
      <c r="O17" s="50"/>
      <c r="P17" s="50"/>
      <c r="Q17" s="50"/>
      <c r="R17" s="50"/>
      <c r="S17" s="50"/>
      <c r="T17" s="50"/>
      <c r="U17" s="50"/>
      <c r="V17" s="50"/>
      <c r="W17" s="50"/>
      <c r="X17" s="50"/>
      <c r="Y17" s="50"/>
      <c r="Z17" s="50"/>
    </row>
    <row r="18" spans="1:26">
      <c r="A18" s="320" t="s">
        <v>2551</v>
      </c>
      <c r="B18" s="320"/>
      <c r="C18" s="320"/>
      <c r="D18" s="320"/>
      <c r="E18" s="320"/>
      <c r="F18" s="320"/>
      <c r="G18" s="320"/>
      <c r="H18" s="320"/>
      <c r="I18" s="50"/>
      <c r="J18" s="50"/>
      <c r="K18" s="50"/>
      <c r="L18" s="50"/>
      <c r="M18" s="50"/>
      <c r="N18" s="50"/>
      <c r="O18" s="50"/>
      <c r="P18" s="50"/>
      <c r="Q18" s="50"/>
      <c r="R18" s="50"/>
      <c r="S18" s="50"/>
      <c r="T18" s="50"/>
      <c r="U18" s="50"/>
      <c r="V18" s="50"/>
      <c r="W18" s="50"/>
      <c r="X18" s="50"/>
      <c r="Y18" s="50"/>
      <c r="Z18" s="50"/>
    </row>
    <row r="19" spans="1:26">
      <c r="A19" s="320"/>
      <c r="B19" s="320"/>
      <c r="C19" s="320"/>
      <c r="D19" s="320"/>
      <c r="E19" s="320"/>
      <c r="F19" s="320"/>
      <c r="G19" s="320"/>
      <c r="H19" s="320"/>
      <c r="I19" s="50"/>
      <c r="J19" s="50"/>
      <c r="K19" s="50"/>
      <c r="L19" s="50"/>
      <c r="M19" s="50"/>
      <c r="N19" s="50"/>
      <c r="O19" s="50"/>
      <c r="P19" s="50"/>
      <c r="Q19" s="50"/>
      <c r="R19" s="50"/>
      <c r="S19" s="50"/>
      <c r="T19" s="50"/>
      <c r="U19" s="50"/>
      <c r="V19" s="50"/>
      <c r="W19" s="50"/>
      <c r="X19" s="50"/>
      <c r="Y19" s="50"/>
      <c r="Z19" s="50"/>
    </row>
    <row r="20" spans="1:26">
      <c r="A20" s="320" t="s">
        <v>2552</v>
      </c>
      <c r="B20" s="320"/>
      <c r="C20" s="320"/>
      <c r="D20" s="320"/>
      <c r="E20" s="320"/>
      <c r="F20" s="320"/>
      <c r="G20" s="320"/>
      <c r="H20" s="320"/>
      <c r="I20" s="50"/>
      <c r="J20" s="50"/>
      <c r="K20" s="50"/>
      <c r="L20" s="50"/>
      <c r="M20" s="50"/>
      <c r="N20" s="50"/>
      <c r="O20" s="50"/>
      <c r="P20" s="50"/>
      <c r="Q20" s="50"/>
      <c r="R20" s="50"/>
      <c r="S20" s="50"/>
      <c r="T20" s="50"/>
      <c r="U20" s="50"/>
      <c r="V20" s="50"/>
      <c r="W20" s="50"/>
      <c r="X20" s="50"/>
      <c r="Y20" s="50"/>
      <c r="Z20" s="50"/>
    </row>
    <row r="21" spans="1:26">
      <c r="A21" s="320"/>
      <c r="B21" s="320"/>
      <c r="C21" s="320"/>
      <c r="D21" s="320"/>
      <c r="E21" s="320"/>
      <c r="F21" s="320"/>
      <c r="G21" s="320"/>
      <c r="H21" s="320"/>
      <c r="I21" s="50"/>
      <c r="J21" s="50"/>
      <c r="K21" s="50"/>
      <c r="L21" s="50"/>
      <c r="M21" s="50"/>
      <c r="N21" s="50"/>
      <c r="O21" s="50"/>
      <c r="P21" s="50"/>
      <c r="Q21" s="50"/>
      <c r="R21" s="50"/>
      <c r="S21" s="50"/>
      <c r="T21" s="50"/>
      <c r="U21" s="50"/>
      <c r="V21" s="50"/>
      <c r="W21" s="50"/>
      <c r="X21" s="50"/>
      <c r="Y21" s="50"/>
      <c r="Z21" s="50"/>
    </row>
    <row r="22" spans="1:26">
      <c r="A22" s="320" t="s">
        <v>1448</v>
      </c>
      <c r="B22" s="320"/>
      <c r="C22" s="320"/>
      <c r="D22" s="320"/>
      <c r="E22" s="320"/>
      <c r="F22" s="320"/>
      <c r="G22" s="320"/>
      <c r="H22" s="320"/>
      <c r="I22" s="50"/>
      <c r="J22" s="50"/>
      <c r="K22" s="50"/>
      <c r="L22" s="50"/>
      <c r="M22" s="50"/>
      <c r="N22" s="50"/>
      <c r="O22" s="50"/>
      <c r="P22" s="50"/>
      <c r="Q22" s="50"/>
      <c r="R22" s="50"/>
      <c r="S22" s="50"/>
      <c r="T22" s="50"/>
      <c r="U22" s="50"/>
      <c r="V22" s="50"/>
      <c r="W22" s="50"/>
      <c r="X22" s="50"/>
      <c r="Y22" s="50"/>
      <c r="Z22" s="50"/>
    </row>
    <row r="23" spans="1:26">
      <c r="A23" s="320" t="s">
        <v>1205</v>
      </c>
      <c r="B23" s="320"/>
      <c r="C23" s="320"/>
      <c r="D23" s="320"/>
      <c r="E23" s="320"/>
      <c r="F23" s="320"/>
      <c r="G23" s="320"/>
      <c r="H23" s="320"/>
      <c r="I23" s="50"/>
      <c r="J23" s="50"/>
      <c r="K23" s="50"/>
      <c r="L23" s="50"/>
      <c r="M23" s="50"/>
      <c r="N23" s="50"/>
      <c r="O23" s="50"/>
      <c r="P23" s="50"/>
      <c r="Q23" s="50"/>
      <c r="R23" s="50"/>
      <c r="S23" s="50"/>
      <c r="T23" s="50"/>
      <c r="U23" s="50"/>
      <c r="V23" s="50"/>
      <c r="W23" s="50"/>
      <c r="X23" s="50"/>
      <c r="Y23" s="50"/>
      <c r="Z23" s="50"/>
    </row>
    <row r="24" spans="1:26">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spans="1:26">
      <c r="A25" s="27" t="s">
        <v>2553</v>
      </c>
      <c r="B25" s="27"/>
      <c r="C25" s="27"/>
      <c r="D25" s="27"/>
      <c r="E25" s="27"/>
      <c r="F25" s="27"/>
      <c r="G25" s="50"/>
      <c r="H25" s="50"/>
      <c r="I25" s="50"/>
      <c r="J25" s="50"/>
      <c r="K25" s="50"/>
      <c r="L25" s="50"/>
      <c r="M25" s="50"/>
      <c r="N25" s="50"/>
      <c r="O25" s="50"/>
      <c r="P25" s="50"/>
      <c r="Q25" s="50"/>
      <c r="R25" s="50"/>
      <c r="S25" s="50"/>
      <c r="T25" s="50"/>
      <c r="U25" s="50"/>
      <c r="V25" s="50"/>
      <c r="W25" s="50"/>
      <c r="X25" s="50"/>
      <c r="Y25" s="50"/>
      <c r="Z25" s="50"/>
    </row>
    <row r="26" spans="1:26">
      <c r="A26" s="320"/>
      <c r="B26" s="320"/>
      <c r="C26" s="320"/>
      <c r="D26" s="320"/>
      <c r="E26" s="320"/>
      <c r="F26" s="320"/>
      <c r="G26" s="50"/>
      <c r="H26" s="50"/>
      <c r="I26" s="50"/>
      <c r="J26" s="50"/>
      <c r="K26" s="50"/>
      <c r="L26" s="50"/>
      <c r="M26" s="50"/>
      <c r="N26" s="50"/>
      <c r="O26" s="50"/>
      <c r="P26" s="50"/>
      <c r="Q26" s="50"/>
      <c r="R26" s="50"/>
      <c r="S26" s="50"/>
      <c r="T26" s="50"/>
      <c r="U26" s="50"/>
      <c r="V26" s="50"/>
      <c r="W26" s="50"/>
      <c r="X26" s="50"/>
      <c r="Y26" s="50"/>
      <c r="Z26" s="50"/>
    </row>
    <row r="27" spans="1:26">
      <c r="A27" s="320" t="s">
        <v>2554</v>
      </c>
      <c r="B27" s="320"/>
      <c r="C27" s="320"/>
      <c r="D27" s="320"/>
      <c r="E27" s="320"/>
      <c r="F27" s="320"/>
      <c r="G27" s="50"/>
      <c r="H27" s="50"/>
      <c r="I27" s="50"/>
      <c r="J27" s="50"/>
      <c r="K27" s="50"/>
      <c r="L27" s="50"/>
      <c r="M27" s="50"/>
      <c r="N27" s="50"/>
      <c r="O27" s="50"/>
      <c r="P27" s="50"/>
      <c r="Q27" s="50"/>
      <c r="R27" s="50"/>
      <c r="S27" s="50"/>
      <c r="T27" s="50"/>
      <c r="U27" s="50"/>
      <c r="V27" s="50"/>
      <c r="W27" s="50"/>
      <c r="X27" s="50"/>
      <c r="Y27" s="50"/>
      <c r="Z27" s="50"/>
    </row>
    <row r="28" spans="1:26">
      <c r="A28" s="320"/>
      <c r="B28" s="320"/>
      <c r="C28" s="320"/>
      <c r="D28" s="320"/>
      <c r="E28" s="320"/>
      <c r="F28" s="320"/>
      <c r="G28" s="50"/>
      <c r="H28" s="50"/>
      <c r="I28" s="50"/>
      <c r="J28" s="50"/>
      <c r="K28" s="50"/>
      <c r="L28" s="50"/>
      <c r="M28" s="50"/>
      <c r="N28" s="50"/>
      <c r="O28" s="50"/>
      <c r="P28" s="50"/>
      <c r="Q28" s="50"/>
      <c r="R28" s="50"/>
      <c r="S28" s="50"/>
      <c r="T28" s="50"/>
      <c r="U28" s="50"/>
      <c r="V28" s="50"/>
      <c r="W28" s="50"/>
      <c r="X28" s="50"/>
      <c r="Y28" s="50"/>
      <c r="Z28" s="50"/>
    </row>
    <row r="29" spans="1:26">
      <c r="A29" s="320" t="s">
        <v>2542</v>
      </c>
      <c r="B29" s="320"/>
      <c r="C29" s="320"/>
      <c r="D29" s="320"/>
      <c r="E29" s="320"/>
      <c r="F29" s="320"/>
      <c r="G29" s="50"/>
      <c r="H29" s="50"/>
      <c r="I29" s="50"/>
      <c r="J29" s="50"/>
      <c r="K29" s="50"/>
      <c r="L29" s="50"/>
      <c r="M29" s="50"/>
      <c r="N29" s="50"/>
      <c r="O29" s="50"/>
      <c r="P29" s="50"/>
      <c r="Q29" s="50"/>
      <c r="R29" s="50"/>
      <c r="S29" s="50"/>
      <c r="T29" s="50"/>
      <c r="U29" s="50"/>
      <c r="V29" s="50"/>
      <c r="W29" s="50"/>
      <c r="X29" s="50"/>
      <c r="Y29" s="50"/>
      <c r="Z29" s="50"/>
    </row>
    <row r="30" spans="1:26">
      <c r="A30" s="320"/>
      <c r="B30" s="320"/>
      <c r="C30" s="320"/>
      <c r="D30" s="320"/>
      <c r="E30" s="320"/>
      <c r="F30" s="320"/>
      <c r="G30" s="50"/>
      <c r="H30" s="50"/>
      <c r="I30" s="50"/>
      <c r="J30" s="50"/>
      <c r="K30" s="50"/>
      <c r="L30" s="50"/>
      <c r="M30" s="50"/>
      <c r="N30" s="50"/>
      <c r="O30" s="50"/>
      <c r="P30" s="50"/>
      <c r="Q30" s="50"/>
      <c r="R30" s="50"/>
      <c r="S30" s="50"/>
      <c r="T30" s="50"/>
      <c r="U30" s="50"/>
      <c r="V30" s="50"/>
      <c r="W30" s="50"/>
      <c r="X30" s="50"/>
      <c r="Y30" s="50"/>
      <c r="Z30" s="50"/>
    </row>
    <row r="31" spans="1:26">
      <c r="A31" s="320" t="s">
        <v>2555</v>
      </c>
      <c r="B31" s="320"/>
      <c r="C31" s="320"/>
      <c r="D31" s="320"/>
      <c r="E31" s="320"/>
      <c r="F31" s="320"/>
      <c r="G31" s="50"/>
      <c r="H31" s="50"/>
      <c r="I31" s="50"/>
      <c r="J31" s="50"/>
      <c r="K31" s="50"/>
      <c r="L31" s="50"/>
      <c r="M31" s="50"/>
      <c r="N31" s="50"/>
      <c r="O31" s="50"/>
      <c r="P31" s="50"/>
      <c r="Q31" s="50"/>
      <c r="R31" s="50"/>
      <c r="S31" s="50"/>
      <c r="T31" s="50"/>
      <c r="U31" s="50"/>
      <c r="V31" s="50"/>
      <c r="W31" s="50"/>
      <c r="X31" s="50"/>
      <c r="Y31" s="50"/>
      <c r="Z31" s="50"/>
    </row>
    <row r="32" spans="1:26">
      <c r="A32" s="320" t="s">
        <v>2556</v>
      </c>
      <c r="B32" s="320"/>
      <c r="C32" s="320"/>
      <c r="D32" s="320"/>
      <c r="E32" s="320"/>
      <c r="F32" s="320"/>
      <c r="G32" s="50"/>
      <c r="H32" s="50"/>
      <c r="I32" s="50"/>
      <c r="J32" s="50"/>
      <c r="K32" s="50"/>
      <c r="L32" s="50"/>
      <c r="M32" s="50"/>
      <c r="N32" s="50"/>
      <c r="O32" s="50"/>
      <c r="P32" s="50"/>
      <c r="Q32" s="50"/>
      <c r="R32" s="50"/>
      <c r="S32" s="50"/>
      <c r="T32" s="50"/>
      <c r="U32" s="50"/>
      <c r="V32" s="50"/>
      <c r="W32" s="50"/>
      <c r="X32" s="50"/>
      <c r="Y32" s="50"/>
      <c r="Z32" s="50"/>
    </row>
    <row r="33" spans="1:26">
      <c r="A33" s="320" t="s">
        <v>2557</v>
      </c>
      <c r="B33" s="320"/>
      <c r="C33" s="320"/>
      <c r="D33" s="320"/>
      <c r="E33" s="320"/>
      <c r="F33" s="320"/>
      <c r="G33" s="50"/>
      <c r="H33" s="50"/>
      <c r="I33" s="50"/>
      <c r="J33" s="50"/>
      <c r="K33" s="50"/>
      <c r="L33" s="50"/>
      <c r="M33" s="50"/>
      <c r="N33" s="50"/>
      <c r="O33" s="50"/>
      <c r="P33" s="50"/>
      <c r="Q33" s="50"/>
      <c r="R33" s="50"/>
      <c r="S33" s="50"/>
      <c r="T33" s="50"/>
      <c r="U33" s="50"/>
      <c r="V33" s="50"/>
      <c r="W33" s="50"/>
      <c r="X33" s="50"/>
      <c r="Y33" s="50"/>
      <c r="Z33" s="50"/>
    </row>
    <row r="34" spans="1:26">
      <c r="A34" s="320" t="s">
        <v>1190</v>
      </c>
      <c r="B34" s="320"/>
      <c r="C34" s="320"/>
      <c r="D34" s="320"/>
      <c r="E34" s="320"/>
      <c r="F34" s="320"/>
      <c r="G34" s="50"/>
      <c r="H34" s="50"/>
      <c r="I34" s="50"/>
      <c r="J34" s="50"/>
      <c r="K34" s="50"/>
      <c r="L34" s="50"/>
      <c r="M34" s="50"/>
      <c r="N34" s="50"/>
      <c r="O34" s="50"/>
      <c r="P34" s="50"/>
      <c r="Q34" s="50"/>
      <c r="R34" s="50"/>
      <c r="S34" s="50"/>
      <c r="T34" s="50"/>
      <c r="U34" s="50"/>
      <c r="V34" s="50"/>
      <c r="W34" s="50"/>
      <c r="X34" s="50"/>
      <c r="Y34" s="50"/>
      <c r="Z34" s="50"/>
    </row>
    <row r="35" spans="1:26">
      <c r="A35" s="320" t="s">
        <v>2558</v>
      </c>
      <c r="B35" s="320"/>
      <c r="C35" s="320"/>
      <c r="D35" s="320"/>
      <c r="E35" s="320"/>
      <c r="F35" s="320"/>
      <c r="G35" s="50"/>
      <c r="H35" s="50"/>
      <c r="I35" s="50"/>
      <c r="J35" s="50"/>
      <c r="K35" s="50"/>
      <c r="L35" s="50"/>
      <c r="M35" s="50"/>
      <c r="N35" s="50"/>
      <c r="O35" s="50"/>
      <c r="P35" s="50"/>
      <c r="Q35" s="50"/>
      <c r="R35" s="50"/>
      <c r="S35" s="50"/>
      <c r="T35" s="50"/>
      <c r="U35" s="50"/>
      <c r="V35" s="50"/>
      <c r="W35" s="50"/>
      <c r="X35" s="50"/>
      <c r="Y35" s="50"/>
      <c r="Z35" s="50"/>
    </row>
    <row r="36" spans="1:26">
      <c r="A36" s="320" t="s">
        <v>2559</v>
      </c>
      <c r="B36" s="320"/>
      <c r="C36" s="320"/>
      <c r="D36" s="320"/>
      <c r="E36" s="320"/>
      <c r="F36" s="320"/>
      <c r="G36" s="50"/>
      <c r="H36" s="50"/>
      <c r="I36" s="50"/>
      <c r="J36" s="50"/>
      <c r="K36" s="50"/>
      <c r="L36" s="50"/>
      <c r="M36" s="50"/>
      <c r="N36" s="50"/>
      <c r="O36" s="50"/>
      <c r="P36" s="50"/>
      <c r="Q36" s="50"/>
      <c r="R36" s="50"/>
      <c r="S36" s="50"/>
      <c r="T36" s="50"/>
      <c r="U36" s="50"/>
      <c r="V36" s="50"/>
      <c r="W36" s="50"/>
      <c r="X36" s="50"/>
      <c r="Y36" s="50"/>
      <c r="Z36" s="50"/>
    </row>
    <row r="37" spans="1:26">
      <c r="A37" s="320" t="s">
        <v>2560</v>
      </c>
      <c r="B37" s="320"/>
      <c r="C37" s="320"/>
      <c r="D37" s="320"/>
      <c r="E37" s="320"/>
      <c r="F37" s="320"/>
      <c r="G37" s="50"/>
      <c r="H37" s="50"/>
      <c r="I37" s="50"/>
      <c r="J37" s="50"/>
      <c r="K37" s="50"/>
      <c r="L37" s="50"/>
      <c r="M37" s="50"/>
      <c r="N37" s="50"/>
      <c r="O37" s="50"/>
      <c r="P37" s="50"/>
      <c r="Q37" s="50"/>
      <c r="R37" s="50"/>
      <c r="S37" s="50"/>
      <c r="T37" s="50"/>
      <c r="U37" s="50"/>
      <c r="V37" s="50"/>
      <c r="W37" s="50"/>
      <c r="X37" s="50"/>
      <c r="Y37" s="50"/>
      <c r="Z37" s="50"/>
    </row>
    <row r="38" spans="1:26">
      <c r="A38" s="320"/>
      <c r="B38" s="320"/>
      <c r="C38" s="320"/>
      <c r="D38" s="320"/>
      <c r="E38" s="320"/>
      <c r="F38" s="320"/>
      <c r="G38" s="50"/>
      <c r="H38" s="50"/>
      <c r="I38" s="50"/>
      <c r="J38" s="50"/>
      <c r="K38" s="50"/>
      <c r="L38" s="50"/>
      <c r="M38" s="50"/>
      <c r="N38" s="50"/>
      <c r="O38" s="50"/>
      <c r="P38" s="50"/>
      <c r="Q38" s="50"/>
      <c r="R38" s="50"/>
      <c r="S38" s="50"/>
      <c r="T38" s="50"/>
      <c r="U38" s="50"/>
      <c r="V38" s="50"/>
      <c r="W38" s="50"/>
      <c r="X38" s="50"/>
      <c r="Y38" s="50"/>
      <c r="Z38" s="50"/>
    </row>
    <row r="39" spans="1:26">
      <c r="A39" s="320" t="s">
        <v>2561</v>
      </c>
      <c r="B39" s="320"/>
      <c r="C39" s="320"/>
      <c r="D39" s="320"/>
      <c r="E39" s="320"/>
      <c r="F39" s="320"/>
      <c r="G39" s="50"/>
      <c r="H39" s="50"/>
      <c r="I39" s="50"/>
      <c r="J39" s="50"/>
      <c r="K39" s="50"/>
      <c r="L39" s="50"/>
      <c r="M39" s="50"/>
      <c r="N39" s="50"/>
      <c r="O39" s="50"/>
      <c r="P39" s="50"/>
      <c r="Q39" s="50"/>
      <c r="R39" s="50"/>
      <c r="S39" s="50"/>
      <c r="T39" s="50"/>
      <c r="U39" s="50"/>
      <c r="V39" s="50"/>
      <c r="W39" s="50"/>
      <c r="X39" s="50"/>
      <c r="Y39" s="50"/>
      <c r="Z39" s="50"/>
    </row>
    <row r="40" spans="1:26">
      <c r="A40" s="320"/>
      <c r="B40" s="320"/>
      <c r="C40" s="320"/>
      <c r="D40" s="320"/>
      <c r="E40" s="320"/>
      <c r="F40" s="320"/>
      <c r="G40" s="50"/>
      <c r="H40" s="50"/>
      <c r="I40" s="50"/>
      <c r="J40" s="50"/>
      <c r="K40" s="50"/>
      <c r="L40" s="50"/>
      <c r="M40" s="50"/>
      <c r="N40" s="50"/>
      <c r="O40" s="50"/>
      <c r="P40" s="50"/>
      <c r="Q40" s="50"/>
      <c r="R40" s="50"/>
      <c r="S40" s="50"/>
      <c r="T40" s="50"/>
      <c r="U40" s="50"/>
      <c r="V40" s="50"/>
      <c r="W40" s="50"/>
      <c r="X40" s="50"/>
      <c r="Y40" s="50"/>
      <c r="Z40" s="50"/>
    </row>
    <row r="41" spans="1:26">
      <c r="A41" s="320" t="s">
        <v>2562</v>
      </c>
      <c r="B41" s="320"/>
      <c r="C41" s="320"/>
      <c r="D41" s="320"/>
      <c r="E41" s="320"/>
      <c r="F41" s="320"/>
      <c r="G41" s="50"/>
      <c r="H41" s="50"/>
      <c r="I41" s="50"/>
      <c r="J41" s="50"/>
      <c r="K41" s="50"/>
      <c r="L41" s="50"/>
      <c r="M41" s="50"/>
      <c r="N41" s="50"/>
      <c r="O41" s="50"/>
      <c r="P41" s="50"/>
      <c r="Q41" s="50"/>
      <c r="R41" s="50"/>
      <c r="S41" s="50"/>
      <c r="T41" s="50"/>
      <c r="U41" s="50"/>
      <c r="V41" s="50"/>
      <c r="W41" s="50"/>
      <c r="X41" s="50"/>
      <c r="Y41" s="50"/>
      <c r="Z41" s="50"/>
    </row>
    <row r="42" spans="1:26">
      <c r="A42" s="320" t="s">
        <v>2563</v>
      </c>
      <c r="B42" s="320"/>
      <c r="C42" s="320"/>
      <c r="D42" s="320"/>
      <c r="E42" s="320"/>
      <c r="F42" s="320"/>
      <c r="G42" s="50"/>
      <c r="H42" s="50"/>
      <c r="I42" s="50"/>
      <c r="J42" s="50"/>
      <c r="K42" s="50"/>
      <c r="L42" s="50"/>
      <c r="M42" s="50"/>
      <c r="N42" s="50"/>
      <c r="O42" s="50"/>
      <c r="P42" s="50"/>
      <c r="Q42" s="50"/>
      <c r="R42" s="50"/>
      <c r="S42" s="50"/>
      <c r="T42" s="50"/>
      <c r="U42" s="50"/>
      <c r="V42" s="50"/>
      <c r="W42" s="50"/>
      <c r="X42" s="50"/>
      <c r="Y42" s="50"/>
      <c r="Z42" s="50"/>
    </row>
    <row r="43" spans="1:26">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c r="A44" s="27" t="s">
        <v>2564</v>
      </c>
      <c r="B44" s="27"/>
      <c r="C44" s="27"/>
      <c r="D44" s="27"/>
      <c r="E44" s="27"/>
      <c r="F44" s="27"/>
      <c r="G44" s="50"/>
      <c r="H44" s="50"/>
      <c r="I44" s="50"/>
      <c r="J44" s="50"/>
      <c r="K44" s="50"/>
      <c r="L44" s="50"/>
      <c r="M44" s="50"/>
      <c r="N44" s="50"/>
      <c r="O44" s="50"/>
      <c r="P44" s="50"/>
      <c r="Q44" s="50"/>
      <c r="R44" s="50"/>
      <c r="S44" s="50"/>
      <c r="T44" s="50"/>
      <c r="U44" s="50"/>
      <c r="V44" s="50"/>
      <c r="W44" s="50"/>
      <c r="X44" s="50"/>
      <c r="Y44" s="50"/>
      <c r="Z44" s="50"/>
    </row>
    <row r="45" spans="1:26">
      <c r="A45" s="320"/>
      <c r="B45" s="320"/>
      <c r="C45" s="320"/>
      <c r="D45" s="320"/>
      <c r="E45" s="320"/>
      <c r="F45" s="320"/>
      <c r="G45" s="50"/>
      <c r="H45" s="50"/>
      <c r="I45" s="50"/>
      <c r="J45" s="50"/>
      <c r="K45" s="50"/>
      <c r="L45" s="50"/>
      <c r="M45" s="50"/>
      <c r="N45" s="50"/>
      <c r="O45" s="50"/>
      <c r="P45" s="50"/>
      <c r="Q45" s="50"/>
      <c r="R45" s="50"/>
      <c r="S45" s="50"/>
      <c r="T45" s="50"/>
      <c r="U45" s="50"/>
      <c r="V45" s="50"/>
      <c r="W45" s="50"/>
      <c r="X45" s="50"/>
      <c r="Y45" s="50"/>
      <c r="Z45" s="50"/>
    </row>
    <row r="46" spans="1:26">
      <c r="A46" s="320" t="s">
        <v>2565</v>
      </c>
      <c r="B46" s="320"/>
      <c r="C46" s="320"/>
      <c r="D46" s="320"/>
      <c r="E46" s="320"/>
      <c r="F46" s="320"/>
      <c r="G46" s="50"/>
      <c r="H46" s="50"/>
      <c r="I46" s="50"/>
      <c r="J46" s="50"/>
      <c r="K46" s="50"/>
      <c r="L46" s="50"/>
      <c r="M46" s="50"/>
      <c r="N46" s="50"/>
      <c r="O46" s="50"/>
      <c r="P46" s="50"/>
      <c r="Q46" s="50"/>
      <c r="R46" s="50"/>
      <c r="S46" s="50"/>
      <c r="T46" s="50"/>
      <c r="U46" s="50"/>
      <c r="V46" s="50"/>
      <c r="W46" s="50"/>
      <c r="X46" s="50"/>
      <c r="Y46" s="50"/>
      <c r="Z46" s="50"/>
    </row>
    <row r="47" spans="1:26">
      <c r="A47" s="320"/>
      <c r="B47" s="320"/>
      <c r="C47" s="320"/>
      <c r="D47" s="320"/>
      <c r="E47" s="320"/>
      <c r="F47" s="320"/>
      <c r="G47" s="50"/>
      <c r="H47" s="50"/>
      <c r="I47" s="50"/>
      <c r="J47" s="50"/>
      <c r="K47" s="50"/>
      <c r="L47" s="50"/>
      <c r="M47" s="50"/>
      <c r="N47" s="50"/>
      <c r="O47" s="50"/>
      <c r="P47" s="50"/>
      <c r="Q47" s="50"/>
      <c r="R47" s="50"/>
      <c r="S47" s="50"/>
      <c r="T47" s="50"/>
      <c r="U47" s="50"/>
      <c r="V47" s="50"/>
      <c r="W47" s="50"/>
      <c r="X47" s="50"/>
      <c r="Y47" s="50"/>
      <c r="Z47" s="50"/>
    </row>
    <row r="48" spans="1:26">
      <c r="A48" s="320" t="s">
        <v>2542</v>
      </c>
      <c r="B48" s="320"/>
      <c r="C48" s="320"/>
      <c r="D48" s="320"/>
      <c r="E48" s="320"/>
      <c r="F48" s="320"/>
      <c r="G48" s="50"/>
      <c r="H48" s="50"/>
      <c r="I48" s="50"/>
      <c r="J48" s="50"/>
      <c r="K48" s="50"/>
      <c r="L48" s="50"/>
      <c r="M48" s="50"/>
      <c r="N48" s="50"/>
      <c r="O48" s="50"/>
      <c r="P48" s="50"/>
      <c r="Q48" s="50"/>
      <c r="R48" s="50"/>
      <c r="S48" s="50"/>
      <c r="T48" s="50"/>
      <c r="U48" s="50"/>
      <c r="V48" s="50"/>
      <c r="W48" s="50"/>
      <c r="X48" s="50"/>
      <c r="Y48" s="50"/>
      <c r="Z48" s="50"/>
    </row>
    <row r="49" spans="1:26">
      <c r="A49" s="320"/>
      <c r="B49" s="320"/>
      <c r="C49" s="320"/>
      <c r="D49" s="320"/>
      <c r="E49" s="320"/>
      <c r="F49" s="320"/>
      <c r="G49" s="50"/>
      <c r="H49" s="50"/>
      <c r="I49" s="50"/>
      <c r="J49" s="50"/>
      <c r="K49" s="50"/>
      <c r="L49" s="50"/>
      <c r="M49" s="50"/>
      <c r="N49" s="50"/>
      <c r="O49" s="50"/>
      <c r="P49" s="50"/>
      <c r="Q49" s="50"/>
      <c r="R49" s="50"/>
      <c r="S49" s="50"/>
      <c r="T49" s="50"/>
      <c r="U49" s="50"/>
      <c r="V49" s="50"/>
      <c r="W49" s="50"/>
      <c r="X49" s="50"/>
      <c r="Y49" s="50"/>
      <c r="Z49" s="50"/>
    </row>
    <row r="50" spans="1:26">
      <c r="A50" s="320" t="s">
        <v>2566</v>
      </c>
      <c r="B50" s="320"/>
      <c r="C50" s="320"/>
      <c r="D50" s="320"/>
      <c r="E50" s="320"/>
      <c r="F50" s="320"/>
      <c r="G50" s="50"/>
      <c r="H50" s="50"/>
      <c r="I50" s="50"/>
      <c r="J50" s="50"/>
      <c r="K50" s="50"/>
      <c r="L50" s="50"/>
      <c r="M50" s="50"/>
      <c r="N50" s="50"/>
      <c r="O50" s="50"/>
      <c r="P50" s="50"/>
      <c r="Q50" s="50"/>
      <c r="R50" s="50"/>
      <c r="S50" s="50"/>
      <c r="T50" s="50"/>
      <c r="U50" s="50"/>
      <c r="V50" s="50"/>
      <c r="W50" s="50"/>
      <c r="X50" s="50"/>
      <c r="Y50" s="50"/>
      <c r="Z50" s="50"/>
    </row>
    <row r="51" spans="1:26">
      <c r="A51" s="320" t="s">
        <v>2567</v>
      </c>
      <c r="B51" s="320"/>
      <c r="C51" s="320"/>
      <c r="D51" s="320"/>
      <c r="E51" s="320"/>
      <c r="F51" s="320"/>
      <c r="G51" s="50"/>
      <c r="H51" s="50"/>
      <c r="I51" s="50"/>
      <c r="J51" s="50"/>
      <c r="K51" s="50"/>
      <c r="L51" s="50"/>
      <c r="M51" s="50"/>
      <c r="N51" s="50"/>
      <c r="O51" s="50"/>
      <c r="P51" s="50"/>
      <c r="Q51" s="50"/>
      <c r="R51" s="50"/>
      <c r="S51" s="50"/>
      <c r="T51" s="50"/>
      <c r="U51" s="50"/>
      <c r="V51" s="50"/>
      <c r="W51" s="50"/>
      <c r="X51" s="50"/>
      <c r="Y51" s="50"/>
      <c r="Z51" s="50"/>
    </row>
    <row r="52" spans="1:26">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spans="1:26">
      <c r="A53" s="27" t="s">
        <v>2568</v>
      </c>
      <c r="B53" s="27"/>
      <c r="C53" s="27"/>
      <c r="D53" s="27"/>
      <c r="E53" s="50"/>
      <c r="F53" s="50"/>
      <c r="G53" s="50"/>
      <c r="H53" s="50"/>
      <c r="I53" s="50"/>
      <c r="J53" s="50"/>
      <c r="K53" s="50"/>
      <c r="L53" s="50"/>
      <c r="M53" s="50"/>
      <c r="N53" s="50"/>
      <c r="O53" s="50"/>
      <c r="P53" s="50"/>
      <c r="Q53" s="50"/>
      <c r="R53" s="50"/>
      <c r="S53" s="50"/>
      <c r="T53" s="50"/>
      <c r="U53" s="50"/>
      <c r="V53" s="50"/>
      <c r="W53" s="50"/>
      <c r="X53" s="50"/>
      <c r="Y53" s="50"/>
      <c r="Z53" s="50"/>
    </row>
    <row r="54" spans="1:26">
      <c r="A54" s="320"/>
      <c r="B54" s="320"/>
      <c r="C54" s="320"/>
      <c r="D54" s="320"/>
      <c r="E54" s="50"/>
      <c r="F54" s="50"/>
      <c r="G54" s="50"/>
      <c r="H54" s="50"/>
      <c r="I54" s="50"/>
      <c r="J54" s="50"/>
      <c r="K54" s="50"/>
      <c r="L54" s="50"/>
      <c r="M54" s="50"/>
      <c r="N54" s="50"/>
      <c r="O54" s="50"/>
      <c r="P54" s="50"/>
      <c r="Q54" s="50"/>
      <c r="R54" s="50"/>
      <c r="S54" s="50"/>
      <c r="T54" s="50"/>
      <c r="U54" s="50"/>
      <c r="V54" s="50"/>
      <c r="W54" s="50"/>
      <c r="X54" s="50"/>
      <c r="Y54" s="50"/>
      <c r="Z54" s="50"/>
    </row>
    <row r="55" spans="1:26">
      <c r="A55" s="320" t="s">
        <v>2569</v>
      </c>
      <c r="B55" s="320"/>
      <c r="C55" s="320"/>
      <c r="D55" s="320"/>
      <c r="E55" s="50"/>
      <c r="F55" s="50"/>
      <c r="G55" s="50"/>
      <c r="H55" s="50"/>
      <c r="I55" s="50"/>
      <c r="J55" s="50"/>
      <c r="K55" s="50"/>
      <c r="L55" s="50"/>
      <c r="M55" s="50"/>
      <c r="N55" s="50"/>
      <c r="O55" s="50"/>
      <c r="P55" s="50"/>
      <c r="Q55" s="50"/>
      <c r="R55" s="50"/>
      <c r="S55" s="50"/>
      <c r="T55" s="50"/>
      <c r="U55" s="50"/>
      <c r="V55" s="50"/>
      <c r="W55" s="50"/>
      <c r="X55" s="50"/>
      <c r="Y55" s="50"/>
      <c r="Z55" s="50"/>
    </row>
    <row r="56" spans="1:26">
      <c r="A56" s="320"/>
      <c r="B56" s="320"/>
      <c r="C56" s="320"/>
      <c r="D56" s="320"/>
      <c r="E56" s="50"/>
      <c r="F56" s="50"/>
      <c r="G56" s="50"/>
      <c r="H56" s="50"/>
      <c r="I56" s="50"/>
      <c r="J56" s="50"/>
      <c r="K56" s="50"/>
      <c r="L56" s="50"/>
      <c r="M56" s="50"/>
      <c r="N56" s="50"/>
      <c r="O56" s="50"/>
      <c r="P56" s="50"/>
      <c r="Q56" s="50"/>
      <c r="R56" s="50"/>
      <c r="S56" s="50"/>
      <c r="T56" s="50"/>
      <c r="U56" s="50"/>
      <c r="V56" s="50"/>
      <c r="W56" s="50"/>
      <c r="X56" s="50"/>
      <c r="Y56" s="50"/>
      <c r="Z56" s="50"/>
    </row>
    <row r="57" spans="1:26">
      <c r="A57" s="320" t="s">
        <v>2542</v>
      </c>
      <c r="B57" s="320"/>
      <c r="C57" s="320"/>
      <c r="D57" s="320"/>
      <c r="E57" s="50"/>
      <c r="F57" s="50"/>
      <c r="G57" s="50"/>
      <c r="H57" s="50"/>
      <c r="I57" s="50"/>
      <c r="J57" s="50"/>
      <c r="K57" s="50"/>
      <c r="L57" s="50"/>
      <c r="M57" s="50"/>
      <c r="N57" s="50"/>
      <c r="O57" s="50"/>
      <c r="P57" s="50"/>
      <c r="Q57" s="50"/>
      <c r="R57" s="50"/>
      <c r="S57" s="50"/>
      <c r="T57" s="50"/>
      <c r="U57" s="50"/>
      <c r="V57" s="50"/>
      <c r="W57" s="50"/>
      <c r="X57" s="50"/>
      <c r="Y57" s="50"/>
      <c r="Z57" s="50"/>
    </row>
    <row r="58" spans="1:26">
      <c r="A58" s="320"/>
      <c r="B58" s="320"/>
      <c r="C58" s="320"/>
      <c r="D58" s="320"/>
      <c r="E58" s="50"/>
      <c r="F58" s="50"/>
      <c r="G58" s="50"/>
      <c r="H58" s="50"/>
      <c r="I58" s="50"/>
      <c r="J58" s="50"/>
      <c r="K58" s="50"/>
      <c r="L58" s="50"/>
      <c r="M58" s="50"/>
      <c r="N58" s="50"/>
      <c r="O58" s="50"/>
      <c r="P58" s="50"/>
      <c r="Q58" s="50"/>
      <c r="R58" s="50"/>
      <c r="S58" s="50"/>
      <c r="T58" s="50"/>
      <c r="U58" s="50"/>
      <c r="V58" s="50"/>
      <c r="W58" s="50"/>
      <c r="X58" s="50"/>
      <c r="Y58" s="50"/>
      <c r="Z58" s="50"/>
    </row>
    <row r="59" spans="1:26">
      <c r="A59" s="320" t="s">
        <v>2570</v>
      </c>
      <c r="B59" s="320"/>
      <c r="C59" s="320"/>
      <c r="D59" s="320"/>
      <c r="E59" s="50"/>
      <c r="F59" s="50"/>
      <c r="G59" s="50"/>
      <c r="H59" s="50"/>
      <c r="I59" s="50"/>
      <c r="J59" s="50"/>
      <c r="K59" s="50"/>
      <c r="L59" s="50"/>
      <c r="M59" s="50"/>
      <c r="N59" s="50"/>
      <c r="O59" s="50"/>
      <c r="P59" s="50"/>
      <c r="Q59" s="50"/>
      <c r="R59" s="50"/>
      <c r="S59" s="50"/>
      <c r="T59" s="50"/>
      <c r="U59" s="50"/>
      <c r="V59" s="50"/>
      <c r="W59" s="50"/>
      <c r="X59" s="50"/>
      <c r="Y59" s="50"/>
      <c r="Z59" s="50"/>
    </row>
    <row r="60" spans="1:26">
      <c r="A60" s="320" t="s">
        <v>2571</v>
      </c>
      <c r="B60" s="320"/>
      <c r="C60" s="320"/>
      <c r="D60" s="320"/>
      <c r="E60" s="50"/>
      <c r="F60" s="50"/>
      <c r="G60" s="50"/>
      <c r="H60" s="50"/>
      <c r="I60" s="50"/>
      <c r="J60" s="50"/>
      <c r="K60" s="50"/>
      <c r="L60" s="50"/>
      <c r="M60" s="50"/>
      <c r="N60" s="50"/>
      <c r="O60" s="50"/>
      <c r="P60" s="50"/>
      <c r="Q60" s="50"/>
      <c r="R60" s="50"/>
      <c r="S60" s="50"/>
      <c r="T60" s="50"/>
      <c r="U60" s="50"/>
      <c r="V60" s="50"/>
      <c r="W60" s="50"/>
      <c r="X60" s="50"/>
      <c r="Y60" s="50"/>
      <c r="Z60" s="50"/>
    </row>
    <row r="61" spans="1:26">
      <c r="A61" s="320" t="s">
        <v>2572</v>
      </c>
      <c r="B61" s="320"/>
      <c r="C61" s="320"/>
      <c r="D61" s="320"/>
      <c r="E61" s="50"/>
      <c r="F61" s="50"/>
      <c r="G61" s="50"/>
      <c r="H61" s="50"/>
      <c r="I61" s="50"/>
      <c r="J61" s="50"/>
      <c r="K61" s="50"/>
      <c r="L61" s="50"/>
      <c r="M61" s="50"/>
      <c r="N61" s="50"/>
      <c r="O61" s="50"/>
      <c r="P61" s="50"/>
      <c r="Q61" s="50"/>
      <c r="R61" s="50"/>
      <c r="S61" s="50"/>
      <c r="T61" s="50"/>
      <c r="U61" s="50"/>
      <c r="V61" s="50"/>
      <c r="W61" s="50"/>
      <c r="X61" s="50"/>
      <c r="Y61" s="50"/>
      <c r="Z61" s="50"/>
    </row>
    <row r="62" spans="1:26">
      <c r="A62" s="320" t="s">
        <v>1968</v>
      </c>
      <c r="B62" s="320"/>
      <c r="C62" s="320"/>
      <c r="D62" s="320"/>
      <c r="E62" s="50"/>
      <c r="F62" s="50"/>
      <c r="G62" s="50"/>
      <c r="H62" s="50"/>
      <c r="I62" s="50"/>
      <c r="J62" s="50"/>
      <c r="K62" s="50"/>
      <c r="L62" s="50"/>
      <c r="M62" s="50"/>
      <c r="N62" s="50"/>
      <c r="O62" s="50"/>
      <c r="P62" s="50"/>
      <c r="Q62" s="50"/>
      <c r="R62" s="50"/>
      <c r="S62" s="50"/>
      <c r="T62" s="50"/>
      <c r="U62" s="50"/>
      <c r="V62" s="50"/>
      <c r="W62" s="50"/>
      <c r="X62" s="50"/>
      <c r="Y62" s="50"/>
      <c r="Z62" s="50"/>
    </row>
    <row r="63" spans="1:26">
      <c r="A63" s="320" t="s">
        <v>2573</v>
      </c>
      <c r="B63" s="320"/>
      <c r="C63" s="320"/>
      <c r="D63" s="320"/>
      <c r="E63" s="50"/>
      <c r="F63" s="50"/>
      <c r="G63" s="50"/>
      <c r="H63" s="50"/>
      <c r="I63" s="50"/>
      <c r="J63" s="50"/>
      <c r="K63" s="50"/>
      <c r="L63" s="50"/>
      <c r="M63" s="50"/>
      <c r="N63" s="50"/>
      <c r="O63" s="50"/>
      <c r="P63" s="50"/>
      <c r="Q63" s="50"/>
      <c r="R63" s="50"/>
      <c r="S63" s="50"/>
      <c r="T63" s="50"/>
      <c r="U63" s="50"/>
      <c r="V63" s="50"/>
      <c r="W63" s="50"/>
      <c r="X63" s="50"/>
      <c r="Y63" s="50"/>
      <c r="Z63" s="50"/>
    </row>
    <row r="64" spans="1:26">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spans="1:26">
      <c r="A65" s="27" t="s">
        <v>2574</v>
      </c>
      <c r="B65" s="27"/>
      <c r="C65" s="27"/>
      <c r="D65" s="27"/>
      <c r="E65" s="27"/>
      <c r="F65" s="27"/>
      <c r="G65" s="50"/>
      <c r="H65" s="50"/>
      <c r="I65" s="50"/>
      <c r="J65" s="50"/>
      <c r="K65" s="50"/>
      <c r="L65" s="50"/>
      <c r="M65" s="50"/>
      <c r="N65" s="50"/>
      <c r="O65" s="50"/>
      <c r="P65" s="50"/>
      <c r="Q65" s="50"/>
      <c r="R65" s="50"/>
      <c r="S65" s="50"/>
      <c r="T65" s="50"/>
      <c r="U65" s="50"/>
      <c r="V65" s="50"/>
      <c r="W65" s="50"/>
      <c r="X65" s="50"/>
      <c r="Y65" s="50"/>
      <c r="Z65" s="50"/>
    </row>
    <row r="66" spans="1:26">
      <c r="A66" s="320"/>
      <c r="B66" s="320"/>
      <c r="C66" s="320"/>
      <c r="D66" s="320"/>
      <c r="E66" s="320"/>
      <c r="F66" s="320"/>
      <c r="G66" s="50"/>
      <c r="H66" s="50"/>
      <c r="I66" s="50"/>
      <c r="J66" s="50"/>
      <c r="K66" s="50"/>
      <c r="L66" s="50"/>
      <c r="M66" s="50"/>
      <c r="N66" s="50"/>
      <c r="O66" s="50"/>
      <c r="P66" s="50"/>
      <c r="Q66" s="50"/>
      <c r="R66" s="50"/>
      <c r="S66" s="50"/>
      <c r="T66" s="50"/>
      <c r="U66" s="50"/>
      <c r="V66" s="50"/>
      <c r="W66" s="50"/>
      <c r="X66" s="50"/>
      <c r="Y66" s="50"/>
      <c r="Z66" s="50"/>
    </row>
    <row r="67" spans="1:26">
      <c r="A67" s="320" t="s">
        <v>2575</v>
      </c>
      <c r="B67" s="320"/>
      <c r="C67" s="320"/>
      <c r="D67" s="320"/>
      <c r="E67" s="320"/>
      <c r="F67" s="320"/>
      <c r="G67" s="50"/>
      <c r="H67" s="50"/>
      <c r="I67" s="50"/>
      <c r="J67" s="50"/>
      <c r="K67" s="50"/>
      <c r="L67" s="50"/>
      <c r="M67" s="50"/>
      <c r="N67" s="50"/>
      <c r="O67" s="50"/>
      <c r="P67" s="50"/>
      <c r="Q67" s="50"/>
      <c r="R67" s="50"/>
      <c r="S67" s="50"/>
      <c r="T67" s="50"/>
      <c r="U67" s="50"/>
      <c r="V67" s="50"/>
      <c r="W67" s="50"/>
      <c r="X67" s="50"/>
      <c r="Y67" s="50"/>
      <c r="Z67" s="50"/>
    </row>
    <row r="68" spans="1:26">
      <c r="A68" s="320"/>
      <c r="B68" s="320"/>
      <c r="C68" s="320"/>
      <c r="D68" s="320"/>
      <c r="E68" s="320"/>
      <c r="F68" s="320"/>
      <c r="G68" s="50"/>
      <c r="H68" s="50"/>
      <c r="I68" s="50"/>
      <c r="J68" s="50"/>
      <c r="K68" s="50"/>
      <c r="L68" s="50"/>
      <c r="M68" s="50"/>
      <c r="N68" s="50"/>
      <c r="O68" s="50"/>
      <c r="P68" s="50"/>
      <c r="Q68" s="50"/>
      <c r="R68" s="50"/>
      <c r="S68" s="50"/>
      <c r="T68" s="50"/>
      <c r="U68" s="50"/>
      <c r="V68" s="50"/>
      <c r="W68" s="50"/>
      <c r="X68" s="50"/>
      <c r="Y68" s="50"/>
      <c r="Z68" s="50"/>
    </row>
    <row r="69" spans="1:26">
      <c r="A69" s="320" t="s">
        <v>2542</v>
      </c>
      <c r="B69" s="320"/>
      <c r="C69" s="320"/>
      <c r="D69" s="320"/>
      <c r="E69" s="320"/>
      <c r="F69" s="320"/>
      <c r="G69" s="50"/>
      <c r="H69" s="50"/>
      <c r="I69" s="50"/>
      <c r="J69" s="50"/>
      <c r="K69" s="50"/>
      <c r="L69" s="50"/>
      <c r="M69" s="50"/>
      <c r="N69" s="50"/>
      <c r="O69" s="50"/>
      <c r="P69" s="50"/>
      <c r="Q69" s="50"/>
      <c r="R69" s="50"/>
      <c r="S69" s="50"/>
      <c r="T69" s="50"/>
      <c r="U69" s="50"/>
      <c r="V69" s="50"/>
      <c r="W69" s="50"/>
      <c r="X69" s="50"/>
      <c r="Y69" s="50"/>
      <c r="Z69" s="50"/>
    </row>
    <row r="70" spans="1:26">
      <c r="A70" s="320"/>
      <c r="B70" s="320"/>
      <c r="C70" s="320"/>
      <c r="D70" s="320"/>
      <c r="E70" s="320"/>
      <c r="F70" s="320"/>
      <c r="G70" s="50"/>
      <c r="H70" s="50"/>
      <c r="I70" s="50"/>
      <c r="J70" s="50"/>
      <c r="K70" s="50"/>
      <c r="L70" s="50"/>
      <c r="M70" s="50"/>
      <c r="N70" s="50"/>
      <c r="O70" s="50"/>
      <c r="P70" s="50"/>
      <c r="Q70" s="50"/>
      <c r="R70" s="50"/>
      <c r="S70" s="50"/>
      <c r="T70" s="50"/>
      <c r="U70" s="50"/>
      <c r="V70" s="50"/>
      <c r="W70" s="50"/>
      <c r="X70" s="50"/>
      <c r="Y70" s="50"/>
      <c r="Z70" s="50"/>
    </row>
    <row r="71" spans="1:26">
      <c r="A71" s="320" t="s">
        <v>2576</v>
      </c>
      <c r="B71" s="320"/>
      <c r="C71" s="320"/>
      <c r="D71" s="320"/>
      <c r="E71" s="320"/>
      <c r="F71" s="320"/>
      <c r="G71" s="50"/>
      <c r="H71" s="50"/>
      <c r="I71" s="50"/>
      <c r="J71" s="50"/>
      <c r="K71" s="50"/>
      <c r="L71" s="50"/>
      <c r="M71" s="50"/>
      <c r="N71" s="50"/>
      <c r="O71" s="50"/>
      <c r="P71" s="50"/>
      <c r="Q71" s="50"/>
      <c r="R71" s="50"/>
      <c r="S71" s="50"/>
      <c r="T71" s="50"/>
      <c r="U71" s="50"/>
      <c r="V71" s="50"/>
      <c r="W71" s="50"/>
      <c r="X71" s="50"/>
      <c r="Y71" s="50"/>
      <c r="Z71" s="50"/>
    </row>
    <row r="72" spans="1:26">
      <c r="A72" s="320" t="s">
        <v>2577</v>
      </c>
      <c r="B72" s="320"/>
      <c r="C72" s="320"/>
      <c r="D72" s="320"/>
      <c r="E72" s="320"/>
      <c r="F72" s="320"/>
      <c r="G72" s="50"/>
      <c r="H72" s="50"/>
      <c r="I72" s="50"/>
      <c r="J72" s="50"/>
      <c r="K72" s="50"/>
      <c r="L72" s="50"/>
      <c r="M72" s="50"/>
      <c r="N72" s="50"/>
      <c r="O72" s="50"/>
      <c r="P72" s="50"/>
      <c r="Q72" s="50"/>
      <c r="R72" s="50"/>
      <c r="S72" s="50"/>
      <c r="T72" s="50"/>
      <c r="U72" s="50"/>
      <c r="V72" s="50"/>
      <c r="W72" s="50"/>
      <c r="X72" s="50"/>
      <c r="Y72" s="50"/>
      <c r="Z72" s="50"/>
    </row>
    <row r="73" spans="1:26">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spans="1:26">
      <c r="A74" s="27" t="s">
        <v>2578</v>
      </c>
      <c r="B74" s="27"/>
      <c r="C74" s="27"/>
      <c r="D74" s="27"/>
      <c r="E74" s="27"/>
      <c r="F74" s="50"/>
      <c r="G74" s="50"/>
      <c r="H74" s="50"/>
      <c r="I74" s="50"/>
      <c r="J74" s="50"/>
      <c r="K74" s="50"/>
      <c r="L74" s="50"/>
      <c r="M74" s="50"/>
      <c r="N74" s="50"/>
      <c r="O74" s="50"/>
      <c r="P74" s="50"/>
      <c r="Q74" s="50"/>
      <c r="R74" s="50"/>
      <c r="S74" s="50"/>
      <c r="T74" s="50"/>
      <c r="U74" s="50"/>
      <c r="V74" s="50"/>
      <c r="W74" s="50"/>
      <c r="X74" s="50"/>
      <c r="Y74" s="50"/>
      <c r="Z74" s="50"/>
    </row>
    <row r="75" spans="1:26">
      <c r="A75" s="320"/>
      <c r="B75" s="320"/>
      <c r="C75" s="320"/>
      <c r="D75" s="320"/>
      <c r="E75" s="320"/>
      <c r="F75" s="50"/>
      <c r="G75" s="50"/>
      <c r="H75" s="50"/>
      <c r="I75" s="50"/>
      <c r="J75" s="50"/>
      <c r="K75" s="50"/>
      <c r="L75" s="50"/>
      <c r="M75" s="50"/>
      <c r="N75" s="50"/>
      <c r="O75" s="50"/>
      <c r="P75" s="50"/>
      <c r="Q75" s="50"/>
      <c r="R75" s="50"/>
      <c r="S75" s="50"/>
      <c r="T75" s="50"/>
      <c r="U75" s="50"/>
      <c r="V75" s="50"/>
      <c r="W75" s="50"/>
      <c r="X75" s="50"/>
      <c r="Y75" s="50"/>
      <c r="Z75" s="50"/>
    </row>
    <row r="76" spans="1:26">
      <c r="A76" s="320" t="s">
        <v>2579</v>
      </c>
      <c r="B76" s="320"/>
      <c r="C76" s="320"/>
      <c r="D76" s="320"/>
      <c r="E76" s="320"/>
      <c r="F76" s="50"/>
      <c r="G76" s="50"/>
      <c r="H76" s="50"/>
      <c r="I76" s="50"/>
      <c r="J76" s="50"/>
      <c r="K76" s="50"/>
      <c r="L76" s="50"/>
      <c r="M76" s="50"/>
      <c r="N76" s="50"/>
      <c r="O76" s="50"/>
      <c r="P76" s="50"/>
      <c r="Q76" s="50"/>
      <c r="R76" s="50"/>
      <c r="S76" s="50"/>
      <c r="T76" s="50"/>
      <c r="U76" s="50"/>
      <c r="V76" s="50"/>
      <c r="W76" s="50"/>
      <c r="X76" s="50"/>
      <c r="Y76" s="50"/>
      <c r="Z76" s="50"/>
    </row>
    <row r="77" spans="1:26">
      <c r="A77" s="320"/>
      <c r="B77" s="320"/>
      <c r="C77" s="320"/>
      <c r="D77" s="320"/>
      <c r="E77" s="320"/>
      <c r="F77" s="50"/>
      <c r="G77" s="50"/>
      <c r="H77" s="50"/>
      <c r="I77" s="50"/>
      <c r="J77" s="50"/>
      <c r="K77" s="50"/>
      <c r="L77" s="50"/>
      <c r="M77" s="50"/>
      <c r="N77" s="50"/>
      <c r="O77" s="50"/>
      <c r="P77" s="50"/>
      <c r="Q77" s="50"/>
      <c r="R77" s="50"/>
      <c r="S77" s="50"/>
      <c r="T77" s="50"/>
      <c r="U77" s="50"/>
      <c r="V77" s="50"/>
      <c r="W77" s="50"/>
      <c r="X77" s="50"/>
      <c r="Y77" s="50"/>
      <c r="Z77" s="50"/>
    </row>
    <row r="78" spans="1:26">
      <c r="A78" s="320" t="s">
        <v>2542</v>
      </c>
      <c r="B78" s="320"/>
      <c r="C78" s="320"/>
      <c r="D78" s="320"/>
      <c r="E78" s="320"/>
      <c r="F78" s="50"/>
      <c r="G78" s="50"/>
      <c r="H78" s="50"/>
      <c r="I78" s="50"/>
      <c r="J78" s="50"/>
      <c r="K78" s="50"/>
      <c r="L78" s="50"/>
      <c r="M78" s="50"/>
      <c r="N78" s="50"/>
      <c r="O78" s="50"/>
      <c r="P78" s="50"/>
      <c r="Q78" s="50"/>
      <c r="R78" s="50"/>
      <c r="S78" s="50"/>
      <c r="T78" s="50"/>
      <c r="U78" s="50"/>
      <c r="V78" s="50"/>
      <c r="W78" s="50"/>
      <c r="X78" s="50"/>
      <c r="Y78" s="50"/>
      <c r="Z78" s="50"/>
    </row>
    <row r="79" spans="1:26">
      <c r="A79" s="320"/>
      <c r="B79" s="320"/>
      <c r="C79" s="320"/>
      <c r="D79" s="320"/>
      <c r="E79" s="320"/>
      <c r="F79" s="50"/>
      <c r="G79" s="50"/>
      <c r="H79" s="50"/>
      <c r="I79" s="50"/>
      <c r="J79" s="50"/>
      <c r="K79" s="50"/>
      <c r="L79" s="50"/>
      <c r="M79" s="50"/>
      <c r="N79" s="50"/>
      <c r="O79" s="50"/>
      <c r="P79" s="50"/>
      <c r="Q79" s="50"/>
      <c r="R79" s="50"/>
      <c r="S79" s="50"/>
      <c r="T79" s="50"/>
      <c r="U79" s="50"/>
      <c r="V79" s="50"/>
      <c r="W79" s="50"/>
      <c r="X79" s="50"/>
      <c r="Y79" s="50"/>
      <c r="Z79" s="50"/>
    </row>
    <row r="80" spans="1:26">
      <c r="A80" s="320" t="s">
        <v>2580</v>
      </c>
      <c r="B80" s="320"/>
      <c r="C80" s="320"/>
      <c r="D80" s="320"/>
      <c r="E80" s="320"/>
      <c r="F80" s="50"/>
      <c r="G80" s="50"/>
      <c r="H80" s="50"/>
      <c r="I80" s="50"/>
      <c r="J80" s="50"/>
      <c r="K80" s="50"/>
      <c r="L80" s="50"/>
      <c r="M80" s="50"/>
      <c r="N80" s="50"/>
      <c r="O80" s="50"/>
      <c r="P80" s="50"/>
      <c r="Q80" s="50"/>
      <c r="R80" s="50"/>
      <c r="S80" s="50"/>
      <c r="T80" s="50"/>
      <c r="U80" s="50"/>
      <c r="V80" s="50"/>
      <c r="W80" s="50"/>
      <c r="X80" s="50"/>
      <c r="Y80" s="50"/>
      <c r="Z80" s="50"/>
    </row>
    <row r="81" spans="1:26">
      <c r="A81" s="320" t="s">
        <v>2581</v>
      </c>
      <c r="B81" s="320"/>
      <c r="C81" s="320"/>
      <c r="D81" s="320"/>
      <c r="E81" s="320"/>
      <c r="F81" s="50"/>
      <c r="G81" s="50"/>
      <c r="H81" s="50"/>
      <c r="I81" s="50"/>
      <c r="J81" s="50"/>
      <c r="K81" s="50"/>
      <c r="L81" s="50"/>
      <c r="M81" s="50"/>
      <c r="N81" s="50"/>
      <c r="O81" s="50"/>
      <c r="P81" s="50"/>
      <c r="Q81" s="50"/>
      <c r="R81" s="50"/>
      <c r="S81" s="50"/>
      <c r="T81" s="50"/>
      <c r="U81" s="50"/>
      <c r="V81" s="50"/>
      <c r="W81" s="50"/>
      <c r="X81" s="50"/>
      <c r="Y81" s="50"/>
      <c r="Z81" s="50"/>
    </row>
    <row r="82" spans="1:26">
      <c r="A82" s="320" t="s">
        <v>2582</v>
      </c>
      <c r="B82" s="320"/>
      <c r="C82" s="320"/>
      <c r="D82" s="320"/>
      <c r="E82" s="320"/>
      <c r="F82" s="50"/>
      <c r="G82" s="50"/>
      <c r="H82" s="50"/>
      <c r="I82" s="50"/>
      <c r="J82" s="50"/>
      <c r="K82" s="50"/>
      <c r="L82" s="50"/>
      <c r="M82" s="50"/>
      <c r="N82" s="50"/>
      <c r="O82" s="50"/>
      <c r="P82" s="50"/>
      <c r="Q82" s="50"/>
      <c r="R82" s="50"/>
      <c r="S82" s="50"/>
      <c r="T82" s="50"/>
      <c r="U82" s="50"/>
      <c r="V82" s="50"/>
      <c r="W82" s="50"/>
      <c r="X82" s="50"/>
      <c r="Y82" s="50"/>
      <c r="Z82" s="50"/>
    </row>
    <row r="83" spans="1:26">
      <c r="A83" s="320" t="s">
        <v>2583</v>
      </c>
      <c r="B83" s="320"/>
      <c r="C83" s="320"/>
      <c r="D83" s="320"/>
      <c r="E83" s="320"/>
      <c r="F83" s="50"/>
      <c r="G83" s="50"/>
      <c r="H83" s="50"/>
      <c r="I83" s="50"/>
      <c r="J83" s="50"/>
      <c r="K83" s="50"/>
      <c r="L83" s="50"/>
      <c r="M83" s="50"/>
      <c r="N83" s="50"/>
      <c r="O83" s="50"/>
      <c r="P83" s="50"/>
      <c r="Q83" s="50"/>
      <c r="R83" s="50"/>
      <c r="S83" s="50"/>
      <c r="T83" s="50"/>
      <c r="U83" s="50"/>
      <c r="V83" s="50"/>
      <c r="W83" s="50"/>
      <c r="X83" s="50"/>
      <c r="Y83" s="50"/>
      <c r="Z83" s="50"/>
    </row>
    <row r="84" spans="1:26">
      <c r="A84" s="320" t="s">
        <v>2584</v>
      </c>
      <c r="B84" s="320"/>
      <c r="C84" s="320"/>
      <c r="D84" s="320"/>
      <c r="E84" s="320"/>
      <c r="F84" s="50"/>
      <c r="G84" s="50"/>
      <c r="H84" s="50"/>
      <c r="I84" s="50"/>
      <c r="J84" s="50"/>
      <c r="K84" s="50"/>
      <c r="L84" s="50"/>
      <c r="M84" s="50"/>
      <c r="N84" s="50"/>
      <c r="O84" s="50"/>
      <c r="P84" s="50"/>
      <c r="Q84" s="50"/>
      <c r="R84" s="50"/>
      <c r="S84" s="50"/>
      <c r="T84" s="50"/>
      <c r="U84" s="50"/>
      <c r="V84" s="50"/>
      <c r="W84" s="50"/>
      <c r="X84" s="50"/>
      <c r="Y84" s="50"/>
      <c r="Z84" s="50"/>
    </row>
    <row r="85" spans="1:26">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c r="A86" s="27" t="s">
        <v>2585</v>
      </c>
      <c r="B86" s="27"/>
      <c r="C86" s="27"/>
      <c r="D86" s="27"/>
      <c r="E86" s="50"/>
      <c r="F86" s="50"/>
      <c r="G86" s="50"/>
      <c r="H86" s="50"/>
      <c r="I86" s="50"/>
      <c r="J86" s="50"/>
      <c r="K86" s="50"/>
      <c r="L86" s="50"/>
      <c r="M86" s="50"/>
      <c r="N86" s="50"/>
      <c r="O86" s="50"/>
      <c r="P86" s="50"/>
      <c r="Q86" s="50"/>
      <c r="R86" s="50"/>
      <c r="S86" s="50"/>
      <c r="T86" s="50"/>
      <c r="U86" s="50"/>
      <c r="V86" s="50"/>
      <c r="W86" s="50"/>
      <c r="X86" s="50"/>
      <c r="Y86" s="50"/>
      <c r="Z86" s="50"/>
    </row>
    <row r="87" spans="1:26">
      <c r="A87" s="320"/>
      <c r="B87" s="320"/>
      <c r="C87" s="320"/>
      <c r="D87" s="320"/>
      <c r="E87" s="50"/>
      <c r="F87" s="50"/>
      <c r="G87" s="50"/>
      <c r="H87" s="50"/>
      <c r="I87" s="50"/>
      <c r="J87" s="50"/>
      <c r="K87" s="50"/>
      <c r="L87" s="50"/>
      <c r="M87" s="50"/>
      <c r="N87" s="50"/>
      <c r="O87" s="50"/>
      <c r="P87" s="50"/>
      <c r="Q87" s="50"/>
      <c r="R87" s="50"/>
      <c r="S87" s="50"/>
      <c r="T87" s="50"/>
      <c r="U87" s="50"/>
      <c r="V87" s="50"/>
      <c r="W87" s="50"/>
      <c r="X87" s="50"/>
      <c r="Y87" s="50"/>
      <c r="Z87" s="50"/>
    </row>
    <row r="88" spans="1:26">
      <c r="A88" s="320" t="s">
        <v>2586</v>
      </c>
      <c r="B88" s="320"/>
      <c r="C88" s="320"/>
      <c r="D88" s="320"/>
      <c r="E88" s="50"/>
      <c r="F88" s="50"/>
      <c r="G88" s="50"/>
      <c r="H88" s="50"/>
      <c r="I88" s="50"/>
      <c r="J88" s="50"/>
      <c r="K88" s="50"/>
      <c r="L88" s="50"/>
      <c r="M88" s="50"/>
      <c r="N88" s="50"/>
      <c r="O88" s="50"/>
      <c r="P88" s="50"/>
      <c r="Q88" s="50"/>
      <c r="R88" s="50"/>
      <c r="S88" s="50"/>
      <c r="T88" s="50"/>
      <c r="U88" s="50"/>
      <c r="V88" s="50"/>
      <c r="W88" s="50"/>
      <c r="X88" s="50"/>
      <c r="Y88" s="50"/>
      <c r="Z88" s="50"/>
    </row>
    <row r="89" spans="1:26">
      <c r="A89" s="320"/>
      <c r="B89" s="320"/>
      <c r="C89" s="320"/>
      <c r="D89" s="320"/>
      <c r="E89" s="50"/>
      <c r="F89" s="50"/>
      <c r="G89" s="50"/>
      <c r="H89" s="50"/>
      <c r="I89" s="50"/>
      <c r="J89" s="50"/>
      <c r="K89" s="50"/>
      <c r="L89" s="50"/>
      <c r="M89" s="50"/>
      <c r="N89" s="50"/>
      <c r="O89" s="50"/>
      <c r="P89" s="50"/>
      <c r="Q89" s="50"/>
      <c r="R89" s="50"/>
      <c r="S89" s="50"/>
      <c r="T89" s="50"/>
      <c r="U89" s="50"/>
      <c r="V89" s="50"/>
      <c r="W89" s="50"/>
      <c r="X89" s="50"/>
      <c r="Y89" s="50"/>
      <c r="Z89" s="50"/>
    </row>
    <row r="90" spans="1:26">
      <c r="A90" s="320" t="s">
        <v>2542</v>
      </c>
      <c r="B90" s="320"/>
      <c r="C90" s="320"/>
      <c r="D90" s="320"/>
      <c r="E90" s="50"/>
      <c r="F90" s="50"/>
      <c r="G90" s="50"/>
      <c r="H90" s="50"/>
      <c r="I90" s="50"/>
      <c r="J90" s="50"/>
      <c r="K90" s="50"/>
      <c r="L90" s="50"/>
      <c r="M90" s="50"/>
      <c r="N90" s="50"/>
      <c r="O90" s="50"/>
      <c r="P90" s="50"/>
      <c r="Q90" s="50"/>
      <c r="R90" s="50"/>
      <c r="S90" s="50"/>
      <c r="T90" s="50"/>
      <c r="U90" s="50"/>
      <c r="V90" s="50"/>
      <c r="W90" s="50"/>
      <c r="X90" s="50"/>
      <c r="Y90" s="50"/>
      <c r="Z90" s="50"/>
    </row>
    <row r="91" spans="1:26">
      <c r="A91" s="320"/>
      <c r="B91" s="320"/>
      <c r="C91" s="320"/>
      <c r="D91" s="320"/>
      <c r="E91" s="50"/>
      <c r="F91" s="50"/>
      <c r="G91" s="50"/>
      <c r="H91" s="50"/>
      <c r="I91" s="50"/>
      <c r="J91" s="50"/>
      <c r="K91" s="50"/>
      <c r="L91" s="50"/>
      <c r="M91" s="50"/>
      <c r="N91" s="50"/>
      <c r="O91" s="50"/>
      <c r="P91" s="50"/>
      <c r="Q91" s="50"/>
      <c r="R91" s="50"/>
      <c r="S91" s="50"/>
      <c r="T91" s="50"/>
      <c r="U91" s="50"/>
      <c r="V91" s="50"/>
      <c r="W91" s="50"/>
      <c r="X91" s="50"/>
      <c r="Y91" s="50"/>
      <c r="Z91" s="50"/>
    </row>
    <row r="92" spans="1:26">
      <c r="A92" s="320" t="s">
        <v>2587</v>
      </c>
      <c r="B92" s="320"/>
      <c r="C92" s="320"/>
      <c r="D92" s="320"/>
      <c r="E92" s="50"/>
      <c r="F92" s="50"/>
      <c r="G92" s="50"/>
      <c r="H92" s="50"/>
      <c r="I92" s="50"/>
      <c r="J92" s="50"/>
      <c r="K92" s="50"/>
      <c r="L92" s="50"/>
      <c r="M92" s="50"/>
      <c r="N92" s="50"/>
      <c r="O92" s="50"/>
      <c r="P92" s="50"/>
      <c r="Q92" s="50"/>
      <c r="R92" s="50"/>
      <c r="S92" s="50"/>
      <c r="T92" s="50"/>
      <c r="U92" s="50"/>
      <c r="V92" s="50"/>
      <c r="W92" s="50"/>
      <c r="X92" s="50"/>
      <c r="Y92" s="50"/>
      <c r="Z92" s="50"/>
    </row>
    <row r="93" spans="1:26">
      <c r="A93" s="320" t="s">
        <v>2588</v>
      </c>
      <c r="B93" s="320"/>
      <c r="C93" s="320"/>
      <c r="D93" s="320"/>
      <c r="E93" s="50"/>
      <c r="F93" s="50"/>
      <c r="G93" s="50"/>
      <c r="H93" s="50"/>
      <c r="I93" s="50"/>
      <c r="J93" s="50"/>
      <c r="K93" s="50"/>
      <c r="L93" s="50"/>
      <c r="M93" s="50"/>
      <c r="N93" s="50"/>
      <c r="O93" s="50"/>
      <c r="P93" s="50"/>
      <c r="Q93" s="50"/>
      <c r="R93" s="50"/>
      <c r="S93" s="50"/>
      <c r="T93" s="50"/>
      <c r="U93" s="50"/>
      <c r="V93" s="50"/>
      <c r="W93" s="50"/>
      <c r="X93" s="50"/>
      <c r="Y93" s="50"/>
      <c r="Z93" s="50"/>
    </row>
    <row r="94" spans="1:26">
      <c r="A94" s="320" t="s">
        <v>2589</v>
      </c>
      <c r="B94" s="320"/>
      <c r="C94" s="320"/>
      <c r="D94" s="320"/>
      <c r="E94" s="50"/>
      <c r="F94" s="50"/>
      <c r="G94" s="50"/>
      <c r="H94" s="50"/>
      <c r="I94" s="50"/>
      <c r="J94" s="50"/>
      <c r="K94" s="50"/>
      <c r="L94" s="50"/>
      <c r="M94" s="50"/>
      <c r="N94" s="50"/>
      <c r="O94" s="50"/>
      <c r="P94" s="50"/>
      <c r="Q94" s="50"/>
      <c r="R94" s="50"/>
      <c r="S94" s="50"/>
      <c r="T94" s="50"/>
      <c r="U94" s="50"/>
      <c r="V94" s="50"/>
      <c r="W94" s="50"/>
      <c r="X94" s="50"/>
      <c r="Y94" s="50"/>
      <c r="Z94" s="50"/>
    </row>
    <row r="95" spans="1:26">
      <c r="A95" s="320" t="s">
        <v>2590</v>
      </c>
      <c r="B95" s="320"/>
      <c r="C95" s="320"/>
      <c r="D95" s="320"/>
      <c r="E95" s="50"/>
      <c r="F95" s="50"/>
      <c r="G95" s="50"/>
      <c r="H95" s="50"/>
      <c r="I95" s="50"/>
      <c r="J95" s="50"/>
      <c r="K95" s="50"/>
      <c r="L95" s="50"/>
      <c r="M95" s="50"/>
      <c r="N95" s="50"/>
      <c r="O95" s="50"/>
      <c r="P95" s="50"/>
      <c r="Q95" s="50"/>
      <c r="R95" s="50"/>
      <c r="S95" s="50"/>
      <c r="T95" s="50"/>
      <c r="U95" s="50"/>
      <c r="V95" s="50"/>
      <c r="W95" s="50"/>
      <c r="X95" s="50"/>
      <c r="Y95" s="50"/>
      <c r="Z95" s="50"/>
    </row>
    <row r="96" spans="1:26">
      <c r="A96" s="320" t="s">
        <v>2591</v>
      </c>
      <c r="B96" s="320"/>
      <c r="C96" s="320"/>
      <c r="D96" s="320"/>
      <c r="E96" s="50"/>
      <c r="F96" s="50"/>
      <c r="G96" s="50"/>
      <c r="H96" s="50"/>
      <c r="I96" s="50"/>
      <c r="J96" s="50"/>
      <c r="K96" s="50"/>
      <c r="L96" s="50"/>
      <c r="M96" s="50"/>
      <c r="N96" s="50"/>
      <c r="O96" s="50"/>
      <c r="P96" s="50"/>
      <c r="Q96" s="50"/>
      <c r="R96" s="50"/>
      <c r="S96" s="50"/>
      <c r="T96" s="50"/>
      <c r="U96" s="50"/>
      <c r="V96" s="50"/>
      <c r="W96" s="50"/>
      <c r="X96" s="50"/>
      <c r="Y96" s="50"/>
      <c r="Z96" s="50"/>
    </row>
    <row r="97" spans="1:26">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c r="A98" s="27" t="s">
        <v>2592</v>
      </c>
      <c r="B98" s="27"/>
      <c r="C98" s="27"/>
      <c r="D98" s="27"/>
      <c r="E98" s="27"/>
      <c r="F98" s="50"/>
      <c r="G98" s="50"/>
      <c r="H98" s="50"/>
      <c r="I98" s="50"/>
      <c r="J98" s="50"/>
      <c r="K98" s="50"/>
      <c r="L98" s="50"/>
      <c r="M98" s="50"/>
      <c r="N98" s="50"/>
      <c r="O98" s="50"/>
      <c r="P98" s="50"/>
      <c r="Q98" s="50"/>
      <c r="R98" s="50"/>
      <c r="S98" s="50"/>
      <c r="T98" s="50"/>
      <c r="U98" s="50"/>
      <c r="V98" s="50"/>
      <c r="W98" s="50"/>
      <c r="X98" s="50"/>
      <c r="Y98" s="50"/>
      <c r="Z98" s="50"/>
    </row>
    <row r="99" spans="1:26">
      <c r="A99" s="320"/>
      <c r="B99" s="320"/>
      <c r="C99" s="320"/>
      <c r="D99" s="320"/>
      <c r="E99" s="320"/>
      <c r="F99" s="50"/>
      <c r="G99" s="50"/>
      <c r="H99" s="50"/>
      <c r="I99" s="50"/>
      <c r="J99" s="50"/>
      <c r="K99" s="50"/>
      <c r="L99" s="50"/>
      <c r="M99" s="50"/>
      <c r="N99" s="50"/>
      <c r="O99" s="50"/>
      <c r="P99" s="50"/>
      <c r="Q99" s="50"/>
      <c r="R99" s="50"/>
      <c r="S99" s="50"/>
      <c r="T99" s="50"/>
      <c r="U99" s="50"/>
      <c r="V99" s="50"/>
      <c r="W99" s="50"/>
      <c r="X99" s="50"/>
      <c r="Y99" s="50"/>
      <c r="Z99" s="50"/>
    </row>
    <row r="100" spans="1:26">
      <c r="A100" s="320" t="s">
        <v>2593</v>
      </c>
      <c r="B100" s="320"/>
      <c r="C100" s="320"/>
      <c r="D100" s="320"/>
      <c r="E100" s="320"/>
      <c r="F100" s="50"/>
      <c r="G100" s="50"/>
      <c r="H100" s="50"/>
      <c r="I100" s="50"/>
      <c r="J100" s="50"/>
      <c r="K100" s="50"/>
      <c r="L100" s="50"/>
      <c r="M100" s="50"/>
      <c r="N100" s="50"/>
      <c r="O100" s="50"/>
      <c r="P100" s="50"/>
      <c r="Q100" s="50"/>
      <c r="R100" s="50"/>
      <c r="S100" s="50"/>
      <c r="T100" s="50"/>
      <c r="U100" s="50"/>
      <c r="V100" s="50"/>
      <c r="W100" s="50"/>
      <c r="X100" s="50"/>
      <c r="Y100" s="50"/>
      <c r="Z100" s="50"/>
    </row>
    <row r="101" spans="1:26">
      <c r="A101" s="320"/>
      <c r="B101" s="320"/>
      <c r="C101" s="320"/>
      <c r="D101" s="320"/>
      <c r="E101" s="320"/>
      <c r="F101" s="50"/>
      <c r="G101" s="50"/>
      <c r="H101" s="50"/>
      <c r="I101" s="50"/>
      <c r="J101" s="50"/>
      <c r="K101" s="50"/>
      <c r="L101" s="50"/>
      <c r="M101" s="50"/>
      <c r="N101" s="50"/>
      <c r="O101" s="50"/>
      <c r="P101" s="50"/>
      <c r="Q101" s="50"/>
      <c r="R101" s="50"/>
      <c r="S101" s="50"/>
      <c r="T101" s="50"/>
      <c r="U101" s="50"/>
      <c r="V101" s="50"/>
      <c r="W101" s="50"/>
      <c r="X101" s="50"/>
      <c r="Y101" s="50"/>
      <c r="Z101" s="50"/>
    </row>
    <row r="102" spans="1:26">
      <c r="A102" s="320" t="s">
        <v>2542</v>
      </c>
      <c r="B102" s="320"/>
      <c r="C102" s="320"/>
      <c r="D102" s="320"/>
      <c r="E102" s="320"/>
      <c r="F102" s="50"/>
      <c r="G102" s="50"/>
      <c r="H102" s="50"/>
      <c r="I102" s="50"/>
      <c r="J102" s="50"/>
      <c r="K102" s="50"/>
      <c r="L102" s="50"/>
      <c r="M102" s="50"/>
      <c r="N102" s="50"/>
      <c r="O102" s="50"/>
      <c r="P102" s="50"/>
      <c r="Q102" s="50"/>
      <c r="R102" s="50"/>
      <c r="S102" s="50"/>
      <c r="T102" s="50"/>
      <c r="U102" s="50"/>
      <c r="V102" s="50"/>
      <c r="W102" s="50"/>
      <c r="X102" s="50"/>
      <c r="Y102" s="50"/>
      <c r="Z102" s="50"/>
    </row>
    <row r="103" spans="1:26">
      <c r="A103" s="320"/>
      <c r="B103" s="320"/>
      <c r="C103" s="320"/>
      <c r="D103" s="320"/>
      <c r="E103" s="320"/>
      <c r="F103" s="50"/>
      <c r="G103" s="50"/>
      <c r="H103" s="50"/>
      <c r="I103" s="50"/>
      <c r="J103" s="50"/>
      <c r="K103" s="50"/>
      <c r="L103" s="50"/>
      <c r="M103" s="50"/>
      <c r="N103" s="50"/>
      <c r="O103" s="50"/>
      <c r="P103" s="50"/>
      <c r="Q103" s="50"/>
      <c r="R103" s="50"/>
      <c r="S103" s="50"/>
      <c r="T103" s="50"/>
      <c r="U103" s="50"/>
      <c r="V103" s="50"/>
      <c r="W103" s="50"/>
      <c r="X103" s="50"/>
      <c r="Y103" s="50"/>
      <c r="Z103" s="50"/>
    </row>
    <row r="104" spans="1:26">
      <c r="A104" s="320" t="s">
        <v>2594</v>
      </c>
      <c r="B104" s="320"/>
      <c r="C104" s="320"/>
      <c r="D104" s="320"/>
      <c r="E104" s="320"/>
      <c r="F104" s="50"/>
      <c r="G104" s="50"/>
      <c r="H104" s="50"/>
      <c r="I104" s="50"/>
      <c r="J104" s="50"/>
      <c r="K104" s="50"/>
      <c r="L104" s="50"/>
      <c r="M104" s="50"/>
      <c r="N104" s="50"/>
      <c r="O104" s="50"/>
      <c r="P104" s="50"/>
      <c r="Q104" s="50"/>
      <c r="R104" s="50"/>
      <c r="S104" s="50"/>
      <c r="T104" s="50"/>
      <c r="U104" s="50"/>
      <c r="V104" s="50"/>
      <c r="W104" s="50"/>
      <c r="X104" s="50"/>
      <c r="Y104" s="50"/>
      <c r="Z104" s="50"/>
    </row>
    <row r="105" spans="1:26">
      <c r="A105" s="320" t="s">
        <v>2595</v>
      </c>
      <c r="B105" s="320"/>
      <c r="C105" s="320"/>
      <c r="D105" s="320"/>
      <c r="E105" s="320"/>
      <c r="F105" s="50"/>
      <c r="G105" s="50"/>
      <c r="H105" s="50"/>
      <c r="I105" s="50"/>
      <c r="J105" s="50"/>
      <c r="K105" s="50"/>
      <c r="L105" s="50"/>
      <c r="M105" s="50"/>
      <c r="N105" s="50"/>
      <c r="O105" s="50"/>
      <c r="P105" s="50"/>
      <c r="Q105" s="50"/>
      <c r="R105" s="50"/>
      <c r="S105" s="50"/>
      <c r="T105" s="50"/>
      <c r="U105" s="50"/>
      <c r="V105" s="50"/>
      <c r="W105" s="50"/>
      <c r="X105" s="50"/>
      <c r="Y105" s="50"/>
      <c r="Z105" s="50"/>
    </row>
    <row r="106" spans="1:26">
      <c r="A106" s="320" t="s">
        <v>2596</v>
      </c>
      <c r="B106" s="320"/>
      <c r="C106" s="320"/>
      <c r="D106" s="320"/>
      <c r="E106" s="320"/>
      <c r="F106" s="50"/>
      <c r="G106" s="50"/>
      <c r="H106" s="50"/>
      <c r="I106" s="50"/>
      <c r="J106" s="50"/>
      <c r="K106" s="50"/>
      <c r="L106" s="50"/>
      <c r="M106" s="50"/>
      <c r="N106" s="50"/>
      <c r="O106" s="50"/>
      <c r="P106" s="50"/>
      <c r="Q106" s="50"/>
      <c r="R106" s="50"/>
      <c r="S106" s="50"/>
      <c r="T106" s="50"/>
      <c r="U106" s="50"/>
      <c r="V106" s="50"/>
      <c r="W106" s="50"/>
      <c r="X106" s="50"/>
      <c r="Y106" s="50"/>
      <c r="Z106" s="50"/>
    </row>
    <row r="107" spans="1:26">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c r="A108" s="27" t="s">
        <v>2597</v>
      </c>
      <c r="B108" s="27"/>
      <c r="C108" s="27"/>
      <c r="D108" s="27"/>
      <c r="E108" s="27"/>
      <c r="F108" s="50"/>
      <c r="G108" s="50"/>
      <c r="H108" s="50"/>
      <c r="I108" s="50"/>
      <c r="J108" s="50"/>
      <c r="K108" s="50"/>
      <c r="L108" s="50"/>
      <c r="M108" s="50"/>
      <c r="N108" s="50"/>
      <c r="O108" s="50"/>
      <c r="P108" s="50"/>
      <c r="Q108" s="50"/>
      <c r="R108" s="50"/>
      <c r="S108" s="50"/>
      <c r="T108" s="50"/>
      <c r="U108" s="50"/>
      <c r="V108" s="50"/>
      <c r="W108" s="50"/>
      <c r="X108" s="50"/>
      <c r="Y108" s="50"/>
      <c r="Z108" s="50"/>
    </row>
    <row r="109" spans="1:26">
      <c r="A109" s="320"/>
      <c r="B109" s="320"/>
      <c r="C109" s="320"/>
      <c r="D109" s="320"/>
      <c r="E109" s="320"/>
      <c r="F109" s="50"/>
      <c r="G109" s="50"/>
      <c r="H109" s="50"/>
      <c r="I109" s="50"/>
      <c r="J109" s="50"/>
      <c r="K109" s="50"/>
      <c r="L109" s="50"/>
      <c r="M109" s="50"/>
      <c r="N109" s="50"/>
      <c r="O109" s="50"/>
      <c r="P109" s="50"/>
      <c r="Q109" s="50"/>
      <c r="R109" s="50"/>
      <c r="S109" s="50"/>
      <c r="T109" s="50"/>
      <c r="U109" s="50"/>
      <c r="V109" s="50"/>
      <c r="W109" s="50"/>
      <c r="X109" s="50"/>
      <c r="Y109" s="50"/>
      <c r="Z109" s="50"/>
    </row>
    <row r="110" spans="1:26">
      <c r="A110" s="320" t="s">
        <v>2598</v>
      </c>
      <c r="B110" s="320"/>
      <c r="C110" s="320"/>
      <c r="D110" s="320"/>
      <c r="E110" s="320"/>
      <c r="F110" s="50"/>
      <c r="G110" s="50"/>
      <c r="H110" s="50"/>
      <c r="I110" s="50"/>
      <c r="J110" s="50"/>
      <c r="K110" s="50"/>
      <c r="L110" s="50"/>
      <c r="M110" s="50"/>
      <c r="N110" s="50"/>
      <c r="O110" s="50"/>
      <c r="P110" s="50"/>
      <c r="Q110" s="50"/>
      <c r="R110" s="50"/>
      <c r="S110" s="50"/>
      <c r="T110" s="50"/>
      <c r="U110" s="50"/>
      <c r="V110" s="50"/>
      <c r="W110" s="50"/>
      <c r="X110" s="50"/>
      <c r="Y110" s="50"/>
      <c r="Z110" s="50"/>
    </row>
    <row r="111" spans="1:26">
      <c r="A111" s="320"/>
      <c r="B111" s="320"/>
      <c r="C111" s="320"/>
      <c r="D111" s="320"/>
      <c r="E111" s="320"/>
      <c r="F111" s="50"/>
      <c r="G111" s="50"/>
      <c r="H111" s="50"/>
      <c r="I111" s="50"/>
      <c r="J111" s="50"/>
      <c r="K111" s="50"/>
      <c r="L111" s="50"/>
      <c r="M111" s="50"/>
      <c r="N111" s="50"/>
      <c r="O111" s="50"/>
      <c r="P111" s="50"/>
      <c r="Q111" s="50"/>
      <c r="R111" s="50"/>
      <c r="S111" s="50"/>
      <c r="T111" s="50"/>
      <c r="U111" s="50"/>
      <c r="V111" s="50"/>
      <c r="W111" s="50"/>
      <c r="X111" s="50"/>
      <c r="Y111" s="50"/>
      <c r="Z111" s="50"/>
    </row>
    <row r="112" spans="1:26">
      <c r="A112" s="320" t="s">
        <v>2599</v>
      </c>
      <c r="B112" s="320"/>
      <c r="C112" s="320"/>
      <c r="D112" s="320"/>
      <c r="E112" s="320"/>
      <c r="F112" s="50"/>
      <c r="G112" s="50"/>
      <c r="H112" s="50"/>
      <c r="I112" s="50"/>
      <c r="J112" s="50"/>
      <c r="K112" s="50"/>
      <c r="L112" s="50"/>
      <c r="M112" s="50"/>
      <c r="N112" s="50"/>
      <c r="O112" s="50"/>
      <c r="P112" s="50"/>
      <c r="Q112" s="50"/>
      <c r="R112" s="50"/>
      <c r="S112" s="50"/>
      <c r="T112" s="50"/>
      <c r="U112" s="50"/>
      <c r="V112" s="50"/>
      <c r="W112" s="50"/>
      <c r="X112" s="50"/>
      <c r="Y112" s="50"/>
      <c r="Z112" s="50"/>
    </row>
    <row r="113" spans="1:26">
      <c r="A113" s="320"/>
      <c r="B113" s="320"/>
      <c r="C113" s="320"/>
      <c r="D113" s="320"/>
      <c r="E113" s="320"/>
      <c r="F113" s="50"/>
      <c r="G113" s="50"/>
      <c r="H113" s="50"/>
      <c r="I113" s="50"/>
      <c r="J113" s="50"/>
      <c r="K113" s="50"/>
      <c r="L113" s="50"/>
      <c r="M113" s="50"/>
      <c r="N113" s="50"/>
      <c r="O113" s="50"/>
      <c r="P113" s="50"/>
      <c r="Q113" s="50"/>
      <c r="R113" s="50"/>
      <c r="S113" s="50"/>
      <c r="T113" s="50"/>
      <c r="U113" s="50"/>
      <c r="V113" s="50"/>
      <c r="W113" s="50"/>
      <c r="X113" s="50"/>
      <c r="Y113" s="50"/>
      <c r="Z113" s="50"/>
    </row>
    <row r="114" spans="1:26">
      <c r="A114" s="320" t="s">
        <v>296</v>
      </c>
      <c r="B114" s="320"/>
      <c r="C114" s="320"/>
      <c r="D114" s="320"/>
      <c r="E114" s="320"/>
      <c r="F114" s="50"/>
      <c r="G114" s="50"/>
      <c r="H114" s="50"/>
      <c r="I114" s="50"/>
      <c r="J114" s="50"/>
      <c r="K114" s="50"/>
      <c r="L114" s="50"/>
      <c r="M114" s="50"/>
      <c r="N114" s="50"/>
      <c r="O114" s="50"/>
      <c r="P114" s="50"/>
      <c r="Q114" s="50"/>
      <c r="R114" s="50"/>
      <c r="S114" s="50"/>
      <c r="T114" s="50"/>
      <c r="U114" s="50"/>
      <c r="V114" s="50"/>
      <c r="W114" s="50"/>
      <c r="X114" s="50"/>
      <c r="Y114" s="50"/>
      <c r="Z114" s="50"/>
    </row>
    <row r="115" spans="1:26">
      <c r="A115" s="320" t="s">
        <v>298</v>
      </c>
      <c r="B115" s="320"/>
      <c r="C115" s="320"/>
      <c r="D115" s="320"/>
      <c r="E115" s="320"/>
      <c r="F115" s="50"/>
      <c r="G115" s="50"/>
      <c r="H115" s="50"/>
      <c r="I115" s="50"/>
      <c r="J115" s="50"/>
      <c r="K115" s="50"/>
      <c r="L115" s="50"/>
      <c r="M115" s="50"/>
      <c r="N115" s="50"/>
      <c r="O115" s="50"/>
      <c r="P115" s="50"/>
      <c r="Q115" s="50"/>
      <c r="R115" s="50"/>
      <c r="S115" s="50"/>
      <c r="T115" s="50"/>
      <c r="U115" s="50"/>
      <c r="V115" s="50"/>
      <c r="W115" s="50"/>
      <c r="X115" s="50"/>
      <c r="Y115" s="50"/>
      <c r="Z115" s="50"/>
    </row>
    <row r="116" spans="1:26">
      <c r="A116" s="320" t="s">
        <v>297</v>
      </c>
      <c r="B116" s="320"/>
      <c r="C116" s="320"/>
      <c r="D116" s="320"/>
      <c r="E116" s="320"/>
      <c r="F116" s="50"/>
      <c r="G116" s="50"/>
      <c r="H116" s="50"/>
      <c r="I116" s="50"/>
      <c r="J116" s="50"/>
      <c r="K116" s="50"/>
      <c r="L116" s="50"/>
      <c r="M116" s="50"/>
      <c r="N116" s="50"/>
      <c r="O116" s="50"/>
      <c r="P116" s="50"/>
      <c r="Q116" s="50"/>
      <c r="R116" s="50"/>
      <c r="S116" s="50"/>
      <c r="T116" s="50"/>
      <c r="U116" s="50"/>
      <c r="V116" s="50"/>
      <c r="W116" s="50"/>
      <c r="X116" s="50"/>
      <c r="Y116" s="50"/>
      <c r="Z116" s="50"/>
    </row>
    <row r="117" spans="1:26">
      <c r="A117" s="320"/>
      <c r="B117" s="320"/>
      <c r="C117" s="320"/>
      <c r="D117" s="320"/>
      <c r="E117" s="320"/>
      <c r="F117" s="50"/>
      <c r="G117" s="50"/>
      <c r="H117" s="50"/>
      <c r="I117" s="50"/>
      <c r="J117" s="50"/>
      <c r="K117" s="50"/>
      <c r="L117" s="50"/>
      <c r="M117" s="50"/>
      <c r="N117" s="50"/>
      <c r="O117" s="50"/>
      <c r="P117" s="50"/>
      <c r="Q117" s="50"/>
      <c r="R117" s="50"/>
      <c r="S117" s="50"/>
      <c r="T117" s="50"/>
      <c r="U117" s="50"/>
      <c r="V117" s="50"/>
      <c r="W117" s="50"/>
      <c r="X117" s="50"/>
      <c r="Y117" s="50"/>
      <c r="Z117" s="50"/>
    </row>
    <row r="118" spans="1:26">
      <c r="A118" s="320" t="s">
        <v>2542</v>
      </c>
      <c r="B118" s="320"/>
      <c r="C118" s="320"/>
      <c r="D118" s="320"/>
      <c r="E118" s="320"/>
      <c r="F118" s="50"/>
      <c r="G118" s="50"/>
      <c r="H118" s="50"/>
      <c r="I118" s="50"/>
      <c r="J118" s="50"/>
      <c r="K118" s="50"/>
      <c r="L118" s="50"/>
      <c r="M118" s="50"/>
      <c r="N118" s="50"/>
      <c r="O118" s="50"/>
      <c r="P118" s="50"/>
      <c r="Q118" s="50"/>
      <c r="R118" s="50"/>
      <c r="S118" s="50"/>
      <c r="T118" s="50"/>
      <c r="U118" s="50"/>
      <c r="V118" s="50"/>
      <c r="W118" s="50"/>
      <c r="X118" s="50"/>
      <c r="Y118" s="50"/>
      <c r="Z118" s="50"/>
    </row>
    <row r="119" spans="1:26">
      <c r="A119" s="320"/>
      <c r="B119" s="320"/>
      <c r="C119" s="320"/>
      <c r="D119" s="320"/>
      <c r="E119" s="320"/>
      <c r="F119" s="50"/>
      <c r="G119" s="50"/>
      <c r="H119" s="50"/>
      <c r="I119" s="50"/>
      <c r="J119" s="50"/>
      <c r="K119" s="50"/>
      <c r="L119" s="50"/>
      <c r="M119" s="50"/>
      <c r="N119" s="50"/>
      <c r="O119" s="50"/>
      <c r="P119" s="50"/>
      <c r="Q119" s="50"/>
      <c r="R119" s="50"/>
      <c r="S119" s="50"/>
      <c r="T119" s="50"/>
      <c r="U119" s="50"/>
      <c r="V119" s="50"/>
      <c r="W119" s="50"/>
      <c r="X119" s="50"/>
      <c r="Y119" s="50"/>
      <c r="Z119" s="50"/>
    </row>
    <row r="120" spans="1:26">
      <c r="A120" s="320" t="s">
        <v>2600</v>
      </c>
      <c r="B120" s="320"/>
      <c r="C120" s="320"/>
      <c r="D120" s="320"/>
      <c r="E120" s="320"/>
      <c r="F120" s="50"/>
      <c r="G120" s="50"/>
      <c r="H120" s="50"/>
      <c r="I120" s="50"/>
      <c r="J120" s="50"/>
      <c r="K120" s="50"/>
      <c r="L120" s="50"/>
      <c r="M120" s="50"/>
      <c r="N120" s="50"/>
      <c r="O120" s="50"/>
      <c r="P120" s="50"/>
      <c r="Q120" s="50"/>
      <c r="R120" s="50"/>
      <c r="S120" s="50"/>
      <c r="T120" s="50"/>
      <c r="U120" s="50"/>
      <c r="V120" s="50"/>
      <c r="W120" s="50"/>
      <c r="X120" s="50"/>
      <c r="Y120" s="50"/>
      <c r="Z120" s="50"/>
    </row>
    <row r="121" spans="1:26">
      <c r="A121" s="320" t="s">
        <v>2601</v>
      </c>
      <c r="B121" s="320"/>
      <c r="C121" s="320"/>
      <c r="D121" s="320"/>
      <c r="E121" s="320"/>
      <c r="F121" s="50"/>
      <c r="G121" s="50"/>
      <c r="H121" s="50"/>
      <c r="I121" s="50"/>
      <c r="J121" s="50"/>
      <c r="K121" s="50"/>
      <c r="L121" s="50"/>
      <c r="M121" s="50"/>
      <c r="N121" s="50"/>
      <c r="O121" s="50"/>
      <c r="P121" s="50"/>
      <c r="Q121" s="50"/>
      <c r="R121" s="50"/>
      <c r="S121" s="50"/>
      <c r="T121" s="50"/>
      <c r="U121" s="50"/>
      <c r="V121" s="50"/>
      <c r="W121" s="50"/>
      <c r="X121" s="50"/>
      <c r="Y121" s="50"/>
      <c r="Z121" s="50"/>
    </row>
    <row r="122" spans="1:26">
      <c r="A122" s="320" t="s">
        <v>2602</v>
      </c>
      <c r="B122" s="320"/>
      <c r="C122" s="320"/>
      <c r="D122" s="320"/>
      <c r="E122" s="320"/>
      <c r="F122" s="50"/>
      <c r="G122" s="50"/>
      <c r="H122" s="50"/>
      <c r="I122" s="50"/>
      <c r="J122" s="50"/>
      <c r="K122" s="50"/>
      <c r="L122" s="50"/>
      <c r="M122" s="50"/>
      <c r="N122" s="50"/>
      <c r="O122" s="50"/>
      <c r="P122" s="50"/>
      <c r="Q122" s="50"/>
      <c r="R122" s="50"/>
      <c r="S122" s="50"/>
      <c r="T122" s="50"/>
      <c r="U122" s="50"/>
      <c r="V122" s="50"/>
      <c r="W122" s="50"/>
      <c r="X122" s="50"/>
      <c r="Y122" s="50"/>
      <c r="Z122" s="50"/>
    </row>
    <row r="123" spans="1:26">
      <c r="A123" s="320" t="s">
        <v>2603</v>
      </c>
      <c r="B123" s="320"/>
      <c r="C123" s="320"/>
      <c r="D123" s="320"/>
      <c r="E123" s="320"/>
      <c r="F123" s="50"/>
      <c r="G123" s="50"/>
      <c r="H123" s="50"/>
      <c r="I123" s="50"/>
      <c r="J123" s="50"/>
      <c r="K123" s="50"/>
      <c r="L123" s="50"/>
      <c r="M123" s="50"/>
      <c r="N123" s="50"/>
      <c r="O123" s="50"/>
      <c r="P123" s="50"/>
      <c r="Q123" s="50"/>
      <c r="R123" s="50"/>
      <c r="S123" s="50"/>
      <c r="T123" s="50"/>
      <c r="U123" s="50"/>
      <c r="V123" s="50"/>
      <c r="W123" s="50"/>
      <c r="X123" s="50"/>
      <c r="Y123" s="50"/>
      <c r="Z123" s="50"/>
    </row>
    <row r="124" spans="1:26">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c r="A125" s="27" t="s">
        <v>1266</v>
      </c>
      <c r="B125" s="27" t="s">
        <v>1563</v>
      </c>
      <c r="C125" s="27" t="s">
        <v>1252</v>
      </c>
      <c r="D125" s="27" t="s">
        <v>198</v>
      </c>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c r="A126" s="320" t="s">
        <v>950</v>
      </c>
      <c r="B126" s="320" t="s">
        <v>1000</v>
      </c>
      <c r="C126" s="320" t="s">
        <v>2471</v>
      </c>
      <c r="D126" s="320" t="s">
        <v>1145</v>
      </c>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c r="A127" s="320" t="s">
        <v>952</v>
      </c>
      <c r="B127" s="320" t="s">
        <v>2127</v>
      </c>
      <c r="C127" s="320" t="s">
        <v>467</v>
      </c>
      <c r="D127" s="320" t="s">
        <v>2126</v>
      </c>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c r="A128" s="320" t="s">
        <v>954</v>
      </c>
      <c r="B128" s="320" t="s">
        <v>999</v>
      </c>
      <c r="C128" s="320" t="s">
        <v>2129</v>
      </c>
      <c r="D128" s="320" t="s">
        <v>2471</v>
      </c>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c r="A130" s="27" t="s">
        <v>2608</v>
      </c>
      <c r="B130" s="27"/>
      <c r="C130" s="27"/>
      <c r="D130" s="50"/>
      <c r="E130" s="50"/>
      <c r="F130" s="50"/>
      <c r="G130" s="50"/>
      <c r="H130" s="50"/>
      <c r="I130" s="50"/>
      <c r="J130" s="27" t="s">
        <v>1282</v>
      </c>
      <c r="K130" s="27" t="s">
        <v>129</v>
      </c>
      <c r="L130" s="27" t="s">
        <v>2649</v>
      </c>
      <c r="M130" s="50"/>
      <c r="N130" s="50"/>
      <c r="O130" s="50"/>
      <c r="P130" s="50"/>
      <c r="Q130" s="50"/>
      <c r="R130" s="50"/>
      <c r="S130" s="50"/>
      <c r="T130" s="50"/>
      <c r="U130" s="50"/>
      <c r="V130" s="50"/>
      <c r="W130" s="50"/>
      <c r="X130" s="50"/>
      <c r="Y130" s="50"/>
      <c r="Z130" s="50"/>
    </row>
    <row r="131" spans="1:26">
      <c r="A131" s="27" t="s">
        <v>2609</v>
      </c>
      <c r="B131" s="27"/>
      <c r="C131" s="27"/>
      <c r="D131" s="529"/>
      <c r="E131" s="529"/>
      <c r="F131" s="529"/>
      <c r="G131" s="529"/>
      <c r="H131" s="529"/>
      <c r="I131" s="50"/>
      <c r="J131" s="320" t="s">
        <v>2650</v>
      </c>
      <c r="K131" s="330">
        <v>0.03</v>
      </c>
      <c r="L131" s="320" t="s">
        <v>2651</v>
      </c>
      <c r="M131" s="50"/>
      <c r="N131" s="50"/>
      <c r="O131" s="50"/>
      <c r="P131" s="50"/>
      <c r="Q131" s="50"/>
      <c r="R131" s="50"/>
      <c r="S131" s="50"/>
      <c r="T131" s="50"/>
      <c r="U131" s="50"/>
      <c r="V131" s="50"/>
      <c r="W131" s="50"/>
      <c r="X131" s="50"/>
      <c r="Y131" s="50"/>
      <c r="Z131" s="50"/>
    </row>
    <row r="132" spans="1:26">
      <c r="A132" s="320" t="s">
        <v>2610</v>
      </c>
      <c r="B132" s="320"/>
      <c r="C132" s="320"/>
      <c r="D132" s="320"/>
      <c r="E132" s="320"/>
      <c r="F132" s="320"/>
      <c r="G132" s="320"/>
      <c r="H132" s="320"/>
      <c r="I132" s="50"/>
      <c r="J132" s="320" t="s">
        <v>244</v>
      </c>
      <c r="K132" s="330">
        <v>0.03</v>
      </c>
      <c r="L132" s="320" t="s">
        <v>2652</v>
      </c>
      <c r="M132" s="50"/>
      <c r="N132" s="50"/>
      <c r="O132" s="50"/>
      <c r="P132" s="50"/>
      <c r="Q132" s="50"/>
      <c r="R132" s="50"/>
      <c r="S132" s="50"/>
      <c r="T132" s="50"/>
      <c r="U132" s="50"/>
      <c r="V132" s="50"/>
      <c r="W132" s="50"/>
      <c r="X132" s="50"/>
      <c r="Y132" s="50"/>
      <c r="Z132" s="50"/>
    </row>
    <row r="133" spans="1:26">
      <c r="A133" s="320"/>
      <c r="B133" s="320"/>
      <c r="C133" s="320"/>
      <c r="D133" s="320"/>
      <c r="E133" s="320"/>
      <c r="F133" s="320"/>
      <c r="G133" s="320"/>
      <c r="H133" s="320"/>
      <c r="I133" s="50"/>
      <c r="J133" s="320" t="s">
        <v>458</v>
      </c>
      <c r="K133" s="330">
        <v>0.05</v>
      </c>
      <c r="L133" s="320" t="s">
        <v>2653</v>
      </c>
      <c r="M133" s="50"/>
      <c r="N133" s="50"/>
      <c r="O133" s="50"/>
      <c r="P133" s="50"/>
      <c r="Q133" s="50"/>
      <c r="R133" s="50"/>
      <c r="S133" s="50"/>
      <c r="T133" s="50"/>
      <c r="U133" s="50"/>
      <c r="V133" s="50"/>
      <c r="W133" s="50"/>
      <c r="X133" s="50"/>
      <c r="Y133" s="50"/>
      <c r="Z133" s="50"/>
    </row>
    <row r="134" spans="1:26">
      <c r="A134" s="320" t="s">
        <v>2611</v>
      </c>
      <c r="B134" s="320"/>
      <c r="C134" s="320"/>
      <c r="D134" s="320"/>
      <c r="E134" s="320"/>
      <c r="F134" s="320"/>
      <c r="G134" s="320"/>
      <c r="H134" s="320"/>
      <c r="I134" s="50"/>
      <c r="J134" s="320" t="s">
        <v>1390</v>
      </c>
      <c r="K134" s="330">
        <v>0.12</v>
      </c>
      <c r="L134" s="320" t="s">
        <v>2654</v>
      </c>
      <c r="M134" s="50"/>
      <c r="N134" s="50"/>
      <c r="O134" s="50"/>
      <c r="P134" s="50"/>
      <c r="Q134" s="50"/>
      <c r="R134" s="50"/>
      <c r="S134" s="50"/>
      <c r="T134" s="50"/>
      <c r="U134" s="50"/>
      <c r="V134" s="50"/>
      <c r="W134" s="50"/>
      <c r="X134" s="50"/>
      <c r="Y134" s="50"/>
      <c r="Z134" s="50"/>
    </row>
    <row r="135" spans="1:26">
      <c r="A135" s="320"/>
      <c r="B135" s="320"/>
      <c r="C135" s="320"/>
      <c r="D135" s="320"/>
      <c r="E135" s="320"/>
      <c r="F135" s="320"/>
      <c r="G135" s="320"/>
      <c r="H135" s="320"/>
      <c r="I135" s="50"/>
      <c r="J135" s="320" t="s">
        <v>2655</v>
      </c>
      <c r="K135" s="320" t="s">
        <v>2127</v>
      </c>
      <c r="L135" s="320" t="s">
        <v>2656</v>
      </c>
      <c r="M135" s="50"/>
      <c r="N135" s="50"/>
      <c r="O135" s="50"/>
      <c r="P135" s="50"/>
      <c r="Q135" s="50"/>
      <c r="R135" s="50"/>
      <c r="S135" s="50"/>
      <c r="T135" s="50"/>
      <c r="U135" s="50"/>
      <c r="V135" s="50"/>
      <c r="W135" s="50"/>
      <c r="X135" s="50"/>
      <c r="Y135" s="50"/>
      <c r="Z135" s="50"/>
    </row>
    <row r="136" spans="1:26">
      <c r="A136" s="320" t="s">
        <v>2612</v>
      </c>
      <c r="B136" s="320"/>
      <c r="C136" s="320"/>
      <c r="D136" s="320"/>
      <c r="E136" s="320"/>
      <c r="F136" s="320"/>
      <c r="G136" s="320"/>
      <c r="H136" s="320"/>
      <c r="I136" s="50"/>
      <c r="J136" s="320" t="s">
        <v>2657</v>
      </c>
      <c r="K136" s="320" t="s">
        <v>1000</v>
      </c>
      <c r="L136" s="320" t="s">
        <v>1824</v>
      </c>
      <c r="M136" s="50"/>
      <c r="N136" s="50"/>
      <c r="O136" s="50"/>
      <c r="P136" s="50"/>
      <c r="Q136" s="50"/>
      <c r="R136" s="50"/>
      <c r="S136" s="50"/>
      <c r="T136" s="50"/>
      <c r="U136" s="50"/>
      <c r="V136" s="50"/>
      <c r="W136" s="50"/>
      <c r="X136" s="50"/>
      <c r="Y136" s="50"/>
      <c r="Z136" s="50"/>
    </row>
    <row r="137" spans="1:26">
      <c r="A137" s="320" t="s">
        <v>2613</v>
      </c>
      <c r="B137" s="320"/>
      <c r="C137" s="320"/>
      <c r="D137" s="320"/>
      <c r="E137" s="320"/>
      <c r="F137" s="320"/>
      <c r="G137" s="320"/>
      <c r="H137" s="320"/>
      <c r="I137" s="50"/>
      <c r="J137" s="50"/>
      <c r="K137" s="50"/>
      <c r="L137" s="50"/>
      <c r="M137" s="50"/>
      <c r="N137" s="50"/>
      <c r="O137" s="50"/>
      <c r="P137" s="50"/>
      <c r="Q137" s="50"/>
      <c r="R137" s="50"/>
      <c r="S137" s="50"/>
      <c r="T137" s="50"/>
      <c r="U137" s="50"/>
      <c r="V137" s="50"/>
      <c r="W137" s="50"/>
      <c r="X137" s="50"/>
      <c r="Y137" s="50"/>
      <c r="Z137" s="50"/>
    </row>
    <row r="138" spans="1:26">
      <c r="A138" s="320"/>
      <c r="B138" s="320"/>
      <c r="C138" s="320"/>
      <c r="D138" s="320"/>
      <c r="E138" s="320"/>
      <c r="F138" s="320"/>
      <c r="G138" s="320"/>
      <c r="H138" s="320"/>
      <c r="I138" s="50"/>
      <c r="J138" s="50"/>
      <c r="K138" s="50"/>
      <c r="L138" s="50"/>
      <c r="M138" s="50"/>
      <c r="N138" s="50"/>
      <c r="O138" s="50"/>
      <c r="P138" s="50"/>
      <c r="Q138" s="50"/>
      <c r="R138" s="50"/>
      <c r="S138" s="50"/>
      <c r="T138" s="50"/>
      <c r="U138" s="50"/>
      <c r="V138" s="50"/>
      <c r="W138" s="50"/>
      <c r="X138" s="50"/>
      <c r="Y138" s="50"/>
      <c r="Z138" s="50"/>
    </row>
    <row r="139" spans="1:26">
      <c r="A139" s="320" t="s">
        <v>2614</v>
      </c>
      <c r="B139" s="320"/>
      <c r="C139" s="320"/>
      <c r="D139" s="320"/>
      <c r="E139" s="320"/>
      <c r="F139" s="320"/>
      <c r="G139" s="320"/>
      <c r="H139" s="320"/>
      <c r="I139" s="50"/>
      <c r="J139" s="50"/>
      <c r="K139" s="50"/>
      <c r="L139" s="50"/>
      <c r="M139" s="50"/>
      <c r="N139" s="50"/>
      <c r="O139" s="50"/>
      <c r="P139" s="50"/>
      <c r="Q139" s="50"/>
      <c r="R139" s="50"/>
      <c r="S139" s="50"/>
      <c r="T139" s="50"/>
      <c r="U139" s="50"/>
      <c r="V139" s="50"/>
      <c r="W139" s="50"/>
      <c r="X139" s="50"/>
      <c r="Y139" s="50"/>
      <c r="Z139" s="50"/>
    </row>
    <row r="140" spans="1:26">
      <c r="A140" s="320" t="s">
        <v>2615</v>
      </c>
      <c r="B140" s="320"/>
      <c r="C140" s="320"/>
      <c r="D140" s="320"/>
      <c r="E140" s="320"/>
      <c r="F140" s="320"/>
      <c r="G140" s="320"/>
      <c r="H140" s="320"/>
      <c r="I140" s="50"/>
      <c r="J140" s="50"/>
      <c r="K140" s="50"/>
      <c r="L140" s="50"/>
      <c r="M140" s="50"/>
      <c r="N140" s="50"/>
      <c r="O140" s="50"/>
      <c r="P140" s="50"/>
      <c r="Q140" s="50"/>
      <c r="R140" s="50"/>
      <c r="S140" s="50"/>
      <c r="T140" s="50"/>
      <c r="U140" s="50"/>
      <c r="V140" s="50"/>
      <c r="W140" s="50"/>
      <c r="X140" s="50"/>
      <c r="Y140" s="50"/>
      <c r="Z140" s="50"/>
    </row>
    <row r="141" spans="1:26">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c r="A142" s="27" t="s">
        <v>2616</v>
      </c>
      <c r="B142" s="27"/>
      <c r="C142" s="529"/>
      <c r="D142" s="529"/>
      <c r="E142" s="529"/>
      <c r="F142" s="529"/>
      <c r="G142" s="50"/>
      <c r="H142" s="50"/>
      <c r="I142" s="50"/>
      <c r="J142" s="50"/>
      <c r="K142" s="50"/>
      <c r="L142" s="50"/>
      <c r="M142" s="50"/>
      <c r="N142" s="50"/>
      <c r="O142" s="50"/>
      <c r="P142" s="50"/>
      <c r="Q142" s="50"/>
      <c r="R142" s="50"/>
      <c r="S142" s="50"/>
      <c r="T142" s="50"/>
      <c r="U142" s="50"/>
      <c r="V142" s="50"/>
      <c r="W142" s="50"/>
      <c r="X142" s="50"/>
      <c r="Y142" s="50"/>
      <c r="Z142" s="50"/>
    </row>
    <row r="143" spans="1:26">
      <c r="A143" s="320" t="s">
        <v>2617</v>
      </c>
      <c r="B143" s="320"/>
      <c r="C143" s="320"/>
      <c r="D143" s="320"/>
      <c r="E143" s="320"/>
      <c r="F143" s="320"/>
      <c r="G143" s="50"/>
      <c r="H143" s="50"/>
      <c r="I143" s="50"/>
      <c r="J143" s="50"/>
      <c r="K143" s="50"/>
      <c r="L143" s="50"/>
      <c r="M143" s="50"/>
      <c r="N143" s="50"/>
      <c r="O143" s="50"/>
      <c r="P143" s="50"/>
      <c r="Q143" s="50"/>
      <c r="R143" s="50"/>
      <c r="S143" s="50"/>
      <c r="T143" s="50"/>
      <c r="U143" s="50"/>
      <c r="V143" s="50"/>
      <c r="W143" s="50"/>
      <c r="X143" s="50"/>
      <c r="Y143" s="50"/>
      <c r="Z143" s="50"/>
    </row>
    <row r="144" spans="1:26">
      <c r="A144" s="320"/>
      <c r="B144" s="320"/>
      <c r="C144" s="320"/>
      <c r="D144" s="320"/>
      <c r="E144" s="320"/>
      <c r="F144" s="320"/>
      <c r="G144" s="50"/>
      <c r="H144" s="50"/>
      <c r="I144" s="50"/>
      <c r="J144" s="50"/>
      <c r="K144" s="50"/>
      <c r="L144" s="50"/>
      <c r="M144" s="50"/>
      <c r="N144" s="50"/>
      <c r="O144" s="50"/>
      <c r="P144" s="50"/>
      <c r="Q144" s="50"/>
      <c r="R144" s="50"/>
      <c r="S144" s="50"/>
      <c r="T144" s="50"/>
      <c r="U144" s="50"/>
      <c r="V144" s="50"/>
      <c r="W144" s="50"/>
      <c r="X144" s="50"/>
      <c r="Y144" s="50"/>
      <c r="Z144" s="50"/>
    </row>
    <row r="145" spans="1:26">
      <c r="A145" s="320" t="s">
        <v>2611</v>
      </c>
      <c r="B145" s="320"/>
      <c r="C145" s="320"/>
      <c r="D145" s="320"/>
      <c r="E145" s="320"/>
      <c r="F145" s="320"/>
      <c r="G145" s="50"/>
      <c r="H145" s="50"/>
      <c r="I145" s="50"/>
      <c r="J145" s="50"/>
      <c r="K145" s="50"/>
      <c r="L145" s="50"/>
      <c r="M145" s="50"/>
      <c r="N145" s="50"/>
      <c r="O145" s="50"/>
      <c r="P145" s="50"/>
      <c r="Q145" s="50"/>
      <c r="R145" s="50"/>
      <c r="S145" s="50"/>
      <c r="T145" s="50"/>
      <c r="U145" s="50"/>
      <c r="V145" s="50"/>
      <c r="W145" s="50"/>
      <c r="X145" s="50"/>
      <c r="Y145" s="50"/>
      <c r="Z145" s="50"/>
    </row>
    <row r="146" spans="1:26">
      <c r="A146" s="320"/>
      <c r="B146" s="320"/>
      <c r="C146" s="320"/>
      <c r="D146" s="320"/>
      <c r="E146" s="320"/>
      <c r="F146" s="320"/>
      <c r="G146" s="50"/>
      <c r="H146" s="50"/>
      <c r="I146" s="50"/>
      <c r="J146" s="50"/>
      <c r="K146" s="50"/>
      <c r="L146" s="50"/>
      <c r="M146" s="50"/>
      <c r="N146" s="50"/>
      <c r="O146" s="50"/>
      <c r="P146" s="50"/>
      <c r="Q146" s="50"/>
      <c r="R146" s="50"/>
      <c r="S146" s="50"/>
      <c r="T146" s="50"/>
      <c r="U146" s="50"/>
      <c r="V146" s="50"/>
      <c r="W146" s="50"/>
      <c r="X146" s="50"/>
      <c r="Y146" s="50"/>
      <c r="Z146" s="50"/>
    </row>
    <row r="147" spans="1:26">
      <c r="A147" s="320" t="s">
        <v>2618</v>
      </c>
      <c r="B147" s="320"/>
      <c r="C147" s="320"/>
      <c r="D147" s="320"/>
      <c r="E147" s="320"/>
      <c r="F147" s="320"/>
      <c r="G147" s="50"/>
      <c r="H147" s="50"/>
      <c r="I147" s="50"/>
      <c r="J147" s="50"/>
      <c r="K147" s="50"/>
      <c r="L147" s="50"/>
      <c r="M147" s="50"/>
      <c r="N147" s="50"/>
      <c r="O147" s="50"/>
      <c r="P147" s="50"/>
      <c r="Q147" s="50"/>
      <c r="R147" s="50"/>
      <c r="S147" s="50"/>
      <c r="T147" s="50"/>
      <c r="U147" s="50"/>
      <c r="V147" s="50"/>
      <c r="W147" s="50"/>
      <c r="X147" s="50"/>
      <c r="Y147" s="50"/>
      <c r="Z147" s="50"/>
    </row>
    <row r="148" spans="1:26">
      <c r="A148" s="320" t="s">
        <v>2619</v>
      </c>
      <c r="B148" s="320"/>
      <c r="C148" s="320"/>
      <c r="D148" s="320"/>
      <c r="E148" s="320"/>
      <c r="F148" s="320"/>
      <c r="G148" s="50"/>
      <c r="H148" s="50"/>
      <c r="I148" s="50"/>
      <c r="J148" s="50"/>
      <c r="K148" s="50"/>
      <c r="L148" s="50"/>
      <c r="M148" s="50"/>
      <c r="N148" s="50"/>
      <c r="O148" s="50"/>
      <c r="P148" s="50"/>
      <c r="Q148" s="50"/>
      <c r="R148" s="50"/>
      <c r="S148" s="50"/>
      <c r="T148" s="50"/>
      <c r="U148" s="50"/>
      <c r="V148" s="50"/>
      <c r="W148" s="50"/>
      <c r="X148" s="50"/>
      <c r="Y148" s="50"/>
      <c r="Z148" s="50"/>
    </row>
    <row r="149" spans="1:26">
      <c r="A149" s="320"/>
      <c r="B149" s="320"/>
      <c r="C149" s="320"/>
      <c r="D149" s="320"/>
      <c r="E149" s="320"/>
      <c r="F149" s="320"/>
      <c r="G149" s="50"/>
      <c r="H149" s="50"/>
      <c r="I149" s="50"/>
      <c r="J149" s="50"/>
      <c r="K149" s="50"/>
      <c r="L149" s="50"/>
      <c r="M149" s="50"/>
      <c r="N149" s="50"/>
      <c r="O149" s="50"/>
      <c r="P149" s="50"/>
      <c r="Q149" s="50"/>
      <c r="R149" s="50"/>
      <c r="S149" s="50"/>
      <c r="T149" s="50"/>
      <c r="U149" s="50"/>
      <c r="V149" s="50"/>
      <c r="W149" s="50"/>
      <c r="X149" s="50"/>
      <c r="Y149" s="50"/>
      <c r="Z149" s="50"/>
    </row>
    <row r="150" spans="1:26">
      <c r="A150" s="320" t="s">
        <v>2620</v>
      </c>
      <c r="B150" s="320"/>
      <c r="C150" s="320"/>
      <c r="D150" s="320"/>
      <c r="E150" s="320"/>
      <c r="F150" s="320"/>
      <c r="G150" s="50"/>
      <c r="H150" s="50"/>
      <c r="I150" s="50"/>
      <c r="J150" s="50"/>
      <c r="K150" s="50"/>
      <c r="L150" s="50"/>
      <c r="M150" s="50"/>
      <c r="N150" s="50"/>
      <c r="O150" s="50"/>
      <c r="P150" s="50"/>
      <c r="Q150" s="50"/>
      <c r="R150" s="50"/>
      <c r="S150" s="50"/>
      <c r="T150" s="50"/>
      <c r="U150" s="50"/>
      <c r="V150" s="50"/>
      <c r="W150" s="50"/>
      <c r="X150" s="50"/>
      <c r="Y150" s="50"/>
      <c r="Z150" s="50"/>
    </row>
    <row r="151" spans="1:26">
      <c r="A151" s="320"/>
      <c r="B151" s="320"/>
      <c r="C151" s="320"/>
      <c r="D151" s="320"/>
      <c r="E151" s="320"/>
      <c r="F151" s="320"/>
      <c r="G151" s="50"/>
      <c r="H151" s="50"/>
      <c r="I151" s="50"/>
      <c r="J151" s="50"/>
      <c r="K151" s="50"/>
      <c r="L151" s="50"/>
      <c r="M151" s="50"/>
      <c r="N151" s="50"/>
      <c r="O151" s="50"/>
      <c r="P151" s="50"/>
      <c r="Q151" s="50"/>
      <c r="R151" s="50"/>
      <c r="S151" s="50"/>
      <c r="T151" s="50"/>
      <c r="U151" s="50"/>
      <c r="V151" s="50"/>
      <c r="W151" s="50"/>
      <c r="X151" s="50"/>
      <c r="Y151" s="50"/>
      <c r="Z151" s="50"/>
    </row>
    <row r="152" spans="1:26">
      <c r="A152" s="320" t="s">
        <v>2621</v>
      </c>
      <c r="B152" s="320"/>
      <c r="C152" s="320"/>
      <c r="D152" s="320"/>
      <c r="E152" s="320"/>
      <c r="F152" s="320"/>
      <c r="G152" s="50"/>
      <c r="H152" s="50"/>
      <c r="I152" s="50"/>
      <c r="J152" s="50"/>
      <c r="K152" s="50"/>
      <c r="L152" s="50"/>
      <c r="M152" s="50"/>
      <c r="N152" s="50"/>
      <c r="O152" s="50"/>
      <c r="P152" s="50"/>
      <c r="Q152" s="50"/>
      <c r="R152" s="50"/>
      <c r="S152" s="50"/>
      <c r="T152" s="50"/>
      <c r="U152" s="50"/>
      <c r="V152" s="50"/>
      <c r="W152" s="50"/>
      <c r="X152" s="50"/>
      <c r="Y152" s="50"/>
      <c r="Z152" s="50"/>
    </row>
    <row r="153" spans="1:26">
      <c r="A153" s="320" t="s">
        <v>2622</v>
      </c>
      <c r="B153" s="320"/>
      <c r="C153" s="320"/>
      <c r="D153" s="320"/>
      <c r="E153" s="320"/>
      <c r="F153" s="320"/>
      <c r="G153" s="50"/>
      <c r="H153" s="50"/>
      <c r="I153" s="50"/>
      <c r="J153" s="50"/>
      <c r="K153" s="50"/>
      <c r="L153" s="50"/>
      <c r="M153" s="50"/>
      <c r="N153" s="50"/>
      <c r="O153" s="50"/>
      <c r="P153" s="50"/>
      <c r="Q153" s="50"/>
      <c r="R153" s="50"/>
      <c r="S153" s="50"/>
      <c r="T153" s="50"/>
      <c r="U153" s="50"/>
      <c r="V153" s="50"/>
      <c r="W153" s="50"/>
      <c r="X153" s="50"/>
      <c r="Y153" s="50"/>
      <c r="Z153" s="50"/>
    </row>
    <row r="154" spans="1:26">
      <c r="A154" s="320" t="s">
        <v>2623</v>
      </c>
      <c r="B154" s="320"/>
      <c r="C154" s="320"/>
      <c r="D154" s="320"/>
      <c r="E154" s="320"/>
      <c r="F154" s="320"/>
      <c r="G154" s="50"/>
      <c r="H154" s="50"/>
      <c r="I154" s="50"/>
      <c r="J154" s="50"/>
      <c r="K154" s="50"/>
      <c r="L154" s="50"/>
      <c r="M154" s="50"/>
      <c r="N154" s="50"/>
      <c r="O154" s="50"/>
      <c r="P154" s="50"/>
      <c r="Q154" s="50"/>
      <c r="R154" s="50"/>
      <c r="S154" s="50"/>
      <c r="T154" s="50"/>
      <c r="U154" s="50"/>
      <c r="V154" s="50"/>
      <c r="W154" s="50"/>
      <c r="X154" s="50"/>
      <c r="Y154" s="50"/>
      <c r="Z154" s="50"/>
    </row>
    <row r="155" spans="1:26">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c r="A156" s="27" t="s">
        <v>2624</v>
      </c>
      <c r="B156" s="27"/>
      <c r="C156" s="529"/>
      <c r="D156" s="529"/>
      <c r="E156" s="529"/>
      <c r="F156" s="50"/>
      <c r="G156" s="50"/>
      <c r="H156" s="50"/>
      <c r="I156" s="50"/>
      <c r="J156" s="50"/>
      <c r="K156" s="50"/>
      <c r="L156" s="50"/>
      <c r="M156" s="50"/>
      <c r="N156" s="50"/>
      <c r="O156" s="50"/>
      <c r="P156" s="50"/>
      <c r="Q156" s="50"/>
      <c r="R156" s="50"/>
      <c r="S156" s="50"/>
      <c r="T156" s="50"/>
      <c r="U156" s="50"/>
      <c r="V156" s="50"/>
      <c r="W156" s="50"/>
      <c r="X156" s="50"/>
      <c r="Y156" s="50"/>
      <c r="Z156" s="50"/>
    </row>
    <row r="157" spans="1:26">
      <c r="A157" s="320" t="s">
        <v>2625</v>
      </c>
      <c r="B157" s="320"/>
      <c r="C157" s="320"/>
      <c r="D157" s="320"/>
      <c r="E157" s="320"/>
      <c r="F157" s="50"/>
      <c r="G157" s="50"/>
      <c r="H157" s="50"/>
      <c r="I157" s="50"/>
      <c r="J157" s="50"/>
      <c r="K157" s="50"/>
      <c r="L157" s="50"/>
      <c r="M157" s="50"/>
      <c r="N157" s="50"/>
      <c r="O157" s="50"/>
      <c r="P157" s="50"/>
      <c r="Q157" s="50"/>
      <c r="R157" s="50"/>
      <c r="S157" s="50"/>
      <c r="T157" s="50"/>
      <c r="U157" s="50"/>
      <c r="V157" s="50"/>
      <c r="W157" s="50"/>
      <c r="X157" s="50"/>
      <c r="Y157" s="50"/>
      <c r="Z157" s="50"/>
    </row>
    <row r="158" spans="1:26">
      <c r="A158" s="320"/>
      <c r="B158" s="320"/>
      <c r="C158" s="320"/>
      <c r="D158" s="320"/>
      <c r="E158" s="320"/>
      <c r="F158" s="50"/>
      <c r="G158" s="50"/>
      <c r="H158" s="50"/>
      <c r="I158" s="50"/>
      <c r="J158" s="50"/>
      <c r="K158" s="50"/>
      <c r="L158" s="50"/>
      <c r="M158" s="50"/>
      <c r="N158" s="50"/>
      <c r="O158" s="50"/>
      <c r="P158" s="50"/>
      <c r="Q158" s="50"/>
      <c r="R158" s="50"/>
      <c r="S158" s="50"/>
      <c r="T158" s="50"/>
      <c r="U158" s="50"/>
      <c r="V158" s="50"/>
      <c r="W158" s="50"/>
      <c r="X158" s="50"/>
      <c r="Y158" s="50"/>
      <c r="Z158" s="50"/>
    </row>
    <row r="159" spans="1:26">
      <c r="A159" s="320" t="s">
        <v>2611</v>
      </c>
      <c r="B159" s="320"/>
      <c r="C159" s="320"/>
      <c r="D159" s="320"/>
      <c r="E159" s="320"/>
      <c r="F159" s="50"/>
      <c r="G159" s="50"/>
      <c r="H159" s="50"/>
      <c r="I159" s="50"/>
      <c r="J159" s="50"/>
      <c r="K159" s="50"/>
      <c r="L159" s="50"/>
      <c r="M159" s="50"/>
      <c r="N159" s="50"/>
      <c r="O159" s="50"/>
      <c r="P159" s="50"/>
      <c r="Q159" s="50"/>
      <c r="R159" s="50"/>
      <c r="S159" s="50"/>
      <c r="T159" s="50"/>
      <c r="U159" s="50"/>
      <c r="V159" s="50"/>
      <c r="W159" s="50"/>
      <c r="X159" s="50"/>
      <c r="Y159" s="50"/>
      <c r="Z159" s="50"/>
    </row>
    <row r="160" spans="1:26">
      <c r="A160" s="320"/>
      <c r="B160" s="320"/>
      <c r="C160" s="320"/>
      <c r="D160" s="320"/>
      <c r="E160" s="320"/>
      <c r="F160" s="50"/>
      <c r="G160" s="50"/>
      <c r="H160" s="50"/>
      <c r="I160" s="50"/>
      <c r="J160" s="50"/>
      <c r="K160" s="50"/>
      <c r="L160" s="50"/>
      <c r="M160" s="50"/>
      <c r="N160" s="50"/>
      <c r="O160" s="50"/>
      <c r="P160" s="50"/>
      <c r="Q160" s="50"/>
      <c r="R160" s="50"/>
      <c r="S160" s="50"/>
      <c r="T160" s="50"/>
      <c r="U160" s="50"/>
      <c r="V160" s="50"/>
      <c r="W160" s="50"/>
      <c r="X160" s="50"/>
      <c r="Y160" s="50"/>
      <c r="Z160" s="50"/>
    </row>
    <row r="161" spans="1:26">
      <c r="A161" s="320" t="s">
        <v>2626</v>
      </c>
      <c r="B161" s="320"/>
      <c r="C161" s="320"/>
      <c r="D161" s="320"/>
      <c r="E161" s="320"/>
      <c r="F161" s="50"/>
      <c r="G161" s="50"/>
      <c r="H161" s="50"/>
      <c r="I161" s="50"/>
      <c r="J161" s="50"/>
      <c r="K161" s="50"/>
      <c r="L161" s="50"/>
      <c r="M161" s="50"/>
      <c r="N161" s="50"/>
      <c r="O161" s="50"/>
      <c r="P161" s="50"/>
      <c r="Q161" s="50"/>
      <c r="R161" s="50"/>
      <c r="S161" s="50"/>
      <c r="T161" s="50"/>
      <c r="U161" s="50"/>
      <c r="V161" s="50"/>
      <c r="W161" s="50"/>
      <c r="X161" s="50"/>
      <c r="Y161" s="50"/>
      <c r="Z161" s="50"/>
    </row>
    <row r="162" spans="1:26">
      <c r="A162" s="320" t="s">
        <v>2627</v>
      </c>
      <c r="B162" s="320"/>
      <c r="C162" s="320"/>
      <c r="D162" s="320"/>
      <c r="E162" s="320"/>
      <c r="F162" s="50"/>
      <c r="G162" s="50"/>
      <c r="H162" s="50"/>
      <c r="I162" s="50"/>
      <c r="J162" s="50"/>
      <c r="K162" s="50"/>
      <c r="L162" s="50"/>
      <c r="M162" s="50"/>
      <c r="N162" s="50"/>
      <c r="O162" s="50"/>
      <c r="P162" s="50"/>
      <c r="Q162" s="50"/>
      <c r="R162" s="50"/>
      <c r="S162" s="50"/>
      <c r="T162" s="50"/>
      <c r="U162" s="50"/>
      <c r="V162" s="50"/>
      <c r="W162" s="50"/>
      <c r="X162" s="50"/>
      <c r="Y162" s="50"/>
      <c r="Z162" s="50"/>
    </row>
    <row r="163" spans="1:26">
      <c r="A163" s="320"/>
      <c r="B163" s="320"/>
      <c r="C163" s="320"/>
      <c r="D163" s="320"/>
      <c r="E163" s="320"/>
      <c r="F163" s="50"/>
      <c r="G163" s="50"/>
      <c r="H163" s="50"/>
      <c r="I163" s="50"/>
      <c r="J163" s="50"/>
      <c r="K163" s="50"/>
      <c r="L163" s="50"/>
      <c r="M163" s="50"/>
      <c r="N163" s="50"/>
      <c r="O163" s="50"/>
      <c r="P163" s="50"/>
      <c r="Q163" s="50"/>
      <c r="R163" s="50"/>
      <c r="S163" s="50"/>
      <c r="T163" s="50"/>
      <c r="U163" s="50"/>
      <c r="V163" s="50"/>
      <c r="W163" s="50"/>
      <c r="X163" s="50"/>
      <c r="Y163" s="50"/>
      <c r="Z163" s="50"/>
    </row>
    <row r="164" spans="1:26">
      <c r="A164" s="320" t="s">
        <v>2614</v>
      </c>
      <c r="B164" s="320"/>
      <c r="C164" s="320"/>
      <c r="D164" s="320"/>
      <c r="E164" s="320"/>
      <c r="F164" s="50"/>
      <c r="G164" s="50"/>
      <c r="H164" s="50"/>
      <c r="I164" s="50"/>
      <c r="J164" s="50"/>
      <c r="K164" s="50"/>
      <c r="L164" s="50"/>
      <c r="M164" s="50"/>
      <c r="N164" s="50"/>
      <c r="O164" s="50"/>
      <c r="P164" s="50"/>
      <c r="Q164" s="50"/>
      <c r="R164" s="50"/>
      <c r="S164" s="50"/>
      <c r="T164" s="50"/>
      <c r="U164" s="50"/>
      <c r="V164" s="50"/>
      <c r="W164" s="50"/>
      <c r="X164" s="50"/>
      <c r="Y164" s="50"/>
      <c r="Z164" s="50"/>
    </row>
    <row r="165" spans="1:26">
      <c r="A165" s="320" t="s">
        <v>2628</v>
      </c>
      <c r="B165" s="320"/>
      <c r="C165" s="320"/>
      <c r="D165" s="320"/>
      <c r="E165" s="320"/>
      <c r="F165" s="50"/>
      <c r="G165" s="50"/>
      <c r="H165" s="50"/>
      <c r="I165" s="50"/>
      <c r="J165" s="50"/>
      <c r="K165" s="50"/>
      <c r="L165" s="50"/>
      <c r="M165" s="50"/>
      <c r="N165" s="50"/>
      <c r="O165" s="50"/>
      <c r="P165" s="50"/>
      <c r="Q165" s="50"/>
      <c r="R165" s="50"/>
      <c r="S165" s="50"/>
      <c r="T165" s="50"/>
      <c r="U165" s="50"/>
      <c r="V165" s="50"/>
      <c r="W165" s="50"/>
      <c r="X165" s="50"/>
      <c r="Y165" s="50"/>
      <c r="Z165" s="50"/>
    </row>
    <row r="166" spans="1:26">
      <c r="A166" s="320" t="s">
        <v>2629</v>
      </c>
      <c r="B166" s="320"/>
      <c r="C166" s="320"/>
      <c r="D166" s="320"/>
      <c r="E166" s="320"/>
      <c r="F166" s="50"/>
      <c r="G166" s="50"/>
      <c r="H166" s="50"/>
      <c r="I166" s="50"/>
      <c r="J166" s="50"/>
      <c r="K166" s="50"/>
      <c r="L166" s="50"/>
      <c r="M166" s="50"/>
      <c r="N166" s="50"/>
      <c r="O166" s="50"/>
      <c r="P166" s="50"/>
      <c r="Q166" s="50"/>
      <c r="R166" s="50"/>
      <c r="S166" s="50"/>
      <c r="T166" s="50"/>
      <c r="U166" s="50"/>
      <c r="V166" s="50"/>
      <c r="W166" s="50"/>
      <c r="X166" s="50"/>
      <c r="Y166" s="50"/>
      <c r="Z166" s="50"/>
    </row>
    <row r="167" spans="1:26">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c r="A168" s="27" t="s">
        <v>2630</v>
      </c>
      <c r="B168" s="27"/>
      <c r="C168" s="27"/>
      <c r="D168" s="529"/>
      <c r="E168" s="529"/>
      <c r="F168" s="529"/>
      <c r="G168" s="50"/>
      <c r="H168" s="50"/>
      <c r="I168" s="50"/>
      <c r="J168" s="50"/>
      <c r="K168" s="50"/>
      <c r="L168" s="50"/>
      <c r="M168" s="50"/>
      <c r="N168" s="50"/>
      <c r="O168" s="50"/>
      <c r="P168" s="50"/>
      <c r="Q168" s="50"/>
      <c r="R168" s="50"/>
      <c r="S168" s="50"/>
      <c r="T168" s="50"/>
      <c r="U168" s="50"/>
      <c r="V168" s="50"/>
      <c r="W168" s="50"/>
      <c r="X168" s="50"/>
      <c r="Y168" s="50"/>
      <c r="Z168" s="50"/>
    </row>
    <row r="169" spans="1:26">
      <c r="A169" s="320" t="s">
        <v>2631</v>
      </c>
      <c r="B169" s="320"/>
      <c r="C169" s="320"/>
      <c r="D169" s="320"/>
      <c r="E169" s="320"/>
      <c r="F169" s="320"/>
      <c r="G169" s="50"/>
      <c r="H169" s="50"/>
      <c r="I169" s="50"/>
      <c r="J169" s="50"/>
      <c r="K169" s="50"/>
      <c r="L169" s="50"/>
      <c r="M169" s="50"/>
      <c r="N169" s="50"/>
      <c r="O169" s="50"/>
      <c r="P169" s="50"/>
      <c r="Q169" s="50"/>
      <c r="R169" s="50"/>
      <c r="S169" s="50"/>
      <c r="T169" s="50"/>
      <c r="U169" s="50"/>
      <c r="V169" s="50"/>
      <c r="W169" s="50"/>
      <c r="X169" s="50"/>
      <c r="Y169" s="50"/>
      <c r="Z169" s="50"/>
    </row>
    <row r="170" spans="1:26">
      <c r="A170" s="320"/>
      <c r="B170" s="320"/>
      <c r="C170" s="320"/>
      <c r="D170" s="320"/>
      <c r="E170" s="320"/>
      <c r="F170" s="320"/>
      <c r="G170" s="50"/>
      <c r="H170" s="50"/>
      <c r="I170" s="50"/>
      <c r="J170" s="50"/>
      <c r="K170" s="50"/>
      <c r="L170" s="50"/>
      <c r="M170" s="50"/>
      <c r="N170" s="50"/>
      <c r="O170" s="50"/>
      <c r="P170" s="50"/>
      <c r="Q170" s="50"/>
      <c r="R170" s="50"/>
      <c r="S170" s="50"/>
      <c r="T170" s="50"/>
      <c r="U170" s="50"/>
      <c r="V170" s="50"/>
      <c r="W170" s="50"/>
      <c r="X170" s="50"/>
      <c r="Y170" s="50"/>
      <c r="Z170" s="50"/>
    </row>
    <row r="171" spans="1:26">
      <c r="A171" s="320" t="s">
        <v>2611</v>
      </c>
      <c r="B171" s="320"/>
      <c r="C171" s="320"/>
      <c r="D171" s="320"/>
      <c r="E171" s="320"/>
      <c r="F171" s="320"/>
      <c r="G171" s="50"/>
      <c r="H171" s="50"/>
      <c r="I171" s="50"/>
      <c r="J171" s="50"/>
      <c r="K171" s="50"/>
      <c r="L171" s="50"/>
      <c r="M171" s="50"/>
      <c r="N171" s="50"/>
      <c r="O171" s="50"/>
      <c r="P171" s="50"/>
      <c r="Q171" s="50"/>
      <c r="R171" s="50"/>
      <c r="S171" s="50"/>
      <c r="T171" s="50"/>
      <c r="U171" s="50"/>
      <c r="V171" s="50"/>
      <c r="W171" s="50"/>
      <c r="X171" s="50"/>
      <c r="Y171" s="50"/>
      <c r="Z171" s="50"/>
    </row>
    <row r="172" spans="1:26">
      <c r="A172" s="320"/>
      <c r="B172" s="320"/>
      <c r="C172" s="320"/>
      <c r="D172" s="320"/>
      <c r="E172" s="320"/>
      <c r="F172" s="320"/>
      <c r="G172" s="50"/>
      <c r="H172" s="50"/>
      <c r="I172" s="50"/>
      <c r="J172" s="50"/>
      <c r="K172" s="50"/>
      <c r="L172" s="50"/>
      <c r="M172" s="50"/>
      <c r="N172" s="50"/>
      <c r="O172" s="50"/>
      <c r="P172" s="50"/>
      <c r="Q172" s="50"/>
      <c r="R172" s="50"/>
      <c r="S172" s="50"/>
      <c r="T172" s="50"/>
      <c r="U172" s="50"/>
      <c r="V172" s="50"/>
      <c r="W172" s="50"/>
      <c r="X172" s="50"/>
      <c r="Y172" s="50"/>
      <c r="Z172" s="50"/>
    </row>
    <row r="173" spans="1:26">
      <c r="A173" s="320" t="s">
        <v>2632</v>
      </c>
      <c r="B173" s="320"/>
      <c r="C173" s="320"/>
      <c r="D173" s="320"/>
      <c r="E173" s="320"/>
      <c r="F173" s="320"/>
      <c r="G173" s="50"/>
      <c r="H173" s="50"/>
      <c r="I173" s="50"/>
      <c r="J173" s="50"/>
      <c r="K173" s="50"/>
      <c r="L173" s="50"/>
      <c r="M173" s="50"/>
      <c r="N173" s="50"/>
      <c r="O173" s="50"/>
      <c r="P173" s="50"/>
      <c r="Q173" s="50"/>
      <c r="R173" s="50"/>
      <c r="S173" s="50"/>
      <c r="T173" s="50"/>
      <c r="U173" s="50"/>
      <c r="V173" s="50"/>
      <c r="W173" s="50"/>
      <c r="X173" s="50"/>
      <c r="Y173" s="50"/>
      <c r="Z173" s="50"/>
    </row>
    <row r="174" spans="1:26">
      <c r="A174" s="320" t="s">
        <v>2633</v>
      </c>
      <c r="B174" s="320"/>
      <c r="C174" s="320"/>
      <c r="D174" s="320"/>
      <c r="E174" s="320"/>
      <c r="F174" s="320"/>
      <c r="G174" s="50"/>
      <c r="H174" s="50"/>
      <c r="I174" s="50"/>
      <c r="J174" s="50"/>
      <c r="K174" s="50"/>
      <c r="L174" s="50"/>
      <c r="M174" s="50"/>
      <c r="N174" s="50"/>
      <c r="O174" s="50"/>
      <c r="P174" s="50"/>
      <c r="Q174" s="50"/>
      <c r="R174" s="50"/>
      <c r="S174" s="50"/>
      <c r="T174" s="50"/>
      <c r="U174" s="50"/>
      <c r="V174" s="50"/>
      <c r="W174" s="50"/>
      <c r="X174" s="50"/>
      <c r="Y174" s="50"/>
      <c r="Z174" s="50"/>
    </row>
    <row r="175" spans="1:26">
      <c r="A175" s="320"/>
      <c r="B175" s="320"/>
      <c r="C175" s="320"/>
      <c r="D175" s="320"/>
      <c r="E175" s="320"/>
      <c r="F175" s="320"/>
      <c r="G175" s="50"/>
      <c r="H175" s="50"/>
      <c r="I175" s="50"/>
      <c r="J175" s="50"/>
      <c r="K175" s="50"/>
      <c r="L175" s="50"/>
      <c r="M175" s="50"/>
      <c r="N175" s="50"/>
      <c r="O175" s="50"/>
      <c r="P175" s="50"/>
      <c r="Q175" s="50"/>
      <c r="R175" s="50"/>
      <c r="S175" s="50"/>
      <c r="T175" s="50"/>
      <c r="U175" s="50"/>
      <c r="V175" s="50"/>
      <c r="W175" s="50"/>
      <c r="X175" s="50"/>
      <c r="Y175" s="50"/>
      <c r="Z175" s="50"/>
    </row>
    <row r="176" spans="1:26">
      <c r="A176" s="320" t="s">
        <v>2614</v>
      </c>
      <c r="B176" s="320"/>
      <c r="C176" s="320"/>
      <c r="D176" s="320"/>
      <c r="E176" s="320"/>
      <c r="F176" s="320"/>
      <c r="G176" s="50"/>
      <c r="H176" s="50"/>
      <c r="I176" s="50"/>
      <c r="J176" s="50"/>
      <c r="K176" s="50"/>
      <c r="L176" s="50"/>
      <c r="M176" s="50"/>
      <c r="N176" s="50"/>
      <c r="O176" s="50"/>
      <c r="P176" s="50"/>
      <c r="Q176" s="50"/>
      <c r="R176" s="50"/>
      <c r="S176" s="50"/>
      <c r="T176" s="50"/>
      <c r="U176" s="50"/>
      <c r="V176" s="50"/>
      <c r="W176" s="50"/>
      <c r="X176" s="50"/>
      <c r="Y176" s="50"/>
      <c r="Z176" s="50"/>
    </row>
    <row r="177" spans="1:26">
      <c r="A177" s="320" t="s">
        <v>2634</v>
      </c>
      <c r="B177" s="320"/>
      <c r="C177" s="320"/>
      <c r="D177" s="320"/>
      <c r="E177" s="320"/>
      <c r="F177" s="320"/>
      <c r="G177" s="50"/>
      <c r="H177" s="50"/>
      <c r="I177" s="50"/>
      <c r="J177" s="50"/>
      <c r="K177" s="50"/>
      <c r="L177" s="50"/>
      <c r="M177" s="50"/>
      <c r="N177" s="50"/>
      <c r="O177" s="50"/>
      <c r="P177" s="50"/>
      <c r="Q177" s="50"/>
      <c r="R177" s="50"/>
      <c r="S177" s="50"/>
      <c r="T177" s="50"/>
      <c r="U177" s="50"/>
      <c r="V177" s="50"/>
      <c r="W177" s="50"/>
      <c r="X177" s="50"/>
      <c r="Y177" s="50"/>
      <c r="Z177" s="50"/>
    </row>
    <row r="178" spans="1:26">
      <c r="A178" s="320" t="s">
        <v>2635</v>
      </c>
      <c r="B178" s="320"/>
      <c r="C178" s="320"/>
      <c r="D178" s="320"/>
      <c r="E178" s="320"/>
      <c r="F178" s="320"/>
      <c r="G178" s="50"/>
      <c r="H178" s="50"/>
      <c r="I178" s="50"/>
      <c r="J178" s="50"/>
      <c r="K178" s="50"/>
      <c r="L178" s="50"/>
      <c r="M178" s="50"/>
      <c r="N178" s="50"/>
      <c r="O178" s="50"/>
      <c r="P178" s="50"/>
      <c r="Q178" s="50"/>
      <c r="R178" s="50"/>
      <c r="S178" s="50"/>
      <c r="T178" s="50"/>
      <c r="U178" s="50"/>
      <c r="V178" s="50"/>
      <c r="W178" s="50"/>
      <c r="X178" s="50"/>
      <c r="Y178" s="50"/>
      <c r="Z178" s="50"/>
    </row>
    <row r="179" spans="1:26">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c r="A180" s="27" t="s">
        <v>2636</v>
      </c>
      <c r="B180" s="27"/>
      <c r="C180" s="27"/>
      <c r="D180" s="529"/>
      <c r="E180" s="529"/>
      <c r="F180" s="50"/>
      <c r="G180" s="50"/>
      <c r="H180" s="50"/>
      <c r="I180" s="50"/>
      <c r="J180" s="50"/>
      <c r="K180" s="50"/>
      <c r="L180" s="50"/>
      <c r="M180" s="50"/>
      <c r="N180" s="50"/>
      <c r="O180" s="50"/>
      <c r="P180" s="50"/>
      <c r="Q180" s="50"/>
      <c r="R180" s="50"/>
      <c r="S180" s="50"/>
      <c r="T180" s="50"/>
      <c r="U180" s="50"/>
      <c r="V180" s="50"/>
      <c r="W180" s="50"/>
      <c r="X180" s="50"/>
      <c r="Y180" s="50"/>
      <c r="Z180" s="50"/>
    </row>
    <row r="181" spans="1:26">
      <c r="A181" s="320" t="s">
        <v>2637</v>
      </c>
      <c r="B181" s="320"/>
      <c r="C181" s="320"/>
      <c r="D181" s="320"/>
      <c r="E181" s="320"/>
      <c r="F181" s="50"/>
      <c r="G181" s="50"/>
      <c r="H181" s="50"/>
      <c r="I181" s="50"/>
      <c r="J181" s="50"/>
      <c r="K181" s="50"/>
      <c r="L181" s="50"/>
      <c r="M181" s="50"/>
      <c r="N181" s="50"/>
      <c r="O181" s="50"/>
      <c r="P181" s="50"/>
      <c r="Q181" s="50"/>
      <c r="R181" s="50"/>
      <c r="S181" s="50"/>
      <c r="T181" s="50"/>
      <c r="U181" s="50"/>
      <c r="V181" s="50"/>
      <c r="W181" s="50"/>
      <c r="X181" s="50"/>
      <c r="Y181" s="50"/>
      <c r="Z181" s="50"/>
    </row>
    <row r="182" spans="1:26">
      <c r="A182" s="320"/>
      <c r="B182" s="320"/>
      <c r="C182" s="320"/>
      <c r="D182" s="320"/>
      <c r="E182" s="320"/>
      <c r="F182" s="50"/>
      <c r="G182" s="50"/>
      <c r="H182" s="50"/>
      <c r="I182" s="50"/>
      <c r="J182" s="50"/>
      <c r="K182" s="50"/>
      <c r="L182" s="50"/>
      <c r="M182" s="50"/>
      <c r="N182" s="50"/>
      <c r="O182" s="50"/>
      <c r="P182" s="50"/>
      <c r="Q182" s="50"/>
      <c r="R182" s="50"/>
      <c r="S182" s="50"/>
      <c r="T182" s="50"/>
      <c r="U182" s="50"/>
      <c r="V182" s="50"/>
      <c r="W182" s="50"/>
      <c r="X182" s="50"/>
      <c r="Y182" s="50"/>
      <c r="Z182" s="50"/>
    </row>
    <row r="183" spans="1:26">
      <c r="A183" s="320" t="s">
        <v>2611</v>
      </c>
      <c r="B183" s="320"/>
      <c r="C183" s="320"/>
      <c r="D183" s="320"/>
      <c r="E183" s="320"/>
      <c r="F183" s="50"/>
      <c r="G183" s="50"/>
      <c r="H183" s="50"/>
      <c r="I183" s="50"/>
      <c r="J183" s="50"/>
      <c r="K183" s="50"/>
      <c r="L183" s="50"/>
      <c r="M183" s="50"/>
      <c r="N183" s="50"/>
      <c r="O183" s="50"/>
      <c r="P183" s="50"/>
      <c r="Q183" s="50"/>
      <c r="R183" s="50"/>
      <c r="S183" s="50"/>
      <c r="T183" s="50"/>
      <c r="U183" s="50"/>
      <c r="V183" s="50"/>
      <c r="W183" s="50"/>
      <c r="X183" s="50"/>
      <c r="Y183" s="50"/>
      <c r="Z183" s="50"/>
    </row>
    <row r="184" spans="1:26">
      <c r="A184" s="320"/>
      <c r="B184" s="320"/>
      <c r="C184" s="320"/>
      <c r="D184" s="320"/>
      <c r="E184" s="320"/>
      <c r="F184" s="50"/>
      <c r="G184" s="50"/>
      <c r="H184" s="50"/>
      <c r="I184" s="50"/>
      <c r="J184" s="50"/>
      <c r="K184" s="50"/>
      <c r="L184" s="50"/>
      <c r="M184" s="50"/>
      <c r="N184" s="50"/>
      <c r="O184" s="50"/>
      <c r="P184" s="50"/>
      <c r="Q184" s="50"/>
      <c r="R184" s="50"/>
      <c r="S184" s="50"/>
      <c r="T184" s="50"/>
      <c r="U184" s="50"/>
      <c r="V184" s="50"/>
      <c r="W184" s="50"/>
      <c r="X184" s="50"/>
      <c r="Y184" s="50"/>
      <c r="Z184" s="50"/>
    </row>
    <row r="185" spans="1:26">
      <c r="A185" s="320" t="s">
        <v>2638</v>
      </c>
      <c r="B185" s="320"/>
      <c r="C185" s="320"/>
      <c r="D185" s="320"/>
      <c r="E185" s="320"/>
      <c r="F185" s="50"/>
      <c r="G185" s="50"/>
      <c r="H185" s="50"/>
      <c r="I185" s="50"/>
      <c r="J185" s="50"/>
      <c r="K185" s="50"/>
      <c r="L185" s="50"/>
      <c r="M185" s="50"/>
      <c r="N185" s="50"/>
      <c r="O185" s="50"/>
      <c r="P185" s="50"/>
      <c r="Q185" s="50"/>
      <c r="R185" s="50"/>
      <c r="S185" s="50"/>
      <c r="T185" s="50"/>
      <c r="U185" s="50"/>
      <c r="V185" s="50"/>
      <c r="W185" s="50"/>
      <c r="X185" s="50"/>
      <c r="Y185" s="50"/>
      <c r="Z185" s="50"/>
    </row>
    <row r="186" spans="1:26">
      <c r="A186" s="320" t="s">
        <v>2639</v>
      </c>
      <c r="B186" s="320"/>
      <c r="C186" s="320"/>
      <c r="D186" s="320"/>
      <c r="E186" s="320"/>
      <c r="F186" s="50"/>
      <c r="G186" s="50"/>
      <c r="H186" s="50"/>
      <c r="I186" s="50"/>
      <c r="J186" s="50"/>
      <c r="K186" s="50"/>
      <c r="L186" s="50"/>
      <c r="M186" s="50"/>
      <c r="N186" s="50"/>
      <c r="O186" s="50"/>
      <c r="P186" s="50"/>
      <c r="Q186" s="50"/>
      <c r="R186" s="50"/>
      <c r="S186" s="50"/>
      <c r="T186" s="50"/>
      <c r="U186" s="50"/>
      <c r="V186" s="50"/>
      <c r="W186" s="50"/>
      <c r="X186" s="50"/>
      <c r="Y186" s="50"/>
      <c r="Z186" s="50"/>
    </row>
    <row r="187" spans="1:26">
      <c r="A187" s="320"/>
      <c r="B187" s="320"/>
      <c r="C187" s="320"/>
      <c r="D187" s="320"/>
      <c r="E187" s="320"/>
      <c r="F187" s="50"/>
      <c r="G187" s="50"/>
      <c r="H187" s="50"/>
      <c r="I187" s="50"/>
      <c r="J187" s="50"/>
      <c r="K187" s="50"/>
      <c r="L187" s="50"/>
      <c r="M187" s="50"/>
      <c r="N187" s="50"/>
      <c r="O187" s="50"/>
      <c r="P187" s="50"/>
      <c r="Q187" s="50"/>
      <c r="R187" s="50"/>
      <c r="S187" s="50"/>
      <c r="T187" s="50"/>
      <c r="U187" s="50"/>
      <c r="V187" s="50"/>
      <c r="W187" s="50"/>
      <c r="X187" s="50"/>
      <c r="Y187" s="50"/>
      <c r="Z187" s="50"/>
    </row>
    <row r="188" spans="1:26">
      <c r="A188" s="320" t="s">
        <v>2614</v>
      </c>
      <c r="B188" s="320"/>
      <c r="C188" s="320"/>
      <c r="D188" s="320"/>
      <c r="E188" s="320"/>
      <c r="F188" s="50"/>
      <c r="G188" s="50"/>
      <c r="H188" s="50"/>
      <c r="I188" s="50"/>
      <c r="J188" s="50"/>
      <c r="K188" s="50"/>
      <c r="L188" s="50"/>
      <c r="M188" s="50"/>
      <c r="N188" s="50"/>
      <c r="O188" s="50"/>
      <c r="P188" s="50"/>
      <c r="Q188" s="50"/>
      <c r="R188" s="50"/>
      <c r="S188" s="50"/>
      <c r="T188" s="50"/>
      <c r="U188" s="50"/>
      <c r="V188" s="50"/>
      <c r="W188" s="50"/>
      <c r="X188" s="50"/>
      <c r="Y188" s="50"/>
      <c r="Z188" s="50"/>
    </row>
    <row r="189" spans="1:26">
      <c r="A189" s="320" t="s">
        <v>2640</v>
      </c>
      <c r="B189" s="320"/>
      <c r="C189" s="320"/>
      <c r="D189" s="320"/>
      <c r="E189" s="320"/>
      <c r="F189" s="50"/>
      <c r="G189" s="50"/>
      <c r="H189" s="50"/>
      <c r="I189" s="50"/>
      <c r="J189" s="50"/>
      <c r="K189" s="50"/>
      <c r="L189" s="50"/>
      <c r="M189" s="50"/>
      <c r="N189" s="50"/>
      <c r="O189" s="50"/>
      <c r="P189" s="50"/>
      <c r="Q189" s="50"/>
      <c r="R189" s="50"/>
      <c r="S189" s="50"/>
      <c r="T189" s="50"/>
      <c r="U189" s="50"/>
      <c r="V189" s="50"/>
      <c r="W189" s="50"/>
      <c r="X189" s="50"/>
      <c r="Y189" s="50"/>
      <c r="Z189" s="50"/>
    </row>
    <row r="190" spans="1:26">
      <c r="A190" s="320"/>
      <c r="B190" s="320"/>
      <c r="C190" s="320"/>
      <c r="D190" s="320"/>
      <c r="E190" s="320"/>
      <c r="F190" s="50"/>
      <c r="G190" s="50"/>
      <c r="H190" s="50"/>
      <c r="I190" s="50"/>
      <c r="J190" s="50"/>
      <c r="K190" s="50"/>
      <c r="L190" s="50"/>
      <c r="M190" s="50"/>
      <c r="N190" s="50"/>
      <c r="O190" s="50"/>
      <c r="P190" s="50"/>
      <c r="Q190" s="50"/>
      <c r="R190" s="50"/>
      <c r="S190" s="50"/>
      <c r="T190" s="50"/>
      <c r="U190" s="50"/>
      <c r="V190" s="50"/>
      <c r="W190" s="50"/>
      <c r="X190" s="50"/>
      <c r="Y190" s="50"/>
      <c r="Z190" s="50"/>
    </row>
    <row r="191" spans="1:26">
      <c r="A191" s="320" t="s">
        <v>2641</v>
      </c>
      <c r="B191" s="320"/>
      <c r="C191" s="320"/>
      <c r="D191" s="320"/>
      <c r="E191" s="320"/>
      <c r="F191" s="50"/>
      <c r="G191" s="50"/>
      <c r="H191" s="50"/>
      <c r="I191" s="50"/>
      <c r="J191" s="50"/>
      <c r="K191" s="50"/>
      <c r="L191" s="50"/>
      <c r="M191" s="50"/>
      <c r="N191" s="50"/>
      <c r="O191" s="50"/>
      <c r="P191" s="50"/>
      <c r="Q191" s="50"/>
      <c r="R191" s="50"/>
      <c r="S191" s="50"/>
      <c r="T191" s="50"/>
      <c r="U191" s="50"/>
      <c r="V191" s="50"/>
      <c r="W191" s="50"/>
      <c r="X191" s="50"/>
      <c r="Y191" s="50"/>
      <c r="Z191" s="50"/>
    </row>
    <row r="192" spans="1:26">
      <c r="A192" s="320" t="s">
        <v>2642</v>
      </c>
      <c r="B192" s="320"/>
      <c r="C192" s="320"/>
      <c r="D192" s="320"/>
      <c r="E192" s="320"/>
      <c r="F192" s="50"/>
      <c r="G192" s="50"/>
      <c r="H192" s="50"/>
      <c r="I192" s="50"/>
      <c r="J192" s="50"/>
      <c r="K192" s="50"/>
      <c r="L192" s="50"/>
      <c r="M192" s="50"/>
      <c r="N192" s="50"/>
      <c r="O192" s="50"/>
      <c r="P192" s="50"/>
      <c r="Q192" s="50"/>
      <c r="R192" s="50"/>
      <c r="S192" s="50"/>
      <c r="T192" s="50"/>
      <c r="U192" s="50"/>
      <c r="V192" s="50"/>
      <c r="W192" s="50"/>
      <c r="X192" s="50"/>
      <c r="Y192" s="50"/>
      <c r="Z192" s="50"/>
    </row>
    <row r="193" spans="1:26">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c r="A194" s="27" t="s">
        <v>2643</v>
      </c>
      <c r="B194" s="27"/>
      <c r="C194" s="27"/>
      <c r="D194" s="529"/>
      <c r="E194" s="529"/>
      <c r="F194" s="529"/>
      <c r="G194" s="50"/>
      <c r="H194" s="50"/>
      <c r="I194" s="50"/>
      <c r="J194" s="50"/>
      <c r="K194" s="50"/>
      <c r="L194" s="50"/>
      <c r="M194" s="50"/>
      <c r="N194" s="50"/>
      <c r="O194" s="50"/>
      <c r="P194" s="50"/>
      <c r="Q194" s="50"/>
      <c r="R194" s="50"/>
      <c r="S194" s="50"/>
      <c r="T194" s="50"/>
      <c r="U194" s="50"/>
      <c r="V194" s="50"/>
      <c r="W194" s="50"/>
      <c r="X194" s="50"/>
      <c r="Y194" s="50"/>
      <c r="Z194" s="50"/>
    </row>
    <row r="195" spans="1:26">
      <c r="A195" s="320" t="s">
        <v>2644</v>
      </c>
      <c r="B195" s="320"/>
      <c r="C195" s="320"/>
      <c r="D195" s="320"/>
      <c r="E195" s="320"/>
      <c r="F195" s="320"/>
      <c r="G195" s="50"/>
      <c r="H195" s="50"/>
      <c r="I195" s="50"/>
      <c r="J195" s="50"/>
      <c r="K195" s="50"/>
      <c r="L195" s="50"/>
      <c r="M195" s="50"/>
      <c r="N195" s="50"/>
      <c r="O195" s="50"/>
      <c r="P195" s="50"/>
      <c r="Q195" s="50"/>
      <c r="R195" s="50"/>
      <c r="S195" s="50"/>
      <c r="T195" s="50"/>
      <c r="U195" s="50"/>
      <c r="V195" s="50"/>
      <c r="W195" s="50"/>
      <c r="X195" s="50"/>
      <c r="Y195" s="50"/>
      <c r="Z195" s="50"/>
    </row>
    <row r="196" spans="1:26">
      <c r="A196" s="320"/>
      <c r="B196" s="320"/>
      <c r="C196" s="320"/>
      <c r="D196" s="320"/>
      <c r="E196" s="320"/>
      <c r="F196" s="320"/>
      <c r="G196" s="50"/>
      <c r="H196" s="50"/>
      <c r="I196" s="50"/>
      <c r="J196" s="50"/>
      <c r="K196" s="50"/>
      <c r="L196" s="50"/>
      <c r="M196" s="50"/>
      <c r="N196" s="50"/>
      <c r="O196" s="50"/>
      <c r="P196" s="50"/>
      <c r="Q196" s="50"/>
      <c r="R196" s="50"/>
      <c r="S196" s="50"/>
      <c r="T196" s="50"/>
      <c r="U196" s="50"/>
      <c r="V196" s="50"/>
      <c r="W196" s="50"/>
      <c r="X196" s="50"/>
      <c r="Y196" s="50"/>
      <c r="Z196" s="50"/>
    </row>
    <row r="197" spans="1:26">
      <c r="A197" s="320" t="s">
        <v>2611</v>
      </c>
      <c r="B197" s="320"/>
      <c r="C197" s="320"/>
      <c r="D197" s="320"/>
      <c r="E197" s="320"/>
      <c r="F197" s="320"/>
      <c r="G197" s="50"/>
      <c r="H197" s="50"/>
      <c r="I197" s="50"/>
      <c r="J197" s="50"/>
      <c r="K197" s="50"/>
      <c r="L197" s="50"/>
      <c r="M197" s="50"/>
      <c r="N197" s="50"/>
      <c r="O197" s="50"/>
      <c r="P197" s="50"/>
      <c r="Q197" s="50"/>
      <c r="R197" s="50"/>
      <c r="S197" s="50"/>
      <c r="T197" s="50"/>
      <c r="U197" s="50"/>
      <c r="V197" s="50"/>
      <c r="W197" s="50"/>
      <c r="X197" s="50"/>
      <c r="Y197" s="50"/>
      <c r="Z197" s="50"/>
    </row>
    <row r="198" spans="1:26">
      <c r="A198" s="320"/>
      <c r="B198" s="320"/>
      <c r="C198" s="320"/>
      <c r="D198" s="320"/>
      <c r="E198" s="320"/>
      <c r="F198" s="320"/>
      <c r="G198" s="50"/>
      <c r="H198" s="50"/>
      <c r="I198" s="50"/>
      <c r="J198" s="50"/>
      <c r="K198" s="50"/>
      <c r="L198" s="50"/>
      <c r="M198" s="50"/>
      <c r="N198" s="50"/>
      <c r="O198" s="50"/>
      <c r="P198" s="50"/>
      <c r="Q198" s="50"/>
      <c r="R198" s="50"/>
      <c r="S198" s="50"/>
      <c r="T198" s="50"/>
      <c r="U198" s="50"/>
      <c r="V198" s="50"/>
      <c r="W198" s="50"/>
      <c r="X198" s="50"/>
      <c r="Y198" s="50"/>
      <c r="Z198" s="50"/>
    </row>
    <row r="199" spans="1:26">
      <c r="A199" s="320" t="s">
        <v>2645</v>
      </c>
      <c r="B199" s="320"/>
      <c r="C199" s="320"/>
      <c r="D199" s="320"/>
      <c r="E199" s="320"/>
      <c r="F199" s="320"/>
      <c r="G199" s="50"/>
      <c r="H199" s="50"/>
      <c r="I199" s="50"/>
      <c r="J199" s="50"/>
      <c r="K199" s="50"/>
      <c r="L199" s="50"/>
      <c r="M199" s="50"/>
      <c r="N199" s="50"/>
      <c r="O199" s="50"/>
      <c r="P199" s="50"/>
      <c r="Q199" s="50"/>
      <c r="R199" s="50"/>
      <c r="S199" s="50"/>
      <c r="T199" s="50"/>
      <c r="U199" s="50"/>
      <c r="V199" s="50"/>
      <c r="W199" s="50"/>
      <c r="X199" s="50"/>
      <c r="Y199" s="50"/>
      <c r="Z199" s="50"/>
    </row>
    <row r="200" spans="1:26">
      <c r="A200" s="320" t="s">
        <v>2646</v>
      </c>
      <c r="B200" s="320"/>
      <c r="C200" s="320"/>
      <c r="D200" s="320"/>
      <c r="E200" s="320"/>
      <c r="F200" s="320"/>
      <c r="G200" s="50"/>
      <c r="H200" s="50"/>
      <c r="I200" s="50"/>
      <c r="J200" s="50"/>
      <c r="K200" s="50"/>
      <c r="L200" s="50"/>
      <c r="M200" s="50"/>
      <c r="N200" s="50"/>
      <c r="O200" s="50"/>
      <c r="P200" s="50"/>
      <c r="Q200" s="50"/>
      <c r="R200" s="50"/>
      <c r="S200" s="50"/>
      <c r="T200" s="50"/>
      <c r="U200" s="50"/>
      <c r="V200" s="50"/>
      <c r="W200" s="50"/>
      <c r="X200" s="50"/>
      <c r="Y200" s="50"/>
      <c r="Z200" s="50"/>
    </row>
    <row r="201" spans="1:26">
      <c r="A201" s="320"/>
      <c r="B201" s="320"/>
      <c r="C201" s="320"/>
      <c r="D201" s="320"/>
      <c r="E201" s="320"/>
      <c r="F201" s="320"/>
      <c r="G201" s="50"/>
      <c r="H201" s="50"/>
      <c r="I201" s="50"/>
      <c r="J201" s="50"/>
      <c r="K201" s="50"/>
      <c r="L201" s="50"/>
      <c r="M201" s="50"/>
      <c r="N201" s="50"/>
      <c r="O201" s="50"/>
      <c r="P201" s="50"/>
      <c r="Q201" s="50"/>
      <c r="R201" s="50"/>
      <c r="S201" s="50"/>
      <c r="T201" s="50"/>
      <c r="U201" s="50"/>
      <c r="V201" s="50"/>
      <c r="W201" s="50"/>
      <c r="X201" s="50"/>
      <c r="Y201" s="50"/>
      <c r="Z201" s="50"/>
    </row>
    <row r="202" spans="1:26">
      <c r="A202" s="320" t="s">
        <v>2614</v>
      </c>
      <c r="B202" s="320"/>
      <c r="C202" s="320"/>
      <c r="D202" s="320"/>
      <c r="E202" s="320"/>
      <c r="F202" s="320"/>
      <c r="G202" s="50"/>
      <c r="H202" s="50"/>
      <c r="I202" s="50"/>
      <c r="J202" s="50"/>
      <c r="K202" s="50"/>
      <c r="L202" s="50"/>
      <c r="M202" s="50"/>
      <c r="N202" s="50"/>
      <c r="O202" s="50"/>
      <c r="P202" s="50"/>
      <c r="Q202" s="50"/>
      <c r="R202" s="50"/>
      <c r="S202" s="50"/>
      <c r="T202" s="50"/>
      <c r="U202" s="50"/>
      <c r="V202" s="50"/>
      <c r="W202" s="50"/>
      <c r="X202" s="50"/>
      <c r="Y202" s="50"/>
      <c r="Z202" s="50"/>
    </row>
    <row r="203" spans="1:26">
      <c r="A203" s="320" t="s">
        <v>2647</v>
      </c>
      <c r="B203" s="320"/>
      <c r="C203" s="320"/>
      <c r="D203" s="320"/>
      <c r="E203" s="320"/>
      <c r="F203" s="320"/>
      <c r="G203" s="50"/>
      <c r="H203" s="50"/>
      <c r="I203" s="50"/>
      <c r="J203" s="50"/>
      <c r="K203" s="50"/>
      <c r="L203" s="50"/>
      <c r="M203" s="50"/>
      <c r="N203" s="50"/>
      <c r="O203" s="50"/>
      <c r="P203" s="50"/>
      <c r="Q203" s="50"/>
      <c r="R203" s="50"/>
      <c r="S203" s="50"/>
      <c r="T203" s="50"/>
      <c r="U203" s="50"/>
      <c r="V203" s="50"/>
      <c r="W203" s="50"/>
      <c r="X203" s="50"/>
      <c r="Y203" s="50"/>
      <c r="Z203" s="50"/>
    </row>
    <row r="204" spans="1:26">
      <c r="A204" s="320" t="s">
        <v>2648</v>
      </c>
      <c r="B204" s="320"/>
      <c r="C204" s="320"/>
      <c r="D204" s="320"/>
      <c r="E204" s="320"/>
      <c r="F204" s="320"/>
      <c r="G204" s="50"/>
      <c r="H204" s="50"/>
      <c r="I204" s="50"/>
      <c r="J204" s="50"/>
      <c r="K204" s="50"/>
      <c r="L204" s="50"/>
      <c r="M204" s="50"/>
      <c r="N204" s="50"/>
      <c r="O204" s="50"/>
      <c r="P204" s="50"/>
      <c r="Q204" s="50"/>
      <c r="R204" s="50"/>
      <c r="S204" s="50"/>
      <c r="T204" s="50"/>
      <c r="U204" s="50"/>
      <c r="V204" s="50"/>
      <c r="W204" s="50"/>
      <c r="X204" s="50"/>
      <c r="Y204" s="50"/>
      <c r="Z204" s="50"/>
    </row>
    <row r="205" spans="1:26">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59AE-56B3-4AB6-A59B-99EA119F9AD0}">
  <dimension ref="A1:Y100"/>
  <sheetViews>
    <sheetView workbookViewId="0"/>
  </sheetViews>
  <sheetFormatPr defaultRowHeight="14"/>
  <cols>
    <col min="1" max="1" width="24" customWidth="1"/>
    <col min="2" max="2" width="19.83203125" customWidth="1"/>
    <col min="3" max="3" width="38.83203125" customWidth="1"/>
    <col min="4" max="4" width="17.58203125" customWidth="1"/>
    <col min="5" max="5" width="10.58203125" customWidth="1"/>
    <col min="6" max="6" width="14.58203125" customWidth="1"/>
    <col min="7" max="7" width="11.08203125" customWidth="1"/>
    <col min="8" max="8" width="24.6640625" customWidth="1"/>
    <col min="9" max="9" width="15.08203125" customWidth="1"/>
    <col min="10" max="10" width="24.08203125" customWidth="1"/>
    <col min="12" max="12" width="14.1640625" customWidth="1"/>
    <col min="13" max="13" width="10.83203125" customWidth="1"/>
    <col min="14" max="14" width="11.25" customWidth="1"/>
    <col min="15" max="15" width="7.4140625" customWidth="1"/>
    <col min="16" max="16" width="7.25" customWidth="1"/>
  </cols>
  <sheetData>
    <row r="1" spans="1:25">
      <c r="A1" s="46" t="s">
        <v>194</v>
      </c>
      <c r="B1" s="46"/>
      <c r="C1" s="534"/>
      <c r="D1" s="534"/>
      <c r="E1" s="50"/>
      <c r="F1" s="63" t="s">
        <v>1828</v>
      </c>
      <c r="G1" s="63"/>
      <c r="H1" s="63"/>
      <c r="I1" s="63"/>
      <c r="J1" s="50"/>
      <c r="K1" s="52"/>
      <c r="L1" s="52"/>
      <c r="M1" s="52"/>
      <c r="N1" s="52"/>
      <c r="O1" s="52"/>
      <c r="P1" s="52"/>
      <c r="Q1" s="52"/>
      <c r="R1" s="52"/>
      <c r="S1" s="52"/>
      <c r="T1" s="52"/>
      <c r="U1" s="52"/>
      <c r="V1" s="52"/>
      <c r="W1" s="52"/>
      <c r="X1" s="52"/>
      <c r="Y1" s="52"/>
    </row>
    <row r="2" spans="1:25">
      <c r="A2" s="46" t="s">
        <v>974</v>
      </c>
      <c r="B2" s="46" t="s">
        <v>975</v>
      </c>
      <c r="C2" s="534"/>
      <c r="D2" s="534"/>
      <c r="E2" s="50"/>
      <c r="F2" s="63" t="s">
        <v>1813</v>
      </c>
      <c r="G2" s="63"/>
      <c r="H2" s="63"/>
      <c r="I2" s="63"/>
      <c r="J2" s="63"/>
      <c r="K2" s="50"/>
      <c r="L2" s="50"/>
      <c r="M2" s="50"/>
      <c r="N2" s="52"/>
      <c r="O2" s="52"/>
      <c r="P2" s="52"/>
      <c r="Q2" s="52"/>
      <c r="R2" s="52"/>
      <c r="S2" s="52"/>
      <c r="T2" s="52"/>
      <c r="U2" s="52"/>
      <c r="V2" s="52"/>
      <c r="W2" s="52"/>
      <c r="X2" s="52"/>
      <c r="Y2" s="52"/>
    </row>
    <row r="3" spans="1:25">
      <c r="A3" s="320" t="s">
        <v>1308</v>
      </c>
      <c r="B3" s="46"/>
      <c r="C3" s="534"/>
      <c r="D3" s="534"/>
      <c r="E3" s="50"/>
      <c r="F3" s="63"/>
      <c r="G3" s="63"/>
      <c r="H3" s="63"/>
      <c r="I3" s="63"/>
      <c r="J3" s="63"/>
      <c r="K3" s="50"/>
      <c r="L3" s="50"/>
      <c r="M3" s="50"/>
      <c r="N3" s="52"/>
      <c r="O3" s="52"/>
      <c r="P3" s="52"/>
      <c r="Q3" s="52"/>
      <c r="R3" s="52"/>
      <c r="S3" s="52"/>
      <c r="T3" s="52"/>
      <c r="U3" s="52"/>
      <c r="V3" s="52"/>
      <c r="W3" s="52"/>
      <c r="X3" s="52"/>
      <c r="Y3" s="52"/>
    </row>
    <row r="4" spans="1:25">
      <c r="A4" s="320" t="s">
        <v>433</v>
      </c>
      <c r="B4" s="313">
        <f>Assumptions!B43</f>
        <v>4.2000000000000003E-2</v>
      </c>
      <c r="C4" s="534"/>
      <c r="D4" s="534"/>
      <c r="E4" s="50"/>
      <c r="F4" s="63" t="s">
        <v>2096</v>
      </c>
      <c r="G4" s="63"/>
      <c r="H4" s="63"/>
      <c r="I4" s="63"/>
      <c r="J4" s="63"/>
      <c r="K4" s="52"/>
      <c r="L4" s="52"/>
      <c r="M4" s="52"/>
      <c r="N4" s="52"/>
      <c r="O4" s="52"/>
      <c r="P4" s="52"/>
      <c r="Q4" s="52"/>
      <c r="R4" s="52"/>
      <c r="S4" s="52"/>
      <c r="T4" s="52"/>
      <c r="U4" s="52"/>
      <c r="V4" s="52"/>
      <c r="W4" s="52"/>
      <c r="X4" s="52"/>
      <c r="Y4" s="52"/>
    </row>
    <row r="5" spans="1:25">
      <c r="A5" s="320" t="s">
        <v>434</v>
      </c>
      <c r="B5" s="313">
        <f>Assumptions!B45</f>
        <v>0.1</v>
      </c>
      <c r="C5" s="534"/>
      <c r="D5" s="534"/>
      <c r="E5" s="50"/>
      <c r="F5" s="63" t="s">
        <v>1829</v>
      </c>
      <c r="G5" s="63"/>
      <c r="H5" s="63"/>
      <c r="I5" s="63"/>
      <c r="J5" s="63"/>
      <c r="K5" s="52"/>
      <c r="L5" s="52"/>
      <c r="M5" s="52"/>
      <c r="N5" s="52"/>
      <c r="O5" s="52"/>
      <c r="P5" s="52"/>
      <c r="Q5" s="52"/>
      <c r="R5" s="52"/>
      <c r="S5" s="52"/>
      <c r="T5" s="52"/>
      <c r="U5" s="52"/>
      <c r="V5" s="52"/>
      <c r="W5" s="52"/>
      <c r="X5" s="52"/>
      <c r="Y5" s="52"/>
    </row>
    <row r="6" spans="1:25">
      <c r="A6" s="320" t="s">
        <v>191</v>
      </c>
      <c r="B6" s="46" cm="1">
        <f t="array" ref="B6">Table23[Value]</f>
        <v>1.0354653976641053</v>
      </c>
      <c r="C6" s="534"/>
      <c r="D6" s="534"/>
      <c r="E6" s="50"/>
      <c r="F6" s="50"/>
      <c r="G6" s="50"/>
      <c r="H6" s="50"/>
      <c r="I6" s="50"/>
      <c r="J6" s="50"/>
      <c r="K6" s="52"/>
      <c r="L6" s="52"/>
      <c r="M6" s="52"/>
      <c r="N6" s="52"/>
      <c r="O6" s="52"/>
      <c r="P6" s="52"/>
      <c r="Q6" s="52"/>
      <c r="R6" s="52"/>
      <c r="S6" s="52"/>
      <c r="T6" s="52"/>
      <c r="U6" s="52"/>
      <c r="V6" s="52"/>
      <c r="W6" s="52"/>
      <c r="X6" s="52"/>
      <c r="Y6" s="52"/>
    </row>
    <row r="7" spans="1:25">
      <c r="A7" s="320" t="s">
        <v>848</v>
      </c>
      <c r="B7" s="313">
        <f>B4+B6*(B5-B4)</f>
        <v>0.10205699306451811</v>
      </c>
      <c r="C7" s="534"/>
      <c r="D7" s="534"/>
      <c r="E7" s="50"/>
      <c r="F7" s="63" t="s">
        <v>2095</v>
      </c>
      <c r="G7" s="63"/>
      <c r="H7" s="63"/>
      <c r="I7" s="63"/>
      <c r="J7" s="63"/>
      <c r="K7" s="52"/>
      <c r="L7" s="52"/>
      <c r="M7" s="52"/>
      <c r="N7" s="52"/>
      <c r="O7" s="52"/>
      <c r="P7" s="52"/>
      <c r="Q7" s="52"/>
      <c r="R7" s="52"/>
      <c r="S7" s="52"/>
      <c r="T7" s="52"/>
      <c r="U7" s="52"/>
      <c r="V7" s="52"/>
      <c r="W7" s="52"/>
      <c r="X7" s="52"/>
      <c r="Y7" s="52"/>
    </row>
    <row r="8" spans="1:25">
      <c r="A8" s="46" t="s">
        <v>1827</v>
      </c>
      <c r="B8" s="46"/>
      <c r="C8" s="534"/>
      <c r="D8" s="534"/>
      <c r="E8" s="50"/>
      <c r="F8" s="63" t="s">
        <v>2096</v>
      </c>
      <c r="G8" s="63"/>
      <c r="H8" s="63"/>
      <c r="I8" s="63"/>
      <c r="J8" s="63"/>
      <c r="K8" s="52"/>
      <c r="L8" s="52"/>
      <c r="M8" s="52"/>
      <c r="N8" s="52"/>
      <c r="O8" s="52"/>
      <c r="P8" s="52"/>
      <c r="Q8" s="52"/>
      <c r="R8" s="52"/>
      <c r="S8" s="52"/>
      <c r="T8" s="52"/>
      <c r="U8" s="52"/>
      <c r="V8" s="52"/>
      <c r="W8" s="52"/>
      <c r="X8" s="52"/>
      <c r="Y8" s="52"/>
    </row>
    <row r="9" spans="1:25">
      <c r="A9" s="46" t="s">
        <v>974</v>
      </c>
      <c r="B9" s="46" t="s">
        <v>975</v>
      </c>
      <c r="C9" s="534"/>
      <c r="D9" s="534"/>
      <c r="E9" s="50"/>
      <c r="F9" s="50"/>
      <c r="G9" s="50"/>
      <c r="H9" s="50"/>
      <c r="I9" s="50"/>
      <c r="J9" s="50"/>
      <c r="K9" s="52"/>
      <c r="L9" s="52"/>
      <c r="M9" s="52"/>
      <c r="N9" s="52"/>
      <c r="O9" s="52"/>
      <c r="P9" s="52"/>
      <c r="Q9" s="52"/>
      <c r="R9" s="52"/>
      <c r="S9" s="52"/>
      <c r="T9" s="52"/>
      <c r="U9" s="52"/>
      <c r="V9" s="52"/>
      <c r="W9" s="52"/>
      <c r="X9" s="52"/>
      <c r="Y9" s="52"/>
    </row>
    <row r="10" spans="1:25">
      <c r="A10" s="320" t="s">
        <v>1827</v>
      </c>
      <c r="B10" s="46"/>
      <c r="C10" s="534"/>
      <c r="D10" s="534"/>
      <c r="E10" s="50"/>
      <c r="F10" s="63" t="s">
        <v>2097</v>
      </c>
      <c r="G10" s="63"/>
      <c r="H10" s="63"/>
      <c r="I10" s="63"/>
      <c r="J10" s="63"/>
      <c r="K10" s="50"/>
      <c r="L10" s="52"/>
      <c r="M10" s="52"/>
      <c r="N10" s="52"/>
      <c r="O10" s="52"/>
      <c r="P10" s="52"/>
      <c r="Q10" s="52"/>
      <c r="R10" s="52"/>
      <c r="S10" s="52"/>
      <c r="T10" s="52"/>
      <c r="U10" s="52"/>
      <c r="V10" s="52"/>
      <c r="W10" s="52"/>
      <c r="X10" s="52"/>
      <c r="Y10" s="52"/>
    </row>
    <row r="11" spans="1:25">
      <c r="A11" s="320" t="s">
        <v>157</v>
      </c>
      <c r="B11" s="312">
        <f>-'Profit Loss'!G15</f>
        <v>301.87500000000006</v>
      </c>
      <c r="C11" s="534"/>
      <c r="D11" s="534"/>
      <c r="E11" s="50"/>
      <c r="F11" s="63" t="s">
        <v>2098</v>
      </c>
      <c r="G11" s="63"/>
      <c r="H11" s="63"/>
      <c r="I11" s="63"/>
      <c r="J11" s="63"/>
      <c r="K11" s="50"/>
      <c r="L11" s="52"/>
      <c r="M11" s="52"/>
      <c r="N11" s="52"/>
      <c r="O11" s="52"/>
      <c r="P11" s="52"/>
      <c r="Q11" s="52"/>
      <c r="R11" s="52"/>
      <c r="S11" s="52"/>
      <c r="T11" s="52"/>
      <c r="U11" s="52"/>
      <c r="V11" s="52"/>
      <c r="W11" s="52"/>
      <c r="X11" s="52"/>
      <c r="Y11" s="52"/>
    </row>
    <row r="12" spans="1:25">
      <c r="A12" s="320" t="s">
        <v>182</v>
      </c>
      <c r="B12" s="314">
        <f>Balance_Sheet!G27+Balance_Sheet!G24</f>
        <v>17250</v>
      </c>
      <c r="C12" s="534"/>
      <c r="D12" s="534"/>
      <c r="E12" s="50"/>
      <c r="F12" s="50"/>
      <c r="G12" s="50"/>
      <c r="H12" s="50"/>
      <c r="I12" s="50"/>
      <c r="J12" s="50"/>
      <c r="K12" s="52"/>
      <c r="L12" s="52"/>
      <c r="M12" s="52"/>
      <c r="N12" s="52"/>
      <c r="O12" s="52"/>
      <c r="P12" s="52"/>
      <c r="Q12" s="52"/>
      <c r="R12" s="52"/>
      <c r="S12" s="52"/>
      <c r="T12" s="52"/>
      <c r="U12" s="52"/>
      <c r="V12" s="52"/>
      <c r="W12" s="52"/>
      <c r="X12" s="52"/>
      <c r="Y12" s="52"/>
    </row>
    <row r="13" spans="1:25">
      <c r="A13" s="320" t="s">
        <v>937</v>
      </c>
      <c r="B13" s="313">
        <f>Assumptions!B50</f>
        <v>3.5000000000000003E-2</v>
      </c>
      <c r="C13" s="534"/>
      <c r="D13" s="534"/>
      <c r="E13" s="50"/>
      <c r="F13" s="63" t="s">
        <v>2099</v>
      </c>
      <c r="G13" s="63"/>
      <c r="H13" s="63"/>
      <c r="I13" s="63"/>
      <c r="J13" s="63"/>
      <c r="K13" s="50"/>
      <c r="L13" s="50"/>
      <c r="M13" s="52"/>
      <c r="N13" s="52"/>
      <c r="O13" s="52"/>
      <c r="P13" s="52"/>
      <c r="Q13" s="52"/>
      <c r="R13" s="52"/>
      <c r="S13" s="52"/>
      <c r="T13" s="52"/>
      <c r="U13" s="52"/>
      <c r="V13" s="52"/>
      <c r="W13" s="52"/>
      <c r="X13" s="52"/>
      <c r="Y13" s="52"/>
    </row>
    <row r="14" spans="1:25">
      <c r="A14" s="46" t="s">
        <v>974</v>
      </c>
      <c r="B14" s="46" t="s">
        <v>975</v>
      </c>
      <c r="C14" s="534"/>
      <c r="D14" s="534"/>
      <c r="E14" s="50"/>
      <c r="F14" s="63" t="s">
        <v>2100</v>
      </c>
      <c r="G14" s="63"/>
      <c r="H14" s="63"/>
      <c r="I14" s="63"/>
      <c r="J14" s="63"/>
      <c r="K14" s="50"/>
      <c r="L14" s="50"/>
      <c r="M14" s="52"/>
      <c r="N14" s="52"/>
      <c r="O14" s="52"/>
      <c r="P14" s="52"/>
      <c r="Q14" s="52"/>
      <c r="R14" s="52"/>
      <c r="S14" s="52"/>
      <c r="T14" s="52"/>
      <c r="U14" s="52"/>
      <c r="V14" s="52"/>
      <c r="W14" s="52"/>
      <c r="X14" s="52"/>
      <c r="Y14" s="52"/>
    </row>
    <row r="15" spans="1:25">
      <c r="A15" s="46" t="s">
        <v>1573</v>
      </c>
      <c r="B15" s="46"/>
      <c r="C15" s="534"/>
      <c r="D15" s="534"/>
      <c r="E15" s="50"/>
      <c r="F15" s="50"/>
      <c r="G15" s="50"/>
      <c r="H15" s="50"/>
      <c r="I15" s="50"/>
      <c r="J15" s="50"/>
      <c r="K15" s="50"/>
      <c r="L15" s="50"/>
      <c r="M15" s="52"/>
      <c r="N15" s="52"/>
      <c r="O15" s="52"/>
      <c r="P15" s="52"/>
      <c r="Q15" s="52"/>
      <c r="R15" s="52"/>
      <c r="S15" s="52"/>
      <c r="T15" s="52"/>
      <c r="U15" s="52"/>
      <c r="V15" s="52"/>
      <c r="W15" s="52"/>
      <c r="X15" s="52"/>
      <c r="Y15" s="52"/>
    </row>
    <row r="16" spans="1:25">
      <c r="A16" s="320" t="s">
        <v>351</v>
      </c>
      <c r="B16" s="46">
        <v>450</v>
      </c>
      <c r="C16" s="534"/>
      <c r="D16" s="534"/>
      <c r="E16" s="50"/>
      <c r="F16" s="27" t="s">
        <v>2664</v>
      </c>
      <c r="G16" s="27" t="s">
        <v>117</v>
      </c>
      <c r="H16" s="27" t="s">
        <v>989</v>
      </c>
      <c r="I16" s="27" t="s">
        <v>224</v>
      </c>
      <c r="J16" s="27" t="s">
        <v>2665</v>
      </c>
      <c r="K16" s="52"/>
      <c r="L16" s="52"/>
      <c r="M16" s="52"/>
      <c r="N16" s="52"/>
      <c r="O16" s="52"/>
      <c r="P16" s="52"/>
      <c r="Q16" s="52"/>
      <c r="R16" s="52"/>
      <c r="S16" s="52"/>
      <c r="T16" s="52"/>
      <c r="U16" s="52"/>
      <c r="V16" s="52"/>
      <c r="W16" s="52"/>
      <c r="X16" s="52"/>
      <c r="Y16" s="52"/>
    </row>
    <row r="17" spans="1:25">
      <c r="A17" s="320" t="s">
        <v>852</v>
      </c>
      <c r="B17" s="311">
        <f>'Profit Loss'!K24</f>
        <v>837.93457863359993</v>
      </c>
      <c r="C17" s="534"/>
      <c r="D17" s="534"/>
      <c r="E17" s="50"/>
      <c r="F17" s="63" t="s">
        <v>1598</v>
      </c>
      <c r="G17" s="536">
        <v>4.2000000000000003E-2</v>
      </c>
      <c r="H17" s="63" t="s">
        <v>2666</v>
      </c>
      <c r="I17" s="537">
        <v>46082</v>
      </c>
      <c r="J17" s="63" t="s">
        <v>2667</v>
      </c>
      <c r="K17" s="52"/>
      <c r="L17" s="52"/>
      <c r="M17" s="52"/>
      <c r="N17" s="52"/>
      <c r="O17" s="52"/>
      <c r="P17" s="52"/>
      <c r="Q17" s="52"/>
      <c r="R17" s="52"/>
      <c r="S17" s="52"/>
      <c r="T17" s="52"/>
      <c r="U17" s="52"/>
      <c r="V17" s="52"/>
      <c r="W17" s="52"/>
      <c r="X17" s="52"/>
      <c r="Y17" s="52"/>
    </row>
    <row r="18" spans="1:25">
      <c r="A18" s="320" t="s">
        <v>1574</v>
      </c>
      <c r="B18" s="46">
        <f>B16*B17</f>
        <v>377070.56038511998</v>
      </c>
      <c r="C18" s="534"/>
      <c r="D18" s="534"/>
      <c r="E18" s="50"/>
      <c r="F18" s="63" t="s">
        <v>434</v>
      </c>
      <c r="G18" s="536">
        <v>0.09</v>
      </c>
      <c r="H18" s="63" t="s">
        <v>2668</v>
      </c>
      <c r="I18" s="63">
        <v>2025</v>
      </c>
      <c r="J18" s="63" t="s">
        <v>2669</v>
      </c>
      <c r="K18" s="52"/>
      <c r="L18" s="52"/>
      <c r="M18" s="52"/>
      <c r="N18" s="52"/>
      <c r="O18" s="52"/>
      <c r="P18" s="52"/>
      <c r="Q18" s="52"/>
      <c r="R18" s="52"/>
      <c r="S18" s="52"/>
      <c r="T18" s="52"/>
      <c r="U18" s="52"/>
      <c r="V18" s="52"/>
      <c r="W18" s="52"/>
      <c r="X18" s="52"/>
      <c r="Y18" s="52"/>
    </row>
    <row r="19" spans="1:25">
      <c r="A19" s="320" t="s">
        <v>182</v>
      </c>
      <c r="B19" s="314">
        <f>B12</f>
        <v>17250</v>
      </c>
      <c r="C19" s="534"/>
      <c r="D19" s="534"/>
      <c r="E19" s="50"/>
      <c r="F19" s="63" t="s">
        <v>191</v>
      </c>
      <c r="G19" s="63">
        <v>1.1499999999999999</v>
      </c>
      <c r="H19" s="63" t="s">
        <v>2670</v>
      </c>
      <c r="I19" s="537">
        <v>46082</v>
      </c>
      <c r="J19" s="63" t="s">
        <v>2671</v>
      </c>
      <c r="K19" s="52"/>
      <c r="L19" s="52"/>
      <c r="M19" s="52"/>
      <c r="N19" s="52"/>
      <c r="O19" s="52"/>
      <c r="P19" s="52"/>
      <c r="Q19" s="52"/>
      <c r="R19" s="52"/>
      <c r="S19" s="52"/>
      <c r="T19" s="52"/>
      <c r="U19" s="52"/>
      <c r="V19" s="52"/>
      <c r="W19" s="52"/>
      <c r="X19" s="52"/>
      <c r="Y19" s="52"/>
    </row>
    <row r="20" spans="1:25">
      <c r="A20" s="320" t="s">
        <v>211</v>
      </c>
      <c r="B20" s="314">
        <f>B18+B19</f>
        <v>394320.56038511998</v>
      </c>
      <c r="C20" s="534"/>
      <c r="D20" s="534"/>
      <c r="E20" s="50"/>
      <c r="F20" s="63" t="s">
        <v>1599</v>
      </c>
      <c r="G20" s="536">
        <v>0.05</v>
      </c>
      <c r="H20" s="63" t="s">
        <v>2672</v>
      </c>
      <c r="I20" s="63">
        <v>2025</v>
      </c>
      <c r="J20" s="63" t="s">
        <v>2673</v>
      </c>
      <c r="K20" s="52"/>
      <c r="L20" s="52"/>
      <c r="M20" s="52"/>
      <c r="N20" s="52"/>
      <c r="O20" s="52"/>
      <c r="P20" s="52"/>
      <c r="Q20" s="52"/>
      <c r="R20" s="52"/>
      <c r="S20" s="52"/>
      <c r="T20" s="52"/>
      <c r="U20" s="52"/>
      <c r="V20" s="52"/>
      <c r="W20" s="52"/>
      <c r="X20" s="52"/>
      <c r="Y20" s="52"/>
    </row>
    <row r="21" spans="1:25">
      <c r="A21" s="27" t="s">
        <v>1575</v>
      </c>
      <c r="B21" s="534"/>
      <c r="C21" s="534"/>
      <c r="D21" s="534"/>
      <c r="E21" s="50"/>
      <c r="F21" s="63" t="s">
        <v>118</v>
      </c>
      <c r="G21" s="538">
        <v>0.21</v>
      </c>
      <c r="H21" s="63" t="s">
        <v>2674</v>
      </c>
      <c r="I21" s="63">
        <v>2024</v>
      </c>
      <c r="J21" s="63" t="s">
        <v>2675</v>
      </c>
      <c r="K21" s="52"/>
      <c r="L21" s="52"/>
      <c r="M21" s="52"/>
      <c r="N21" s="52"/>
      <c r="O21" s="52"/>
      <c r="P21" s="52"/>
      <c r="Q21" s="52"/>
      <c r="R21" s="52"/>
      <c r="S21" s="52"/>
      <c r="T21" s="52"/>
      <c r="U21" s="52"/>
      <c r="V21" s="52"/>
      <c r="W21" s="52"/>
      <c r="X21" s="52"/>
      <c r="Y21" s="52"/>
    </row>
    <row r="22" spans="1:25">
      <c r="A22" s="46" t="s">
        <v>974</v>
      </c>
      <c r="B22" s="46" t="s">
        <v>975</v>
      </c>
      <c r="C22" s="534"/>
      <c r="D22" s="534"/>
      <c r="E22" s="50"/>
      <c r="F22" s="50"/>
      <c r="G22" s="50"/>
      <c r="H22" s="50"/>
      <c r="I22" s="50"/>
      <c r="J22" s="50"/>
      <c r="K22" s="52"/>
      <c r="L22" s="52"/>
      <c r="M22" s="52"/>
      <c r="N22" s="52"/>
      <c r="O22" s="52"/>
      <c r="P22" s="52"/>
      <c r="Q22" s="52"/>
      <c r="R22" s="52"/>
      <c r="S22" s="52"/>
      <c r="T22" s="52"/>
      <c r="U22" s="52"/>
      <c r="V22" s="52"/>
      <c r="W22" s="52"/>
      <c r="X22" s="52"/>
      <c r="Y22" s="52"/>
    </row>
    <row r="23" spans="1:25">
      <c r="A23" s="320" t="s">
        <v>939</v>
      </c>
      <c r="B23" s="313">
        <v>0.9</v>
      </c>
      <c r="C23" s="534"/>
      <c r="D23" s="534"/>
      <c r="E23" s="50"/>
      <c r="F23" s="63" t="s">
        <v>1266</v>
      </c>
      <c r="G23" s="63" t="s">
        <v>2676</v>
      </c>
      <c r="H23" s="63" t="s">
        <v>191</v>
      </c>
      <c r="I23" s="63" t="s">
        <v>434</v>
      </c>
      <c r="J23" s="50"/>
      <c r="K23" s="52"/>
      <c r="L23" s="52"/>
      <c r="M23" s="52"/>
      <c r="N23" s="52"/>
      <c r="O23" s="52"/>
      <c r="P23" s="52"/>
      <c r="Q23" s="52"/>
      <c r="R23" s="52"/>
      <c r="S23" s="52"/>
      <c r="T23" s="52"/>
      <c r="U23" s="52"/>
      <c r="V23" s="52"/>
      <c r="W23" s="52"/>
      <c r="X23" s="52"/>
      <c r="Y23" s="52"/>
    </row>
    <row r="24" spans="1:25">
      <c r="A24" s="320" t="s">
        <v>938</v>
      </c>
      <c r="B24" s="313">
        <v>0.1</v>
      </c>
      <c r="C24" s="534"/>
      <c r="D24" s="534"/>
      <c r="E24" s="50"/>
      <c r="F24" s="63" t="s">
        <v>952</v>
      </c>
      <c r="G24" s="538">
        <v>0.04</v>
      </c>
      <c r="H24" s="63">
        <v>1.1000000000000001</v>
      </c>
      <c r="I24" s="538">
        <v>0.09</v>
      </c>
      <c r="J24" s="50"/>
      <c r="K24" s="52"/>
      <c r="L24" s="52"/>
      <c r="M24" s="52"/>
      <c r="N24" s="52"/>
      <c r="O24" s="52"/>
      <c r="P24" s="52"/>
      <c r="Q24" s="52"/>
      <c r="R24" s="52"/>
      <c r="S24" s="52"/>
      <c r="T24" s="52"/>
      <c r="U24" s="52"/>
      <c r="V24" s="52"/>
      <c r="W24" s="52"/>
      <c r="X24" s="52"/>
      <c r="Y24" s="52"/>
    </row>
    <row r="25" spans="1:25">
      <c r="A25" s="27" t="s">
        <v>198</v>
      </c>
      <c r="B25" s="27"/>
      <c r="C25" s="534"/>
      <c r="D25" s="534"/>
      <c r="E25" s="50"/>
      <c r="F25" s="63" t="s">
        <v>950</v>
      </c>
      <c r="G25" s="536">
        <v>3.5000000000000003E-2</v>
      </c>
      <c r="H25" s="63">
        <v>1</v>
      </c>
      <c r="I25" s="538">
        <v>0.1</v>
      </c>
      <c r="J25" s="50"/>
      <c r="K25" s="52"/>
      <c r="L25" s="52"/>
      <c r="M25" s="52"/>
      <c r="N25" s="52"/>
      <c r="O25" s="52"/>
      <c r="P25" s="52"/>
      <c r="Q25" s="52"/>
      <c r="R25" s="52"/>
      <c r="S25" s="52"/>
      <c r="T25" s="52"/>
      <c r="U25" s="52"/>
      <c r="V25" s="52"/>
      <c r="W25" s="52"/>
      <c r="X25" s="52"/>
      <c r="Y25" s="52"/>
    </row>
    <row r="26" spans="1:25">
      <c r="A26" s="27" t="s">
        <v>974</v>
      </c>
      <c r="B26" s="27" t="s">
        <v>975</v>
      </c>
      <c r="C26" s="534"/>
      <c r="D26" s="534"/>
      <c r="E26" s="50"/>
      <c r="F26" s="63" t="s">
        <v>954</v>
      </c>
      <c r="G26" s="538">
        <v>0.05</v>
      </c>
      <c r="H26" s="63">
        <v>1.3</v>
      </c>
      <c r="I26" s="538">
        <v>0.08</v>
      </c>
      <c r="J26" s="50"/>
      <c r="K26" s="52"/>
      <c r="L26" s="52"/>
      <c r="M26" s="52"/>
      <c r="N26" s="52"/>
      <c r="O26" s="52"/>
      <c r="P26" s="52"/>
      <c r="Q26" s="52"/>
      <c r="R26" s="52"/>
      <c r="S26" s="52"/>
      <c r="T26" s="52"/>
      <c r="U26" s="52"/>
      <c r="V26" s="52"/>
      <c r="W26" s="52"/>
      <c r="X26" s="52"/>
      <c r="Y26" s="52"/>
    </row>
    <row r="27" spans="1:25">
      <c r="A27" s="320" t="s">
        <v>118</v>
      </c>
      <c r="B27" s="260">
        <f>Assumptions!B14</f>
        <v>0.16</v>
      </c>
      <c r="C27" s="534"/>
      <c r="D27" s="534"/>
      <c r="E27" s="50"/>
      <c r="F27" s="50"/>
      <c r="G27" s="50"/>
      <c r="H27" s="50"/>
      <c r="I27" s="50"/>
      <c r="J27" s="50"/>
      <c r="K27" s="52"/>
      <c r="L27" s="52"/>
      <c r="M27" s="52"/>
      <c r="N27" s="52"/>
      <c r="O27" s="52"/>
      <c r="P27" s="52"/>
      <c r="Q27" s="52"/>
      <c r="R27" s="52"/>
      <c r="S27" s="52"/>
      <c r="T27" s="52"/>
      <c r="U27" s="52"/>
      <c r="V27" s="52"/>
      <c r="W27" s="52"/>
      <c r="X27" s="52"/>
      <c r="Y27" s="52"/>
    </row>
    <row r="28" spans="1:25">
      <c r="A28" s="320" t="s">
        <v>198</v>
      </c>
      <c r="B28" s="256">
        <f>(B23*B7)+(B24*B13*(1-B27))</f>
        <v>9.4791293758066303E-2</v>
      </c>
      <c r="C28" s="534"/>
      <c r="D28" s="534"/>
      <c r="E28" s="50"/>
      <c r="F28" s="50"/>
      <c r="G28" s="50"/>
      <c r="H28" s="50"/>
      <c r="I28" s="50"/>
      <c r="J28" s="50"/>
      <c r="K28" s="52"/>
      <c r="L28" s="52"/>
      <c r="M28" s="52"/>
      <c r="N28" s="52"/>
      <c r="O28" s="52"/>
      <c r="P28" s="52"/>
      <c r="Q28" s="52"/>
      <c r="R28" s="52"/>
      <c r="S28" s="52"/>
      <c r="T28" s="52"/>
      <c r="U28" s="52"/>
      <c r="V28" s="52"/>
      <c r="W28" s="52"/>
      <c r="X28" s="52"/>
      <c r="Y28" s="52"/>
    </row>
    <row r="29" spans="1:25">
      <c r="A29" s="534"/>
      <c r="B29" s="534"/>
      <c r="C29" s="534"/>
      <c r="D29" s="534"/>
      <c r="E29" s="50"/>
      <c r="F29" s="50"/>
      <c r="G29" s="50"/>
      <c r="H29" s="50"/>
      <c r="I29" s="50"/>
      <c r="J29" s="50"/>
      <c r="K29" s="52"/>
      <c r="L29" s="52"/>
      <c r="M29" s="52"/>
      <c r="N29" s="52"/>
      <c r="O29" s="52"/>
      <c r="P29" s="52"/>
      <c r="Q29" s="52"/>
      <c r="R29" s="52"/>
      <c r="S29" s="52"/>
      <c r="T29" s="52"/>
      <c r="U29" s="52"/>
      <c r="V29" s="52"/>
      <c r="W29" s="52"/>
      <c r="X29" s="52"/>
      <c r="Y29" s="52"/>
    </row>
    <row r="30" spans="1:25">
      <c r="A30" s="27" t="s">
        <v>1576</v>
      </c>
      <c r="B30" s="534"/>
      <c r="C30" s="534"/>
      <c r="D30" s="534"/>
      <c r="E30" s="50"/>
      <c r="F30" s="50"/>
      <c r="G30" s="50"/>
      <c r="H30" s="50"/>
      <c r="I30" s="50"/>
      <c r="J30" s="50"/>
      <c r="K30" s="52"/>
      <c r="L30" s="52"/>
      <c r="M30" s="52"/>
      <c r="N30" s="52"/>
      <c r="O30" s="52"/>
      <c r="P30" s="52"/>
      <c r="Q30" s="52"/>
      <c r="R30" s="52"/>
      <c r="S30" s="52"/>
      <c r="T30" s="52"/>
      <c r="U30" s="52"/>
      <c r="V30" s="52"/>
      <c r="W30" s="52"/>
      <c r="X30" s="52"/>
      <c r="Y30" s="52"/>
    </row>
    <row r="31" spans="1:25">
      <c r="A31" s="539" t="s">
        <v>2070</v>
      </c>
      <c r="B31" s="361"/>
      <c r="C31" s="361"/>
      <c r="D31" s="534"/>
      <c r="E31" s="50"/>
      <c r="F31" s="50"/>
      <c r="G31" s="50"/>
      <c r="H31" s="50"/>
      <c r="I31" s="50"/>
      <c r="J31" s="50"/>
      <c r="K31" s="52"/>
      <c r="L31" s="52"/>
      <c r="M31" s="52"/>
      <c r="N31" s="52"/>
      <c r="O31" s="52"/>
      <c r="P31" s="52"/>
      <c r="Q31" s="52"/>
      <c r="R31" s="52"/>
      <c r="S31" s="52"/>
      <c r="T31" s="52"/>
      <c r="U31" s="52"/>
      <c r="V31" s="52"/>
      <c r="W31" s="52"/>
      <c r="X31" s="52"/>
      <c r="Y31" s="52"/>
    </row>
    <row r="32" spans="1:25" ht="28">
      <c r="A32" s="540" t="s">
        <v>2071</v>
      </c>
      <c r="B32" s="541"/>
      <c r="C32" s="389"/>
      <c r="D32" s="534"/>
      <c r="E32" s="50"/>
      <c r="F32" s="50"/>
      <c r="G32" s="50"/>
      <c r="H32" s="50"/>
      <c r="I32" s="50"/>
      <c r="J32" s="50"/>
      <c r="K32" s="52"/>
      <c r="L32" s="52"/>
      <c r="M32" s="52"/>
      <c r="N32" s="52"/>
      <c r="O32" s="52"/>
      <c r="P32" s="52"/>
      <c r="Q32" s="52"/>
      <c r="R32" s="52"/>
      <c r="S32" s="52"/>
      <c r="T32" s="52"/>
      <c r="U32" s="52"/>
      <c r="V32" s="52"/>
      <c r="W32" s="52"/>
      <c r="X32" s="52"/>
      <c r="Y32" s="52"/>
    </row>
    <row r="33" spans="1:25" ht="28">
      <c r="A33" s="540" t="s">
        <v>2072</v>
      </c>
      <c r="B33" s="388"/>
      <c r="C33" s="389"/>
      <c r="D33" s="534"/>
      <c r="E33" s="50"/>
      <c r="F33" s="50"/>
      <c r="G33" s="50"/>
      <c r="H33" s="50"/>
      <c r="I33" s="50"/>
      <c r="J33" s="50"/>
      <c r="K33" s="52"/>
      <c r="L33" s="52"/>
      <c r="M33" s="52"/>
      <c r="N33" s="52"/>
      <c r="O33" s="52"/>
      <c r="P33" s="52"/>
      <c r="Q33" s="52"/>
      <c r="R33" s="52"/>
      <c r="S33" s="52"/>
      <c r="T33" s="52"/>
      <c r="U33" s="52"/>
      <c r="V33" s="52"/>
      <c r="W33" s="52"/>
      <c r="X33" s="52"/>
      <c r="Y33" s="52"/>
    </row>
    <row r="34" spans="1:25">
      <c r="A34" s="542"/>
      <c r="B34" s="389"/>
      <c r="C34" s="389"/>
      <c r="D34" s="534"/>
      <c r="E34" s="50"/>
      <c r="F34" s="50"/>
      <c r="G34" s="50"/>
      <c r="H34" s="50"/>
      <c r="I34" s="50"/>
      <c r="J34" s="50"/>
      <c r="K34" s="52"/>
      <c r="L34" s="52"/>
      <c r="M34" s="52"/>
      <c r="N34" s="52"/>
      <c r="O34" s="52"/>
      <c r="P34" s="52"/>
      <c r="Q34" s="52"/>
      <c r="R34" s="52"/>
      <c r="S34" s="52"/>
      <c r="T34" s="52"/>
      <c r="U34" s="52"/>
      <c r="V34" s="52"/>
      <c r="W34" s="52"/>
      <c r="X34" s="52"/>
      <c r="Y34" s="52"/>
    </row>
    <row r="35" spans="1:25">
      <c r="A35" s="63" t="s">
        <v>2086</v>
      </c>
      <c r="B35" s="63"/>
      <c r="C35" s="63"/>
      <c r="D35" s="534"/>
      <c r="E35" s="50"/>
      <c r="F35" s="50"/>
      <c r="G35" s="50"/>
      <c r="H35" s="50"/>
      <c r="I35" s="50"/>
      <c r="J35" s="50"/>
      <c r="K35" s="52"/>
      <c r="L35" s="52"/>
      <c r="M35" s="52"/>
      <c r="N35" s="52"/>
      <c r="O35" s="52"/>
      <c r="P35" s="52"/>
      <c r="Q35" s="52"/>
      <c r="R35" s="52"/>
      <c r="S35" s="52"/>
      <c r="T35" s="52"/>
      <c r="U35" s="52"/>
      <c r="V35" s="52"/>
      <c r="W35" s="52"/>
      <c r="X35" s="52"/>
      <c r="Y35" s="52"/>
    </row>
    <row r="36" spans="1:25">
      <c r="A36" s="63" t="s">
        <v>2073</v>
      </c>
      <c r="B36" s="63"/>
      <c r="C36" s="63"/>
      <c r="D36" s="534"/>
      <c r="E36" s="50"/>
      <c r="F36" s="50"/>
      <c r="G36" s="50"/>
      <c r="H36" s="50"/>
      <c r="I36" s="50"/>
      <c r="J36" s="50"/>
      <c r="K36" s="52"/>
      <c r="L36" s="52"/>
      <c r="M36" s="52"/>
      <c r="N36" s="52"/>
      <c r="O36" s="52"/>
      <c r="P36" s="52"/>
      <c r="Q36" s="52"/>
      <c r="R36" s="52"/>
      <c r="S36" s="52"/>
      <c r="T36" s="52"/>
      <c r="U36" s="52"/>
      <c r="V36" s="52"/>
      <c r="W36" s="52"/>
      <c r="X36" s="52"/>
      <c r="Y36" s="52"/>
    </row>
    <row r="37" spans="1:25">
      <c r="A37" s="63" t="s">
        <v>2074</v>
      </c>
      <c r="B37" s="63"/>
      <c r="C37" s="63"/>
      <c r="D37" s="534"/>
      <c r="E37" s="50"/>
      <c r="F37" s="50"/>
      <c r="G37" s="50"/>
      <c r="H37" s="50"/>
      <c r="I37" s="50"/>
      <c r="J37" s="50"/>
      <c r="K37" s="52"/>
      <c r="L37" s="52"/>
      <c r="M37" s="52"/>
      <c r="N37" s="52"/>
      <c r="O37" s="52"/>
      <c r="P37" s="52"/>
      <c r="Q37" s="52"/>
      <c r="R37" s="52"/>
      <c r="S37" s="52"/>
      <c r="T37" s="52"/>
      <c r="U37" s="52"/>
      <c r="V37" s="52"/>
      <c r="W37" s="52"/>
      <c r="X37" s="52"/>
      <c r="Y37" s="52"/>
    </row>
    <row r="38" spans="1:25">
      <c r="A38" s="534"/>
      <c r="B38" s="534"/>
      <c r="C38" s="534"/>
      <c r="D38" s="534"/>
      <c r="E38" s="50"/>
      <c r="F38" s="50"/>
      <c r="G38" s="50"/>
      <c r="H38" s="50"/>
      <c r="I38" s="50"/>
      <c r="J38" s="50"/>
      <c r="K38" s="52"/>
      <c r="L38" s="52"/>
      <c r="M38" s="52"/>
      <c r="N38" s="52"/>
      <c r="O38" s="52"/>
      <c r="P38" s="52"/>
      <c r="Q38" s="52"/>
      <c r="R38" s="52"/>
      <c r="S38" s="52"/>
      <c r="T38" s="52"/>
      <c r="U38" s="52"/>
      <c r="V38" s="52"/>
      <c r="W38" s="52"/>
      <c r="X38" s="52"/>
      <c r="Y38" s="52"/>
    </row>
    <row r="39" spans="1:25">
      <c r="A39" s="63" t="s">
        <v>2082</v>
      </c>
      <c r="B39" s="63"/>
      <c r="C39" s="63"/>
      <c r="D39" s="534"/>
      <c r="E39" s="50"/>
      <c r="F39" s="50"/>
      <c r="G39" s="50"/>
      <c r="H39" s="50"/>
      <c r="I39" s="50"/>
      <c r="J39" s="50"/>
      <c r="K39" s="52"/>
      <c r="L39" s="52"/>
      <c r="M39" s="52"/>
      <c r="N39" s="52"/>
      <c r="O39" s="52"/>
      <c r="P39" s="52"/>
      <c r="Q39" s="52"/>
      <c r="R39" s="52"/>
      <c r="S39" s="52"/>
      <c r="T39" s="52"/>
      <c r="U39" s="52"/>
      <c r="V39" s="52"/>
      <c r="W39" s="52"/>
      <c r="X39" s="52"/>
      <c r="Y39" s="52"/>
    </row>
    <row r="40" spans="1:25">
      <c r="A40" s="63" t="s">
        <v>2075</v>
      </c>
      <c r="B40" s="63"/>
      <c r="C40" s="63"/>
      <c r="D40" s="534"/>
      <c r="E40" s="50"/>
      <c r="F40" s="50"/>
      <c r="G40" s="50"/>
      <c r="H40" s="50"/>
      <c r="I40" s="50"/>
      <c r="J40" s="50"/>
      <c r="K40" s="52"/>
      <c r="L40" s="52"/>
      <c r="M40" s="52"/>
      <c r="N40" s="52"/>
      <c r="O40" s="52"/>
      <c r="P40" s="52"/>
      <c r="Q40" s="52"/>
      <c r="R40" s="52"/>
      <c r="S40" s="52"/>
      <c r="T40" s="52"/>
      <c r="U40" s="52"/>
      <c r="V40" s="52"/>
      <c r="W40" s="52"/>
      <c r="X40" s="52"/>
      <c r="Y40" s="52"/>
    </row>
    <row r="41" spans="1:25">
      <c r="A41" s="63"/>
      <c r="B41" s="63"/>
      <c r="C41" s="63"/>
      <c r="D41" s="534"/>
      <c r="E41" s="50"/>
      <c r="F41" s="50"/>
      <c r="G41" s="50"/>
      <c r="H41" s="50"/>
      <c r="I41" s="50"/>
      <c r="J41" s="50"/>
      <c r="K41" s="52"/>
      <c r="L41" s="52"/>
      <c r="M41" s="52"/>
      <c r="N41" s="52"/>
      <c r="O41" s="52"/>
      <c r="P41" s="52"/>
      <c r="Q41" s="52"/>
      <c r="R41" s="52"/>
      <c r="S41" s="52"/>
      <c r="T41" s="52"/>
      <c r="U41" s="52"/>
      <c r="V41" s="52"/>
      <c r="W41" s="52"/>
      <c r="X41" s="52"/>
      <c r="Y41" s="52"/>
    </row>
    <row r="42" spans="1:25">
      <c r="A42" s="63" t="s">
        <v>1344</v>
      </c>
      <c r="B42" s="63"/>
      <c r="C42" s="63"/>
      <c r="D42" s="534"/>
      <c r="E42" s="50"/>
      <c r="F42" s="50"/>
      <c r="G42" s="50"/>
      <c r="H42" s="50"/>
      <c r="I42" s="50"/>
      <c r="J42" s="50"/>
      <c r="K42" s="52"/>
      <c r="L42" s="52"/>
      <c r="M42" s="52"/>
      <c r="N42" s="52"/>
      <c r="O42" s="52"/>
      <c r="P42" s="52"/>
      <c r="Q42" s="52"/>
      <c r="R42" s="52"/>
      <c r="S42" s="52"/>
      <c r="T42" s="52"/>
      <c r="U42" s="52"/>
      <c r="V42" s="52"/>
      <c r="W42" s="52"/>
      <c r="X42" s="52"/>
      <c r="Y42" s="52"/>
    </row>
    <row r="43" spans="1:25">
      <c r="A43" s="63" t="s">
        <v>2076</v>
      </c>
      <c r="B43" s="63"/>
      <c r="C43" s="63"/>
      <c r="D43" s="534"/>
      <c r="E43" s="50"/>
      <c r="F43" s="50"/>
      <c r="G43" s="50"/>
      <c r="H43" s="50"/>
      <c r="I43" s="50"/>
      <c r="J43" s="50"/>
      <c r="K43" s="52"/>
      <c r="L43" s="52"/>
      <c r="M43" s="52"/>
      <c r="N43" s="52"/>
      <c r="O43" s="52"/>
      <c r="P43" s="52"/>
      <c r="Q43" s="52"/>
      <c r="R43" s="52"/>
      <c r="S43" s="52"/>
      <c r="T43" s="52"/>
      <c r="U43" s="52"/>
      <c r="V43" s="52"/>
      <c r="W43" s="52"/>
      <c r="X43" s="52"/>
      <c r="Y43" s="52"/>
    </row>
    <row r="44" spans="1:25">
      <c r="A44" s="63" t="s">
        <v>2077</v>
      </c>
      <c r="B44" s="63"/>
      <c r="C44" s="63"/>
      <c r="D44" s="534"/>
      <c r="E44" s="50"/>
      <c r="F44" s="50"/>
      <c r="G44" s="50"/>
      <c r="H44" s="50"/>
      <c r="I44" s="50"/>
      <c r="J44" s="50"/>
      <c r="K44" s="52"/>
      <c r="L44" s="52"/>
      <c r="M44" s="52"/>
      <c r="N44" s="52"/>
      <c r="O44" s="52"/>
      <c r="P44" s="52"/>
      <c r="Q44" s="52"/>
      <c r="R44" s="52"/>
      <c r="S44" s="52"/>
      <c r="T44" s="52"/>
      <c r="U44" s="52"/>
      <c r="V44" s="52"/>
      <c r="W44" s="52"/>
      <c r="X44" s="52"/>
      <c r="Y44" s="52"/>
    </row>
    <row r="45" spans="1:25">
      <c r="A45" s="534"/>
      <c r="B45" s="534"/>
      <c r="C45" s="534"/>
      <c r="D45" s="534"/>
      <c r="E45" s="50"/>
      <c r="F45" s="50"/>
      <c r="G45" s="50"/>
      <c r="H45" s="50"/>
      <c r="I45" s="50"/>
      <c r="J45" s="50"/>
      <c r="K45" s="52"/>
      <c r="L45" s="52"/>
      <c r="M45" s="52"/>
      <c r="N45" s="52"/>
      <c r="O45" s="52"/>
      <c r="P45" s="52"/>
      <c r="Q45" s="52"/>
      <c r="R45" s="52"/>
      <c r="S45" s="52"/>
      <c r="T45" s="52"/>
      <c r="U45" s="52"/>
      <c r="V45" s="52"/>
      <c r="W45" s="52"/>
      <c r="X45" s="52"/>
      <c r="Y45" s="52"/>
    </row>
    <row r="46" spans="1:25">
      <c r="A46" s="63" t="s">
        <v>2088</v>
      </c>
      <c r="B46" s="63"/>
      <c r="C46" s="63"/>
      <c r="D46" s="534"/>
      <c r="E46" s="50"/>
      <c r="F46" s="50"/>
      <c r="G46" s="50"/>
      <c r="H46" s="50"/>
      <c r="I46" s="50"/>
      <c r="J46" s="50"/>
      <c r="K46" s="52"/>
      <c r="L46" s="52"/>
      <c r="M46" s="52"/>
      <c r="N46" s="52"/>
      <c r="O46" s="52"/>
      <c r="P46" s="52"/>
      <c r="Q46" s="52"/>
      <c r="R46" s="52"/>
      <c r="S46" s="52"/>
      <c r="T46" s="52"/>
      <c r="U46" s="52"/>
      <c r="V46" s="52"/>
      <c r="W46" s="52"/>
      <c r="X46" s="52"/>
      <c r="Y46" s="52"/>
    </row>
    <row r="47" spans="1:25">
      <c r="A47" s="63"/>
      <c r="B47" s="63"/>
      <c r="C47" s="63"/>
      <c r="D47" s="534"/>
      <c r="E47" s="50"/>
      <c r="F47" s="50"/>
      <c r="G47" s="50"/>
      <c r="H47" s="50"/>
      <c r="I47" s="50"/>
      <c r="J47" s="50"/>
      <c r="K47" s="52"/>
      <c r="L47" s="52"/>
      <c r="M47" s="52"/>
      <c r="N47" s="52"/>
      <c r="O47" s="52"/>
      <c r="P47" s="52"/>
      <c r="Q47" s="52"/>
      <c r="R47" s="52"/>
      <c r="S47" s="52"/>
      <c r="T47" s="52"/>
      <c r="U47" s="52"/>
      <c r="V47" s="52"/>
      <c r="W47" s="52"/>
      <c r="X47" s="52"/>
      <c r="Y47" s="52"/>
    </row>
    <row r="48" spans="1:25">
      <c r="A48" s="63" t="s">
        <v>1999</v>
      </c>
      <c r="B48" s="63"/>
      <c r="C48" s="63"/>
      <c r="D48" s="534"/>
      <c r="E48" s="50"/>
      <c r="F48" s="50"/>
      <c r="G48" s="50"/>
      <c r="H48" s="50"/>
      <c r="I48" s="50"/>
      <c r="J48" s="50"/>
      <c r="K48" s="52"/>
      <c r="L48" s="52"/>
      <c r="M48" s="52"/>
      <c r="N48" s="52"/>
      <c r="O48" s="52"/>
      <c r="P48" s="52"/>
      <c r="Q48" s="52"/>
      <c r="R48" s="52"/>
      <c r="S48" s="52"/>
      <c r="T48" s="52"/>
      <c r="U48" s="52"/>
      <c r="V48" s="52"/>
      <c r="W48" s="52"/>
      <c r="X48" s="52"/>
      <c r="Y48" s="52"/>
    </row>
    <row r="49" spans="1:25">
      <c r="A49" s="63" t="s">
        <v>2078</v>
      </c>
      <c r="B49" s="63"/>
      <c r="C49" s="63"/>
      <c r="D49" s="534"/>
      <c r="E49" s="50"/>
      <c r="F49" s="50"/>
      <c r="G49" s="50"/>
      <c r="H49" s="50"/>
      <c r="I49" s="50"/>
      <c r="J49" s="50"/>
      <c r="K49" s="52"/>
      <c r="L49" s="52"/>
      <c r="M49" s="52"/>
      <c r="N49" s="52"/>
      <c r="O49" s="52"/>
      <c r="P49" s="52"/>
      <c r="Q49" s="52"/>
      <c r="R49" s="52"/>
      <c r="S49" s="52"/>
      <c r="T49" s="52"/>
      <c r="U49" s="52"/>
      <c r="V49" s="52"/>
      <c r="W49" s="52"/>
      <c r="X49" s="52"/>
      <c r="Y49" s="52"/>
    </row>
    <row r="50" spans="1:25">
      <c r="A50" s="63" t="s">
        <v>2082</v>
      </c>
      <c r="B50" s="63"/>
      <c r="C50" s="63"/>
      <c r="D50" s="534"/>
      <c r="E50" s="50"/>
      <c r="F50" s="50"/>
      <c r="G50" s="50"/>
      <c r="H50" s="50"/>
      <c r="I50" s="50"/>
      <c r="J50" s="50"/>
      <c r="K50" s="52"/>
      <c r="L50" s="52"/>
      <c r="M50" s="52"/>
      <c r="N50" s="52"/>
      <c r="O50" s="52"/>
      <c r="P50" s="52"/>
      <c r="Q50" s="52"/>
      <c r="R50" s="52"/>
      <c r="S50" s="52"/>
      <c r="T50" s="52"/>
      <c r="U50" s="52"/>
      <c r="V50" s="52"/>
      <c r="W50" s="52"/>
      <c r="X50" s="52"/>
      <c r="Y50" s="52"/>
    </row>
    <row r="51" spans="1:25">
      <c r="A51" s="63" t="s">
        <v>2087</v>
      </c>
      <c r="B51" s="63"/>
      <c r="C51" s="63"/>
      <c r="D51" s="534"/>
      <c r="E51" s="50"/>
      <c r="F51" s="50"/>
      <c r="G51" s="50"/>
      <c r="H51" s="50"/>
      <c r="I51" s="50"/>
      <c r="J51" s="50"/>
      <c r="K51" s="52"/>
      <c r="L51" s="52"/>
      <c r="M51" s="52"/>
      <c r="N51" s="52"/>
      <c r="O51" s="52"/>
      <c r="P51" s="52"/>
      <c r="Q51" s="52"/>
      <c r="R51" s="52"/>
      <c r="S51" s="52"/>
      <c r="T51" s="52"/>
      <c r="U51" s="52"/>
      <c r="V51" s="52"/>
      <c r="W51" s="52"/>
      <c r="X51" s="52"/>
      <c r="Y51" s="52"/>
    </row>
    <row r="52" spans="1:25">
      <c r="A52" s="63"/>
      <c r="B52" s="63"/>
      <c r="C52" s="63"/>
      <c r="D52" s="534"/>
      <c r="E52" s="50"/>
      <c r="F52" s="50"/>
      <c r="G52" s="50"/>
      <c r="H52" s="50"/>
      <c r="I52" s="50"/>
      <c r="J52" s="50"/>
      <c r="K52" s="52"/>
      <c r="L52" s="52"/>
      <c r="M52" s="52"/>
      <c r="N52" s="52"/>
      <c r="O52" s="52"/>
      <c r="P52" s="52"/>
      <c r="Q52" s="52"/>
      <c r="R52" s="52"/>
      <c r="S52" s="52"/>
      <c r="T52" s="52"/>
      <c r="U52" s="52"/>
      <c r="V52" s="52"/>
      <c r="W52" s="52"/>
      <c r="X52" s="52"/>
      <c r="Y52" s="52"/>
    </row>
    <row r="53" spans="1:25">
      <c r="A53" s="63" t="s">
        <v>2094</v>
      </c>
      <c r="B53" s="63"/>
      <c r="C53" s="63"/>
      <c r="D53" s="534"/>
      <c r="E53" s="50"/>
      <c r="F53" s="50"/>
      <c r="G53" s="50"/>
      <c r="H53" s="50"/>
      <c r="I53" s="50"/>
      <c r="J53" s="50"/>
      <c r="K53" s="52"/>
      <c r="L53" s="52"/>
      <c r="M53" s="52"/>
      <c r="N53" s="52"/>
      <c r="O53" s="52"/>
      <c r="P53" s="52"/>
      <c r="Q53" s="52"/>
      <c r="R53" s="52"/>
      <c r="S53" s="52"/>
      <c r="T53" s="52"/>
      <c r="U53" s="52"/>
      <c r="V53" s="52"/>
      <c r="W53" s="52"/>
      <c r="X53" s="52"/>
      <c r="Y53" s="52"/>
    </row>
    <row r="54" spans="1:25">
      <c r="A54" s="534"/>
      <c r="B54" s="534"/>
      <c r="C54" s="534"/>
      <c r="D54" s="534"/>
      <c r="E54" s="50"/>
      <c r="F54" s="50"/>
      <c r="G54" s="50"/>
      <c r="H54" s="50"/>
      <c r="I54" s="50"/>
      <c r="J54" s="50"/>
      <c r="K54" s="52"/>
      <c r="L54" s="52"/>
      <c r="M54" s="52"/>
      <c r="N54" s="52"/>
      <c r="O54" s="52"/>
      <c r="P54" s="52"/>
      <c r="Q54" s="52"/>
      <c r="R54" s="52"/>
      <c r="S54" s="52"/>
      <c r="T54" s="52"/>
      <c r="U54" s="52"/>
      <c r="V54" s="52"/>
      <c r="W54" s="52"/>
      <c r="X54" s="52"/>
      <c r="Y54" s="52"/>
    </row>
    <row r="55" spans="1:25">
      <c r="A55" s="63" t="s">
        <v>1707</v>
      </c>
      <c r="B55" s="63"/>
      <c r="C55" s="63"/>
      <c r="D55" s="534"/>
      <c r="E55" s="50"/>
      <c r="F55" s="50"/>
      <c r="G55" s="50"/>
      <c r="H55" s="50"/>
      <c r="I55" s="50"/>
      <c r="J55" s="50"/>
      <c r="K55" s="52"/>
      <c r="L55" s="52"/>
      <c r="M55" s="52"/>
      <c r="N55" s="52"/>
      <c r="O55" s="52"/>
      <c r="P55" s="52"/>
      <c r="Q55" s="52"/>
      <c r="R55" s="52"/>
      <c r="S55" s="52"/>
      <c r="T55" s="52"/>
      <c r="U55" s="52"/>
      <c r="V55" s="52"/>
      <c r="W55" s="52"/>
      <c r="X55" s="52"/>
      <c r="Y55" s="52"/>
    </row>
    <row r="56" spans="1:25">
      <c r="A56" s="63" t="s">
        <v>2080</v>
      </c>
      <c r="B56" s="63"/>
      <c r="C56" s="63"/>
      <c r="D56" s="534"/>
      <c r="E56" s="50"/>
      <c r="F56" s="50"/>
      <c r="G56" s="50"/>
      <c r="H56" s="50"/>
      <c r="I56" s="50"/>
      <c r="J56" s="50"/>
      <c r="K56" s="52"/>
      <c r="L56" s="52"/>
      <c r="M56" s="52"/>
      <c r="N56" s="52"/>
      <c r="O56" s="52"/>
      <c r="P56" s="52"/>
      <c r="Q56" s="52"/>
      <c r="R56" s="52"/>
      <c r="S56" s="52"/>
      <c r="T56" s="52"/>
      <c r="U56" s="52"/>
      <c r="V56" s="52"/>
      <c r="W56" s="52"/>
      <c r="X56" s="52"/>
      <c r="Y56" s="52"/>
    </row>
    <row r="57" spans="1:25">
      <c r="A57" s="63" t="s">
        <v>2081</v>
      </c>
      <c r="B57" s="63"/>
      <c r="C57" s="63"/>
      <c r="D57" s="534"/>
      <c r="E57" s="50"/>
      <c r="F57" s="50"/>
      <c r="G57" s="50"/>
      <c r="H57" s="50"/>
      <c r="I57" s="50"/>
      <c r="J57" s="50"/>
      <c r="K57" s="52"/>
      <c r="L57" s="52"/>
      <c r="M57" s="52"/>
      <c r="N57" s="52"/>
      <c r="O57" s="52"/>
      <c r="P57" s="52"/>
      <c r="Q57" s="52"/>
      <c r="R57" s="52"/>
      <c r="S57" s="52"/>
      <c r="T57" s="52"/>
      <c r="U57" s="52"/>
      <c r="V57" s="52"/>
      <c r="W57" s="52"/>
      <c r="X57" s="52"/>
      <c r="Y57" s="52"/>
    </row>
    <row r="58" spans="1:25">
      <c r="A58" s="63" t="s">
        <v>2079</v>
      </c>
      <c r="B58" s="63"/>
      <c r="C58" s="63"/>
      <c r="D58" s="534"/>
      <c r="E58" s="50"/>
      <c r="F58" s="50"/>
      <c r="G58" s="50"/>
      <c r="H58" s="50"/>
      <c r="I58" s="50"/>
      <c r="J58" s="50"/>
      <c r="K58" s="52"/>
      <c r="L58" s="52"/>
      <c r="M58" s="52"/>
      <c r="N58" s="52"/>
      <c r="O58" s="52"/>
      <c r="P58" s="52"/>
      <c r="Q58" s="52"/>
      <c r="R58" s="52"/>
      <c r="S58" s="52"/>
      <c r="T58" s="52"/>
      <c r="U58" s="52"/>
      <c r="V58" s="52"/>
      <c r="W58" s="52"/>
      <c r="X58" s="52"/>
      <c r="Y58" s="52"/>
    </row>
    <row r="59" spans="1:25">
      <c r="A59" s="534"/>
      <c r="B59" s="534"/>
      <c r="C59" s="534"/>
      <c r="D59" s="534"/>
      <c r="E59" s="50"/>
      <c r="F59" s="50"/>
      <c r="G59" s="50"/>
      <c r="H59" s="50"/>
      <c r="I59" s="50"/>
      <c r="J59" s="50"/>
      <c r="K59" s="52"/>
      <c r="L59" s="52"/>
      <c r="M59" s="52"/>
      <c r="N59" s="52"/>
      <c r="O59" s="52"/>
      <c r="P59" s="52"/>
      <c r="Q59" s="52"/>
      <c r="R59" s="52"/>
      <c r="S59" s="52"/>
      <c r="T59" s="52"/>
      <c r="U59" s="52"/>
      <c r="V59" s="52"/>
      <c r="W59" s="52"/>
      <c r="X59" s="52"/>
      <c r="Y59" s="52"/>
    </row>
    <row r="60" spans="1:25">
      <c r="A60" s="63" t="s">
        <v>2083</v>
      </c>
      <c r="B60" s="63"/>
      <c r="C60" s="63"/>
      <c r="D60" s="534"/>
      <c r="E60" s="50"/>
      <c r="F60" s="50"/>
      <c r="G60" s="50"/>
      <c r="H60" s="50"/>
      <c r="I60" s="50"/>
      <c r="J60" s="50"/>
      <c r="K60" s="52"/>
      <c r="L60" s="52"/>
      <c r="M60" s="52"/>
      <c r="N60" s="52"/>
      <c r="O60" s="52"/>
      <c r="P60" s="52"/>
      <c r="Q60" s="52"/>
      <c r="R60" s="52"/>
      <c r="S60" s="52"/>
      <c r="T60" s="52"/>
      <c r="U60" s="52"/>
      <c r="V60" s="52"/>
      <c r="W60" s="52"/>
      <c r="X60" s="52"/>
      <c r="Y60" s="52"/>
    </row>
    <row r="61" spans="1:25">
      <c r="A61" s="63" t="s">
        <v>2084</v>
      </c>
      <c r="B61" s="63"/>
      <c r="C61" s="63"/>
      <c r="D61" s="534"/>
      <c r="E61" s="50"/>
      <c r="F61" s="50"/>
      <c r="G61" s="50"/>
      <c r="H61" s="50"/>
      <c r="I61" s="50"/>
      <c r="J61" s="50"/>
      <c r="K61" s="52"/>
      <c r="L61" s="52"/>
      <c r="M61" s="52"/>
      <c r="N61" s="52"/>
      <c r="O61" s="52"/>
      <c r="P61" s="52"/>
      <c r="Q61" s="52"/>
      <c r="R61" s="52"/>
      <c r="S61" s="52"/>
      <c r="T61" s="52"/>
      <c r="U61" s="52"/>
      <c r="V61" s="52"/>
      <c r="W61" s="52"/>
      <c r="X61" s="52"/>
      <c r="Y61" s="52"/>
    </row>
    <row r="62" spans="1:25">
      <c r="A62" s="63"/>
      <c r="B62" s="63"/>
      <c r="C62" s="63"/>
      <c r="D62" s="534"/>
      <c r="E62" s="50"/>
      <c r="F62" s="50"/>
      <c r="G62" s="50"/>
      <c r="H62" s="50"/>
      <c r="I62" s="50"/>
      <c r="J62" s="50"/>
      <c r="K62" s="52"/>
      <c r="L62" s="52"/>
      <c r="M62" s="52"/>
      <c r="N62" s="52"/>
      <c r="O62" s="52"/>
      <c r="P62" s="52"/>
      <c r="Q62" s="52"/>
      <c r="R62" s="52"/>
      <c r="S62" s="52"/>
      <c r="T62" s="52"/>
      <c r="U62" s="52"/>
      <c r="V62" s="52"/>
      <c r="W62" s="52"/>
      <c r="X62" s="52"/>
      <c r="Y62" s="52"/>
    </row>
    <row r="63" spans="1:25">
      <c r="A63" s="63" t="s">
        <v>2085</v>
      </c>
      <c r="B63" s="63"/>
      <c r="C63" s="63"/>
      <c r="D63" s="534"/>
      <c r="E63" s="50"/>
      <c r="F63" s="50"/>
      <c r="G63" s="50"/>
      <c r="H63" s="50"/>
      <c r="I63" s="50"/>
      <c r="J63" s="50"/>
      <c r="K63" s="52"/>
      <c r="L63" s="52"/>
      <c r="M63" s="52"/>
      <c r="N63" s="52"/>
      <c r="O63" s="52"/>
      <c r="P63" s="52"/>
      <c r="Q63" s="52"/>
      <c r="R63" s="52"/>
      <c r="S63" s="52"/>
      <c r="T63" s="52"/>
      <c r="U63" s="52"/>
      <c r="V63" s="52"/>
      <c r="W63" s="52"/>
      <c r="X63" s="52"/>
      <c r="Y63" s="52"/>
    </row>
    <row r="64" spans="1:25">
      <c r="A64" s="534"/>
      <c r="B64" s="534"/>
      <c r="C64" s="534"/>
      <c r="D64" s="534"/>
      <c r="E64" s="50"/>
      <c r="F64" s="50"/>
      <c r="G64" s="50"/>
      <c r="H64" s="50"/>
      <c r="I64" s="50"/>
      <c r="J64" s="50"/>
      <c r="K64" s="52"/>
      <c r="L64" s="52"/>
      <c r="M64" s="52"/>
      <c r="N64" s="52"/>
      <c r="O64" s="52"/>
      <c r="P64" s="52"/>
      <c r="Q64" s="52"/>
      <c r="R64" s="52"/>
      <c r="S64" s="52"/>
      <c r="T64" s="52"/>
      <c r="U64" s="52"/>
      <c r="V64" s="52"/>
      <c r="W64" s="52"/>
      <c r="X64" s="52"/>
      <c r="Y64" s="52"/>
    </row>
    <row r="65" spans="1:25">
      <c r="A65" s="63" t="s">
        <v>2089</v>
      </c>
      <c r="B65" s="63"/>
      <c r="C65" s="63"/>
      <c r="D65" s="534"/>
      <c r="E65" s="50"/>
      <c r="F65" s="50"/>
      <c r="G65" s="50"/>
      <c r="H65" s="50"/>
      <c r="I65" s="50"/>
      <c r="J65" s="50"/>
      <c r="K65" s="52"/>
      <c r="L65" s="52"/>
      <c r="M65" s="52"/>
      <c r="N65" s="52"/>
      <c r="O65" s="52"/>
      <c r="P65" s="52"/>
      <c r="Q65" s="52"/>
      <c r="R65" s="52"/>
      <c r="S65" s="52"/>
      <c r="T65" s="52"/>
      <c r="U65" s="52"/>
      <c r="V65" s="52"/>
      <c r="W65" s="52"/>
      <c r="X65" s="52"/>
      <c r="Y65" s="52"/>
    </row>
    <row r="66" spans="1:25">
      <c r="A66" s="63"/>
      <c r="B66" s="63"/>
      <c r="C66" s="63"/>
      <c r="D66" s="534"/>
      <c r="E66" s="50"/>
      <c r="F66" s="50"/>
      <c r="G66" s="50"/>
      <c r="H66" s="50"/>
      <c r="I66" s="50"/>
      <c r="J66" s="50"/>
      <c r="K66" s="52"/>
      <c r="L66" s="52"/>
      <c r="M66" s="52"/>
      <c r="N66" s="52"/>
      <c r="O66" s="52"/>
      <c r="P66" s="52"/>
      <c r="Q66" s="52"/>
      <c r="R66" s="52"/>
      <c r="S66" s="52"/>
      <c r="T66" s="52"/>
      <c r="U66" s="52"/>
      <c r="V66" s="52"/>
      <c r="W66" s="52"/>
      <c r="X66" s="52"/>
      <c r="Y66" s="52"/>
    </row>
    <row r="67" spans="1:25">
      <c r="A67" s="63" t="s">
        <v>2090</v>
      </c>
      <c r="B67" s="63"/>
      <c r="C67" s="63"/>
      <c r="D67" s="534"/>
      <c r="E67" s="50"/>
      <c r="F67" s="50"/>
      <c r="G67" s="50"/>
      <c r="H67" s="50"/>
      <c r="I67" s="50"/>
      <c r="J67" s="50"/>
      <c r="K67" s="52"/>
      <c r="L67" s="52"/>
      <c r="M67" s="52"/>
      <c r="N67" s="52"/>
      <c r="O67" s="52"/>
      <c r="P67" s="52"/>
      <c r="Q67" s="52"/>
      <c r="R67" s="52"/>
      <c r="S67" s="52"/>
      <c r="T67" s="52"/>
      <c r="U67" s="52"/>
      <c r="V67" s="52"/>
      <c r="W67" s="52"/>
      <c r="X67" s="52"/>
      <c r="Y67" s="52"/>
    </row>
    <row r="68" spans="1:25">
      <c r="A68" s="534"/>
      <c r="B68" s="534"/>
      <c r="C68" s="534"/>
      <c r="D68" s="534"/>
      <c r="E68" s="50"/>
      <c r="F68" s="50"/>
      <c r="G68" s="50"/>
      <c r="H68" s="50"/>
      <c r="I68" s="50"/>
      <c r="J68" s="50"/>
      <c r="K68" s="52"/>
      <c r="L68" s="52"/>
      <c r="M68" s="52"/>
      <c r="N68" s="52"/>
      <c r="O68" s="52"/>
      <c r="P68" s="52"/>
      <c r="Q68" s="52"/>
      <c r="R68" s="52"/>
      <c r="S68" s="52"/>
      <c r="T68" s="52"/>
      <c r="U68" s="52"/>
      <c r="V68" s="52"/>
      <c r="W68" s="52"/>
      <c r="X68" s="52"/>
      <c r="Y68" s="52"/>
    </row>
    <row r="69" spans="1:25">
      <c r="A69" s="63" t="s">
        <v>2091</v>
      </c>
      <c r="B69" s="63"/>
      <c r="C69" s="63"/>
      <c r="D69" s="534"/>
      <c r="E69" s="50"/>
      <c r="F69" s="50"/>
      <c r="G69" s="50"/>
      <c r="H69" s="50"/>
      <c r="I69" s="50"/>
      <c r="J69" s="50"/>
      <c r="K69" s="52"/>
      <c r="L69" s="52"/>
      <c r="M69" s="52"/>
      <c r="N69" s="52"/>
      <c r="O69" s="52"/>
      <c r="P69" s="52"/>
      <c r="Q69" s="52"/>
      <c r="R69" s="52"/>
      <c r="S69" s="52"/>
      <c r="T69" s="52"/>
      <c r="U69" s="52"/>
      <c r="V69" s="52"/>
      <c r="W69" s="52"/>
      <c r="X69" s="52"/>
      <c r="Y69" s="52"/>
    </row>
    <row r="70" spans="1:25">
      <c r="A70" s="63"/>
      <c r="B70" s="63"/>
      <c r="C70" s="63"/>
      <c r="D70" s="534"/>
      <c r="E70" s="50"/>
      <c r="F70" s="50"/>
      <c r="G70" s="50"/>
      <c r="H70" s="50"/>
      <c r="I70" s="50"/>
      <c r="J70" s="50"/>
      <c r="K70" s="52"/>
      <c r="L70" s="52"/>
      <c r="M70" s="52"/>
      <c r="N70" s="52"/>
      <c r="O70" s="52"/>
      <c r="P70" s="52"/>
      <c r="Q70" s="52"/>
      <c r="R70" s="52"/>
      <c r="S70" s="52"/>
      <c r="T70" s="52"/>
      <c r="U70" s="52"/>
      <c r="V70" s="52"/>
      <c r="W70" s="52"/>
      <c r="X70" s="52"/>
      <c r="Y70" s="52"/>
    </row>
    <row r="71" spans="1:25">
      <c r="A71" s="63" t="s">
        <v>2092</v>
      </c>
      <c r="B71" s="63"/>
      <c r="C71" s="63"/>
      <c r="D71" s="534"/>
      <c r="E71" s="50"/>
      <c r="F71" s="50"/>
      <c r="G71" s="50"/>
      <c r="H71" s="50"/>
      <c r="I71" s="50"/>
      <c r="J71" s="50"/>
      <c r="K71" s="52"/>
      <c r="L71" s="52"/>
      <c r="M71" s="52"/>
      <c r="N71" s="52"/>
      <c r="O71" s="52"/>
      <c r="P71" s="52"/>
      <c r="Q71" s="52"/>
      <c r="R71" s="52"/>
      <c r="S71" s="52"/>
      <c r="T71" s="52"/>
      <c r="U71" s="52"/>
      <c r="V71" s="52"/>
      <c r="W71" s="52"/>
      <c r="X71" s="52"/>
      <c r="Y71" s="52"/>
    </row>
    <row r="72" spans="1:25">
      <c r="A72" s="534"/>
      <c r="B72" s="534"/>
      <c r="C72" s="534"/>
      <c r="D72" s="534"/>
      <c r="E72" s="50"/>
      <c r="F72" s="50"/>
      <c r="G72" s="50"/>
      <c r="H72" s="50"/>
      <c r="I72" s="50"/>
      <c r="J72" s="50"/>
      <c r="K72" s="52"/>
      <c r="L72" s="52"/>
      <c r="M72" s="52"/>
      <c r="N72" s="52"/>
      <c r="O72" s="52"/>
      <c r="P72" s="52"/>
      <c r="Q72" s="52"/>
      <c r="R72" s="52"/>
      <c r="S72" s="52"/>
      <c r="T72" s="52"/>
      <c r="U72" s="52"/>
      <c r="V72" s="52"/>
      <c r="W72" s="52"/>
      <c r="X72" s="52"/>
      <c r="Y72" s="52"/>
    </row>
    <row r="73" spans="1:25">
      <c r="A73" s="63" t="s">
        <v>1316</v>
      </c>
      <c r="B73" s="63"/>
      <c r="C73" s="63"/>
      <c r="D73" s="534"/>
      <c r="E73" s="50"/>
      <c r="F73" s="50"/>
      <c r="G73" s="50"/>
      <c r="H73" s="50"/>
      <c r="I73" s="50"/>
      <c r="J73" s="50"/>
      <c r="K73" s="52"/>
      <c r="L73" s="52"/>
      <c r="M73" s="52"/>
      <c r="N73" s="52"/>
      <c r="O73" s="52"/>
      <c r="P73" s="52"/>
      <c r="Q73" s="52"/>
      <c r="R73" s="52"/>
      <c r="S73" s="52"/>
      <c r="T73" s="52"/>
      <c r="U73" s="52"/>
      <c r="V73" s="52"/>
      <c r="W73" s="52"/>
      <c r="X73" s="52"/>
      <c r="Y73" s="52"/>
    </row>
    <row r="74" spans="1:25">
      <c r="A74" s="63" t="s">
        <v>2270</v>
      </c>
      <c r="B74" s="63"/>
      <c r="C74" s="63"/>
      <c r="D74" s="534"/>
      <c r="E74" s="50"/>
      <c r="F74" s="50"/>
      <c r="G74" s="50"/>
      <c r="H74" s="50"/>
      <c r="I74" s="50"/>
      <c r="J74" s="50"/>
      <c r="K74" s="52"/>
      <c r="L74" s="52"/>
      <c r="M74" s="52"/>
      <c r="N74" s="52"/>
      <c r="O74" s="52"/>
      <c r="P74" s="52"/>
      <c r="Q74" s="52"/>
      <c r="R74" s="52"/>
      <c r="S74" s="52"/>
      <c r="T74" s="52"/>
      <c r="U74" s="52"/>
      <c r="V74" s="52"/>
      <c r="W74" s="52"/>
      <c r="X74" s="52"/>
      <c r="Y74" s="52"/>
    </row>
    <row r="75" spans="1:25">
      <c r="A75" s="63" t="s">
        <v>2093</v>
      </c>
      <c r="B75" s="63"/>
      <c r="C75" s="63"/>
      <c r="D75" s="534"/>
      <c r="E75" s="50"/>
      <c r="F75" s="50"/>
      <c r="G75" s="50"/>
      <c r="H75" s="50"/>
      <c r="I75" s="50"/>
      <c r="J75" s="50"/>
      <c r="K75" s="52"/>
      <c r="L75" s="52"/>
      <c r="M75" s="52"/>
      <c r="N75" s="52"/>
      <c r="O75" s="52"/>
      <c r="P75" s="52"/>
      <c r="Q75" s="52"/>
      <c r="R75" s="52"/>
      <c r="S75" s="52"/>
      <c r="T75" s="52"/>
      <c r="U75" s="52"/>
      <c r="V75" s="52"/>
      <c r="W75" s="52"/>
      <c r="X75" s="52"/>
      <c r="Y75" s="52"/>
    </row>
    <row r="76" spans="1:25">
      <c r="A76" s="534"/>
      <c r="B76" s="534"/>
      <c r="C76" s="534"/>
      <c r="D76" s="534"/>
      <c r="E76" s="50"/>
      <c r="F76" s="50"/>
      <c r="G76" s="50"/>
      <c r="H76" s="50"/>
      <c r="I76" s="50"/>
      <c r="J76" s="50"/>
      <c r="K76" s="52"/>
      <c r="L76" s="52"/>
      <c r="M76" s="52"/>
      <c r="N76" s="52"/>
      <c r="O76" s="52"/>
      <c r="P76" s="52"/>
      <c r="Q76" s="52"/>
      <c r="R76" s="52"/>
      <c r="S76" s="52"/>
      <c r="T76" s="52"/>
      <c r="U76" s="52"/>
      <c r="V76" s="52"/>
      <c r="W76" s="52"/>
      <c r="X76" s="52"/>
      <c r="Y76" s="52"/>
    </row>
    <row r="77" spans="1:25">
      <c r="A77" s="50"/>
      <c r="B77" s="50"/>
      <c r="C77" s="50"/>
      <c r="D77" s="50"/>
      <c r="E77" s="50"/>
      <c r="F77" s="50"/>
      <c r="G77" s="50"/>
      <c r="H77" s="50"/>
      <c r="I77" s="50"/>
      <c r="J77" s="50"/>
      <c r="K77" s="52"/>
      <c r="L77" s="52"/>
      <c r="M77" s="52"/>
      <c r="N77" s="52"/>
      <c r="O77" s="52"/>
      <c r="P77" s="52"/>
      <c r="Q77" s="52"/>
      <c r="R77" s="52"/>
      <c r="S77" s="52"/>
      <c r="T77" s="52"/>
      <c r="U77" s="52"/>
      <c r="V77" s="52"/>
      <c r="W77" s="52"/>
      <c r="X77" s="52"/>
      <c r="Y77" s="52"/>
    </row>
    <row r="78" spans="1:25">
      <c r="A78" s="50"/>
      <c r="B78" s="50"/>
      <c r="C78" s="50"/>
      <c r="D78" s="50"/>
      <c r="E78" s="50"/>
      <c r="F78" s="50"/>
      <c r="G78" s="50"/>
      <c r="H78" s="50"/>
      <c r="I78" s="50"/>
      <c r="J78" s="50"/>
      <c r="K78" s="52"/>
      <c r="L78" s="52"/>
      <c r="M78" s="52"/>
      <c r="N78" s="52"/>
      <c r="O78" s="52"/>
      <c r="P78" s="52"/>
      <c r="Q78" s="52"/>
      <c r="R78" s="52"/>
      <c r="S78" s="52"/>
      <c r="T78" s="52"/>
      <c r="U78" s="52"/>
      <c r="V78" s="52"/>
      <c r="W78" s="52"/>
      <c r="X78" s="52"/>
      <c r="Y78" s="52"/>
    </row>
    <row r="79" spans="1:25">
      <c r="A79" s="52"/>
      <c r="B79" s="52"/>
      <c r="C79" s="52"/>
      <c r="D79" s="52"/>
      <c r="E79" s="52"/>
      <c r="F79" s="52"/>
      <c r="G79" s="52"/>
      <c r="H79" s="52"/>
      <c r="I79" s="52"/>
      <c r="J79" s="52"/>
      <c r="K79" s="52"/>
      <c r="L79" s="52"/>
      <c r="M79" s="52"/>
      <c r="N79" s="52"/>
      <c r="O79" s="52"/>
      <c r="P79" s="52"/>
      <c r="Q79" s="52"/>
      <c r="R79" s="52"/>
      <c r="S79" s="52"/>
      <c r="T79" s="52"/>
      <c r="U79" s="52"/>
      <c r="V79" s="52"/>
      <c r="W79" s="52"/>
      <c r="X79" s="52"/>
      <c r="Y79" s="52"/>
    </row>
    <row r="80" spans="1:25">
      <c r="A80" s="52"/>
      <c r="B80" s="52"/>
      <c r="C80" s="52"/>
      <c r="D80" s="52"/>
      <c r="E80" s="52"/>
      <c r="F80" s="52"/>
      <c r="G80" s="52"/>
      <c r="H80" s="52"/>
      <c r="I80" s="52"/>
      <c r="J80" s="52"/>
      <c r="K80" s="52"/>
      <c r="L80" s="52"/>
      <c r="M80" s="52"/>
      <c r="N80" s="52"/>
      <c r="O80" s="52"/>
      <c r="P80" s="52"/>
      <c r="Q80" s="52"/>
      <c r="R80" s="52"/>
      <c r="S80" s="52"/>
      <c r="T80" s="52"/>
      <c r="U80" s="52"/>
      <c r="V80" s="52"/>
      <c r="W80" s="52"/>
      <c r="X80" s="52"/>
      <c r="Y80" s="52"/>
    </row>
    <row r="81" spans="1:25">
      <c r="A81" s="52"/>
      <c r="B81" s="52"/>
      <c r="C81" s="52"/>
      <c r="D81" s="52"/>
      <c r="E81" s="52"/>
      <c r="F81" s="52"/>
      <c r="G81" s="52"/>
      <c r="H81" s="52"/>
      <c r="I81" s="52"/>
      <c r="J81" s="52"/>
      <c r="K81" s="52"/>
      <c r="L81" s="52"/>
      <c r="M81" s="52"/>
      <c r="N81" s="52"/>
      <c r="O81" s="52"/>
      <c r="P81" s="52"/>
      <c r="Q81" s="52"/>
      <c r="R81" s="52"/>
      <c r="S81" s="52"/>
      <c r="T81" s="52"/>
      <c r="U81" s="52"/>
      <c r="V81" s="52"/>
      <c r="W81" s="52"/>
      <c r="X81" s="52"/>
      <c r="Y81" s="52"/>
    </row>
    <row r="82" spans="1:25">
      <c r="A82" s="52"/>
      <c r="B82" s="52"/>
      <c r="C82" s="52"/>
      <c r="D82" s="52"/>
      <c r="E82" s="52"/>
      <c r="F82" s="52"/>
      <c r="G82" s="52"/>
      <c r="H82" s="52"/>
      <c r="I82" s="52"/>
      <c r="J82" s="52"/>
      <c r="K82" s="52"/>
      <c r="L82" s="52"/>
      <c r="M82" s="52"/>
      <c r="N82" s="52"/>
      <c r="O82" s="52"/>
      <c r="P82" s="52"/>
      <c r="Q82" s="52"/>
      <c r="R82" s="52"/>
      <c r="S82" s="52"/>
      <c r="T82" s="52"/>
      <c r="U82" s="52"/>
      <c r="V82" s="52"/>
      <c r="W82" s="52"/>
      <c r="X82" s="52"/>
      <c r="Y82" s="52"/>
    </row>
    <row r="83" spans="1:25">
      <c r="A83" s="52"/>
      <c r="B83" s="52"/>
      <c r="C83" s="52"/>
      <c r="D83" s="52"/>
      <c r="E83" s="52"/>
      <c r="F83" s="52"/>
      <c r="G83" s="52"/>
      <c r="H83" s="52"/>
      <c r="I83" s="52"/>
      <c r="J83" s="52"/>
      <c r="K83" s="52"/>
      <c r="L83" s="52"/>
      <c r="M83" s="52"/>
      <c r="N83" s="52"/>
      <c r="O83" s="52"/>
      <c r="P83" s="52"/>
      <c r="Q83" s="52"/>
      <c r="R83" s="52"/>
      <c r="S83" s="52"/>
      <c r="T83" s="52"/>
      <c r="U83" s="52"/>
      <c r="V83" s="52"/>
      <c r="W83" s="52"/>
      <c r="X83" s="52"/>
      <c r="Y83" s="52"/>
    </row>
    <row r="84" spans="1:25">
      <c r="A84" s="52"/>
      <c r="B84" s="52"/>
      <c r="C84" s="52"/>
      <c r="D84" s="52"/>
      <c r="E84" s="52"/>
      <c r="F84" s="52"/>
      <c r="G84" s="52"/>
      <c r="H84" s="52"/>
      <c r="I84" s="52"/>
      <c r="J84" s="52"/>
      <c r="K84" s="52"/>
      <c r="L84" s="52"/>
      <c r="M84" s="52"/>
      <c r="N84" s="52"/>
      <c r="O84" s="52"/>
      <c r="P84" s="52"/>
      <c r="Q84" s="52"/>
      <c r="R84" s="52"/>
      <c r="S84" s="52"/>
      <c r="T84" s="52"/>
      <c r="U84" s="52"/>
      <c r="V84" s="52"/>
      <c r="W84" s="52"/>
      <c r="X84" s="52"/>
      <c r="Y84" s="52"/>
    </row>
    <row r="85" spans="1:25">
      <c r="A85" s="52"/>
      <c r="B85" s="52"/>
      <c r="C85" s="52"/>
      <c r="D85" s="52"/>
      <c r="E85" s="52"/>
      <c r="F85" s="52"/>
      <c r="G85" s="52"/>
      <c r="H85" s="52"/>
      <c r="I85" s="52"/>
      <c r="J85" s="52"/>
      <c r="K85" s="52"/>
      <c r="L85" s="52"/>
      <c r="M85" s="52"/>
      <c r="N85" s="52"/>
      <c r="O85" s="52"/>
      <c r="P85" s="52"/>
      <c r="Q85" s="52"/>
      <c r="R85" s="52"/>
      <c r="S85" s="52"/>
      <c r="T85" s="52"/>
      <c r="U85" s="52"/>
      <c r="V85" s="52"/>
      <c r="W85" s="52"/>
      <c r="X85" s="52"/>
      <c r="Y85" s="52"/>
    </row>
    <row r="86" spans="1:25">
      <c r="A86" s="52"/>
      <c r="B86" s="52"/>
      <c r="C86" s="52"/>
      <c r="D86" s="52"/>
      <c r="E86" s="52"/>
      <c r="F86" s="52"/>
      <c r="G86" s="52"/>
      <c r="H86" s="52"/>
      <c r="I86" s="52"/>
      <c r="J86" s="52"/>
      <c r="K86" s="52"/>
      <c r="L86" s="52"/>
      <c r="M86" s="52"/>
      <c r="N86" s="52"/>
      <c r="O86" s="52"/>
      <c r="P86" s="52"/>
      <c r="Q86" s="52"/>
      <c r="R86" s="52"/>
      <c r="S86" s="52"/>
      <c r="T86" s="52"/>
      <c r="U86" s="52"/>
      <c r="V86" s="52"/>
      <c r="W86" s="52"/>
      <c r="X86" s="52"/>
      <c r="Y86" s="52"/>
    </row>
    <row r="87" spans="1:25">
      <c r="A87" s="52"/>
      <c r="B87" s="52"/>
      <c r="C87" s="52"/>
      <c r="D87" s="52"/>
      <c r="E87" s="52"/>
      <c r="F87" s="52"/>
      <c r="G87" s="52"/>
      <c r="H87" s="52"/>
      <c r="I87" s="52"/>
      <c r="J87" s="52"/>
      <c r="K87" s="52"/>
      <c r="L87" s="52"/>
      <c r="M87" s="52"/>
      <c r="N87" s="52"/>
      <c r="O87" s="52"/>
      <c r="P87" s="52"/>
      <c r="Q87" s="52"/>
      <c r="R87" s="52"/>
      <c r="S87" s="52"/>
      <c r="T87" s="52"/>
      <c r="U87" s="52"/>
      <c r="V87" s="52"/>
      <c r="W87" s="52"/>
      <c r="X87" s="52"/>
      <c r="Y87" s="52"/>
    </row>
    <row r="88" spans="1:25">
      <c r="A88" s="52"/>
      <c r="B88" s="52"/>
      <c r="C88" s="52"/>
      <c r="D88" s="52"/>
      <c r="E88" s="52"/>
      <c r="F88" s="52"/>
      <c r="G88" s="52"/>
      <c r="H88" s="52"/>
      <c r="I88" s="52"/>
      <c r="J88" s="52"/>
      <c r="K88" s="52"/>
      <c r="L88" s="52"/>
      <c r="M88" s="52"/>
      <c r="N88" s="52"/>
      <c r="O88" s="52"/>
      <c r="P88" s="52"/>
      <c r="Q88" s="52"/>
      <c r="R88" s="52"/>
      <c r="S88" s="52"/>
      <c r="T88" s="52"/>
      <c r="U88" s="52"/>
      <c r="V88" s="52"/>
      <c r="W88" s="52"/>
      <c r="X88" s="52"/>
      <c r="Y88" s="52"/>
    </row>
    <row r="89" spans="1:25">
      <c r="A89" s="52"/>
      <c r="B89" s="52"/>
      <c r="C89" s="52"/>
      <c r="D89" s="52"/>
      <c r="E89" s="52"/>
      <c r="F89" s="52"/>
      <c r="G89" s="52"/>
      <c r="H89" s="52"/>
      <c r="I89" s="52"/>
      <c r="J89" s="52"/>
      <c r="K89" s="52"/>
      <c r="L89" s="52"/>
      <c r="M89" s="52"/>
      <c r="N89" s="52"/>
      <c r="O89" s="52"/>
      <c r="P89" s="52"/>
      <c r="Q89" s="52"/>
      <c r="R89" s="52"/>
      <c r="S89" s="52"/>
      <c r="T89" s="52"/>
      <c r="U89" s="52"/>
      <c r="V89" s="52"/>
      <c r="W89" s="52"/>
      <c r="X89" s="52"/>
      <c r="Y89" s="52"/>
    </row>
    <row r="90" spans="1:25">
      <c r="A90" s="52"/>
      <c r="B90" s="52"/>
      <c r="C90" s="52"/>
      <c r="D90" s="52"/>
      <c r="E90" s="52"/>
      <c r="F90" s="52"/>
      <c r="G90" s="52"/>
      <c r="H90" s="52"/>
      <c r="I90" s="52"/>
      <c r="J90" s="52"/>
      <c r="K90" s="52"/>
      <c r="L90" s="52"/>
      <c r="M90" s="52"/>
      <c r="N90" s="52"/>
      <c r="O90" s="52"/>
      <c r="P90" s="52"/>
      <c r="Q90" s="52"/>
      <c r="R90" s="52"/>
      <c r="S90" s="52"/>
      <c r="T90" s="52"/>
      <c r="U90" s="52"/>
      <c r="V90" s="52"/>
      <c r="W90" s="52"/>
      <c r="X90" s="52"/>
      <c r="Y90" s="52"/>
    </row>
    <row r="91" spans="1:25">
      <c r="A91" s="52"/>
      <c r="B91" s="52"/>
      <c r="C91" s="52"/>
      <c r="D91" s="52"/>
      <c r="E91" s="52"/>
      <c r="F91" s="52"/>
      <c r="G91" s="52"/>
      <c r="H91" s="52"/>
      <c r="I91" s="52"/>
      <c r="J91" s="52"/>
      <c r="K91" s="52"/>
      <c r="L91" s="52"/>
      <c r="M91" s="52"/>
      <c r="N91" s="52"/>
      <c r="O91" s="52"/>
      <c r="P91" s="52"/>
      <c r="Q91" s="52"/>
      <c r="R91" s="52"/>
      <c r="S91" s="52"/>
      <c r="T91" s="52"/>
      <c r="U91" s="52"/>
      <c r="V91" s="52"/>
      <c r="W91" s="52"/>
      <c r="X91" s="52"/>
      <c r="Y91" s="52"/>
    </row>
    <row r="92" spans="1:25">
      <c r="A92" s="52"/>
      <c r="B92" s="52"/>
      <c r="C92" s="52"/>
      <c r="D92" s="52"/>
      <c r="E92" s="52"/>
      <c r="F92" s="52"/>
      <c r="G92" s="52"/>
      <c r="H92" s="52"/>
      <c r="I92" s="52"/>
      <c r="J92" s="52"/>
      <c r="K92" s="52"/>
      <c r="L92" s="52"/>
      <c r="M92" s="52"/>
      <c r="N92" s="52"/>
      <c r="O92" s="52"/>
      <c r="P92" s="52"/>
      <c r="Q92" s="52"/>
      <c r="R92" s="52"/>
      <c r="S92" s="52"/>
      <c r="T92" s="52"/>
      <c r="U92" s="52"/>
      <c r="V92" s="52"/>
      <c r="W92" s="52"/>
      <c r="X92" s="52"/>
      <c r="Y92" s="52"/>
    </row>
    <row r="93" spans="1:25">
      <c r="A93" s="52"/>
      <c r="B93" s="52"/>
      <c r="C93" s="52"/>
      <c r="D93" s="52"/>
      <c r="E93" s="52"/>
      <c r="F93" s="52"/>
      <c r="G93" s="52"/>
      <c r="H93" s="52"/>
      <c r="I93" s="52"/>
      <c r="J93" s="52"/>
      <c r="K93" s="52"/>
      <c r="L93" s="52"/>
      <c r="M93" s="52"/>
      <c r="N93" s="52"/>
      <c r="O93" s="52"/>
      <c r="P93" s="52"/>
      <c r="Q93" s="52"/>
      <c r="R93" s="52"/>
      <c r="S93" s="52"/>
      <c r="T93" s="52"/>
      <c r="U93" s="52"/>
      <c r="V93" s="52"/>
      <c r="W93" s="52"/>
      <c r="X93" s="52"/>
      <c r="Y93" s="52"/>
    </row>
    <row r="94" spans="1:25">
      <c r="A94" s="52"/>
      <c r="B94" s="52"/>
      <c r="C94" s="52"/>
      <c r="D94" s="52"/>
      <c r="E94" s="52"/>
      <c r="F94" s="52"/>
      <c r="G94" s="52"/>
      <c r="H94" s="52"/>
      <c r="I94" s="52"/>
      <c r="J94" s="52"/>
      <c r="K94" s="52"/>
      <c r="L94" s="52"/>
      <c r="M94" s="52"/>
      <c r="N94" s="52"/>
      <c r="O94" s="52"/>
      <c r="P94" s="52"/>
      <c r="Q94" s="52"/>
      <c r="R94" s="52"/>
      <c r="S94" s="52"/>
      <c r="T94" s="52"/>
      <c r="U94" s="52"/>
      <c r="V94" s="52"/>
      <c r="W94" s="52"/>
      <c r="X94" s="52"/>
      <c r="Y94" s="52"/>
    </row>
    <row r="95" spans="1:25">
      <c r="A95" s="52"/>
      <c r="B95" s="52"/>
      <c r="C95" s="52"/>
      <c r="D95" s="52"/>
      <c r="E95" s="52"/>
      <c r="F95" s="52"/>
      <c r="G95" s="52"/>
      <c r="H95" s="52"/>
      <c r="I95" s="52"/>
      <c r="J95" s="52"/>
      <c r="K95" s="52"/>
      <c r="L95" s="52"/>
      <c r="M95" s="52"/>
      <c r="N95" s="52"/>
      <c r="O95" s="52"/>
      <c r="P95" s="52"/>
      <c r="Q95" s="52"/>
      <c r="R95" s="52"/>
      <c r="S95" s="52"/>
      <c r="T95" s="52"/>
      <c r="U95" s="52"/>
      <c r="V95" s="52"/>
      <c r="W95" s="52"/>
      <c r="X95" s="52"/>
      <c r="Y95" s="52"/>
    </row>
    <row r="96" spans="1:25">
      <c r="A96" s="52"/>
      <c r="B96" s="52"/>
      <c r="C96" s="52"/>
      <c r="D96" s="52"/>
      <c r="E96" s="52"/>
      <c r="F96" s="52"/>
      <c r="G96" s="52"/>
      <c r="H96" s="52"/>
      <c r="I96" s="52"/>
      <c r="J96" s="52"/>
      <c r="K96" s="52"/>
      <c r="L96" s="52"/>
      <c r="M96" s="52"/>
      <c r="N96" s="52"/>
      <c r="O96" s="52"/>
      <c r="P96" s="52"/>
      <c r="Q96" s="52"/>
      <c r="R96" s="52"/>
      <c r="S96" s="52"/>
      <c r="T96" s="52"/>
      <c r="U96" s="52"/>
      <c r="V96" s="52"/>
      <c r="W96" s="52"/>
      <c r="X96" s="52"/>
      <c r="Y96" s="52"/>
    </row>
    <row r="97" spans="1:25">
      <c r="A97" s="52"/>
      <c r="B97" s="52"/>
      <c r="C97" s="52"/>
      <c r="D97" s="52"/>
      <c r="E97" s="52"/>
      <c r="F97" s="52"/>
      <c r="G97" s="52"/>
      <c r="H97" s="52"/>
      <c r="I97" s="52"/>
      <c r="J97" s="52"/>
      <c r="K97" s="52"/>
      <c r="L97" s="52"/>
      <c r="M97" s="52"/>
      <c r="N97" s="52"/>
      <c r="O97" s="52"/>
      <c r="P97" s="52"/>
      <c r="Q97" s="52"/>
      <c r="R97" s="52"/>
      <c r="S97" s="52"/>
      <c r="T97" s="52"/>
      <c r="U97" s="52"/>
      <c r="V97" s="52"/>
      <c r="W97" s="52"/>
      <c r="X97" s="52"/>
      <c r="Y97" s="52"/>
    </row>
    <row r="98" spans="1:25">
      <c r="A98" s="52"/>
      <c r="B98" s="52"/>
      <c r="C98" s="52"/>
      <c r="D98" s="52"/>
      <c r="E98" s="52"/>
      <c r="F98" s="52"/>
      <c r="G98" s="52"/>
      <c r="H98" s="52"/>
      <c r="I98" s="52"/>
      <c r="J98" s="52"/>
      <c r="K98" s="52"/>
      <c r="L98" s="52"/>
      <c r="M98" s="52"/>
      <c r="N98" s="52"/>
      <c r="O98" s="52"/>
      <c r="P98" s="52"/>
      <c r="Q98" s="52"/>
      <c r="R98" s="52"/>
      <c r="S98" s="52"/>
      <c r="T98" s="52"/>
      <c r="U98" s="52"/>
      <c r="V98" s="52"/>
      <c r="W98" s="52"/>
      <c r="X98" s="52"/>
      <c r="Y98" s="52"/>
    </row>
    <row r="99" spans="1:25">
      <c r="A99" s="52"/>
      <c r="B99" s="52"/>
      <c r="C99" s="52"/>
      <c r="D99" s="52"/>
      <c r="E99" s="52"/>
      <c r="F99" s="52"/>
      <c r="G99" s="52"/>
      <c r="H99" s="52"/>
      <c r="I99" s="52"/>
      <c r="J99" s="52"/>
      <c r="K99" s="52"/>
      <c r="L99" s="52"/>
      <c r="M99" s="52"/>
      <c r="N99" s="52"/>
      <c r="O99" s="52"/>
      <c r="P99" s="52"/>
      <c r="Q99" s="52"/>
      <c r="R99" s="52"/>
      <c r="S99" s="52"/>
      <c r="T99" s="52"/>
      <c r="U99" s="52"/>
      <c r="V99" s="52"/>
      <c r="W99" s="52"/>
      <c r="X99" s="52"/>
      <c r="Y99" s="52"/>
    </row>
    <row r="100" spans="1:25">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57B0-02CA-4B94-9708-30CFEF63A36D}">
  <dimension ref="A1:Z60"/>
  <sheetViews>
    <sheetView workbookViewId="0"/>
  </sheetViews>
  <sheetFormatPr defaultRowHeight="14"/>
  <cols>
    <col min="1" max="1" width="13.25" customWidth="1"/>
    <col min="2" max="2" width="12.83203125" customWidth="1"/>
    <col min="3" max="3" width="13.4140625" customWidth="1"/>
    <col min="4" max="4" width="10.4140625" customWidth="1"/>
    <col min="5" max="5" width="10.25" customWidth="1"/>
    <col min="6" max="6" width="12.25" customWidth="1"/>
    <col min="7" max="7" width="12.1640625" customWidth="1"/>
    <col min="8" max="8" width="11" customWidth="1"/>
    <col min="9" max="9" width="10.1640625" customWidth="1"/>
    <col min="10" max="10" width="9.75" customWidth="1"/>
    <col min="11" max="11" width="10.4140625" customWidth="1"/>
    <col min="12" max="12" width="11" customWidth="1"/>
    <col min="14" max="14" width="16.75" customWidth="1"/>
    <col min="15" max="15" width="13.58203125" customWidth="1"/>
    <col min="16" max="16" width="31.58203125" customWidth="1"/>
  </cols>
  <sheetData>
    <row r="1" spans="1:26">
      <c r="A1" s="27" t="s">
        <v>1589</v>
      </c>
      <c r="B1" s="27"/>
      <c r="C1" s="47"/>
      <c r="D1" s="47"/>
      <c r="E1" s="47"/>
      <c r="F1" s="47"/>
      <c r="G1" s="47"/>
      <c r="H1" s="47"/>
      <c r="I1" s="47"/>
      <c r="J1" s="47"/>
      <c r="K1" s="47"/>
      <c r="L1" s="47"/>
      <c r="M1" s="51"/>
      <c r="N1" s="27" t="s">
        <v>451</v>
      </c>
      <c r="O1" s="27" t="s">
        <v>1470</v>
      </c>
      <c r="P1" s="27" t="s">
        <v>1192</v>
      </c>
      <c r="Q1" s="52"/>
      <c r="R1" s="52"/>
      <c r="S1" s="52"/>
      <c r="T1" s="52"/>
      <c r="U1" s="52"/>
      <c r="V1" s="52"/>
      <c r="W1" s="52"/>
      <c r="X1" s="52"/>
      <c r="Y1" s="52"/>
      <c r="Z1" s="52"/>
    </row>
    <row r="2" spans="1:26">
      <c r="A2" s="27" t="s">
        <v>1590</v>
      </c>
      <c r="B2" s="27"/>
      <c r="C2" s="27"/>
      <c r="D2" s="46"/>
      <c r="E2" s="47"/>
      <c r="F2" s="47"/>
      <c r="G2" s="47"/>
      <c r="H2" s="47"/>
      <c r="I2" s="47"/>
      <c r="J2" s="47"/>
      <c r="K2" s="47"/>
      <c r="L2" s="47"/>
      <c r="M2" s="51"/>
      <c r="N2" s="320" t="s">
        <v>492</v>
      </c>
      <c r="O2" s="336">
        <v>0.1648</v>
      </c>
      <c r="P2" s="320" t="s">
        <v>1823</v>
      </c>
      <c r="Q2" s="52"/>
      <c r="R2" s="52"/>
      <c r="S2" s="52"/>
      <c r="T2" s="52"/>
      <c r="U2" s="52"/>
      <c r="V2" s="52"/>
      <c r="W2" s="52"/>
      <c r="X2" s="52"/>
      <c r="Y2" s="52"/>
      <c r="Z2" s="52"/>
    </row>
    <row r="3" spans="1:26">
      <c r="A3" s="361" t="s">
        <v>451</v>
      </c>
      <c r="B3" s="361" t="s">
        <v>119</v>
      </c>
      <c r="C3" s="361" t="s">
        <v>120</v>
      </c>
      <c r="D3" s="362" t="s">
        <v>121</v>
      </c>
      <c r="E3" s="362" t="s">
        <v>122</v>
      </c>
      <c r="F3" s="362" t="s">
        <v>123</v>
      </c>
      <c r="G3" s="362" t="s">
        <v>1470</v>
      </c>
      <c r="H3" s="362" t="s">
        <v>145</v>
      </c>
      <c r="I3" s="362" t="s">
        <v>146</v>
      </c>
      <c r="J3" s="362" t="s">
        <v>147</v>
      </c>
      <c r="K3" s="362" t="s">
        <v>148</v>
      </c>
      <c r="L3" s="362" t="s">
        <v>149</v>
      </c>
      <c r="M3" s="51"/>
      <c r="N3" s="320" t="s">
        <v>19</v>
      </c>
      <c r="O3" s="336">
        <v>0.19040000000000001</v>
      </c>
      <c r="P3" s="320" t="s">
        <v>1824</v>
      </c>
      <c r="Q3" s="52"/>
      <c r="R3" s="52"/>
      <c r="S3" s="52"/>
      <c r="T3" s="52"/>
      <c r="U3" s="52"/>
      <c r="V3" s="52"/>
      <c r="W3" s="52"/>
      <c r="X3" s="52"/>
      <c r="Y3" s="52"/>
      <c r="Z3" s="52"/>
    </row>
    <row r="4" spans="1:26">
      <c r="A4" s="324" t="s">
        <v>492</v>
      </c>
      <c r="B4" s="399">
        <f>Table1[[#This Row],[2020]]</f>
        <v>15301</v>
      </c>
      <c r="C4" s="399">
        <f>Table1[[#This Row],[2021]]</f>
        <v>18884</v>
      </c>
      <c r="D4" s="399">
        <f>Table1[[#This Row],[2022]]</f>
        <v>22237</v>
      </c>
      <c r="E4" s="399">
        <f>Table1[[#This Row],[2023]]</f>
        <v>25098</v>
      </c>
      <c r="F4" s="399">
        <f>Table1[[#This Row],[2024]]</f>
        <v>28167</v>
      </c>
      <c r="G4" s="403">
        <f>(Table51[[#This Row],[2024]] / Table51[[#This Row],[2020]])^(1/4)-1</f>
        <v>0.16481027951126981</v>
      </c>
      <c r="H4" s="401">
        <f>F4*(1+$G4)</f>
        <v>32809.21114299394</v>
      </c>
      <c r="I4" s="401">
        <f>Table51[[#This Row],[2025]]*(1+Table51[[#This Row],[CAGR]])</f>
        <v>38216.506402015038</v>
      </c>
      <c r="J4" s="401">
        <f>Table51[[#This Row],[2026]]*(1+Table51[[#This Row],[CAGR]])</f>
        <v>44514.979504075367</v>
      </c>
      <c r="K4" s="401">
        <f>Table51[[#This Row],[2027]]*(1+Table51[[#This Row],[CAGR]])</f>
        <v>51851.505718580476</v>
      </c>
      <c r="L4" s="401">
        <f>Table51[[#This Row],[2028]]*(1+Table51[[#This Row],[CAGR]])</f>
        <v>60397.166869139932</v>
      </c>
      <c r="M4" s="51"/>
      <c r="N4" s="320" t="s">
        <v>1185</v>
      </c>
      <c r="O4" s="336">
        <v>0.19170000000000001</v>
      </c>
      <c r="P4" s="320" t="s">
        <v>1257</v>
      </c>
      <c r="Q4" s="52"/>
      <c r="R4" s="52"/>
      <c r="S4" s="52"/>
      <c r="T4" s="52"/>
      <c r="U4" s="52"/>
      <c r="V4" s="52"/>
      <c r="W4" s="52"/>
      <c r="X4" s="52"/>
      <c r="Y4" s="52"/>
      <c r="Z4" s="52"/>
    </row>
    <row r="5" spans="1:26" ht="28">
      <c r="A5" s="324" t="s">
        <v>144</v>
      </c>
      <c r="B5" s="399">
        <f>'Profit Loss'!B11</f>
        <v>8081</v>
      </c>
      <c r="C5" s="399">
        <f>'Profit Loss'!C11</f>
        <v>10082</v>
      </c>
      <c r="D5" s="399">
        <f>'Profit Loss'!D11</f>
        <v>12264</v>
      </c>
      <c r="E5" s="399">
        <f>'Profit Loss'!E11</f>
        <v>14008</v>
      </c>
      <c r="F5" s="399">
        <f>'Profit Loss'!F11</f>
        <v>15582</v>
      </c>
      <c r="G5" s="403">
        <f>(Table51[[#This Row],[2024]] / Table51[[#This Row],[2020]])^(1/4)-1</f>
        <v>0.17839128870790777</v>
      </c>
      <c r="H5" s="401">
        <f>F5*(1+$G5)</f>
        <v>18361.693060646619</v>
      </c>
      <c r="I5" s="401">
        <f>Table51[[#This Row],[2025]]*(1+Table51[[#This Row],[CAGR]])</f>
        <v>21637.259148594418</v>
      </c>
      <c r="J5" s="401">
        <f>Table51[[#This Row],[2026]]*(1+Table51[[#This Row],[CAGR]])</f>
        <v>25497.157692219142</v>
      </c>
      <c r="K5" s="401">
        <f>Table51[[#This Row],[2027]]*(1+Table51[[#This Row],[CAGR]])</f>
        <v>30045.628511322859</v>
      </c>
      <c r="L5" s="401">
        <f>Table51[[#This Row],[2028]]*(1+Table51[[#This Row],[CAGR]])</f>
        <v>35405.506901496803</v>
      </c>
      <c r="M5" s="51"/>
      <c r="N5" s="63" t="s">
        <v>1826</v>
      </c>
      <c r="O5" s="63"/>
      <c r="P5" s="63"/>
      <c r="Q5" s="52"/>
      <c r="R5" s="52"/>
      <c r="S5" s="52"/>
      <c r="T5" s="52"/>
      <c r="U5" s="52"/>
      <c r="V5" s="52"/>
      <c r="W5" s="52"/>
      <c r="X5" s="52"/>
      <c r="Y5" s="52"/>
      <c r="Z5" s="52"/>
    </row>
    <row r="6" spans="1:26">
      <c r="A6" s="324" t="s">
        <v>19</v>
      </c>
      <c r="B6" s="399">
        <f>'Profit Loss'!B20</f>
        <v>6411</v>
      </c>
      <c r="C6" s="399">
        <f>'Profit Loss'!C20</f>
        <v>8687</v>
      </c>
      <c r="D6" s="399">
        <f>'Profit Loss'!D20</f>
        <v>9930</v>
      </c>
      <c r="E6" s="399">
        <f>'Profit Loss'!E20</f>
        <v>11195</v>
      </c>
      <c r="F6" s="399">
        <f>'Profit Loss'!F20</f>
        <v>12874</v>
      </c>
      <c r="G6" s="403">
        <f>(Table51[[#This Row],[2024]] / Table51[[#This Row],[2020]])^(1/4)-1</f>
        <v>0.1904110017986298</v>
      </c>
      <c r="H6" s="401">
        <f>F6*(1+$G6)</f>
        <v>15325.351237155561</v>
      </c>
      <c r="I6" s="401">
        <f>Table51[[#This Row],[2025]]*(1+Table51[[#This Row],[CAGR]])</f>
        <v>18243.466719138221</v>
      </c>
      <c r="J6" s="401">
        <f>Table51[[#This Row],[2026]]*(1+Table51[[#This Row],[CAGR]])</f>
        <v>21717.223493409292</v>
      </c>
      <c r="K6" s="401">
        <f>Table51[[#This Row],[2027]]*(1+Table51[[#This Row],[CAGR]])</f>
        <v>25852.421775074094</v>
      </c>
      <c r="L6" s="401">
        <f>Table51[[#This Row],[2028]]*(1+Table51[[#This Row],[CAGR]])</f>
        <v>30775.007304186664</v>
      </c>
      <c r="M6" s="51"/>
      <c r="N6" s="393" t="s">
        <v>481</v>
      </c>
      <c r="O6" s="393" t="s">
        <v>483</v>
      </c>
      <c r="P6" s="52"/>
      <c r="Q6" s="52"/>
      <c r="R6" s="52"/>
      <c r="S6" s="52"/>
      <c r="T6" s="52"/>
      <c r="U6" s="52"/>
      <c r="V6" s="52"/>
      <c r="W6" s="52"/>
      <c r="X6" s="52"/>
      <c r="Y6" s="52"/>
      <c r="Z6" s="52"/>
    </row>
    <row r="7" spans="1:26">
      <c r="A7" s="324" t="s">
        <v>278</v>
      </c>
      <c r="B7" s="400">
        <f>'Profit Loss'!B21</f>
        <v>6.4</v>
      </c>
      <c r="C7" s="400">
        <f>'Profit Loss'!C21</f>
        <v>8.7899999999999991</v>
      </c>
      <c r="D7" s="400">
        <f>'Profit Loss'!D21</f>
        <v>10.26</v>
      </c>
      <c r="E7" s="400">
        <f>'Profit Loss'!E21</f>
        <v>11.86</v>
      </c>
      <c r="F7" s="400">
        <f>'Profit Loss'!F21</f>
        <v>13.91</v>
      </c>
      <c r="G7" s="403">
        <f>(Table51[[#This Row],[2024]] / Table51[[#This Row],[2020]])^(1/4)-1</f>
        <v>0.21419038379049193</v>
      </c>
      <c r="H7" s="402">
        <f>F7*(1+$G7)</f>
        <v>16.889388238525743</v>
      </c>
      <c r="I7" s="402">
        <f>Table51[[#This Row],[2025]]*(1+Table51[[#This Row],[CAGR]])</f>
        <v>20.506932787322192</v>
      </c>
      <c r="J7" s="402">
        <f>Table51[[#This Row],[2026]]*(1+Table51[[#This Row],[CAGR]])</f>
        <v>24.899320591404557</v>
      </c>
      <c r="K7" s="402">
        <f>Table51[[#This Row],[2027]]*(1+Table51[[#This Row],[CAGR]])</f>
        <v>30.232515624999998</v>
      </c>
      <c r="L7" s="402">
        <f>Table51[[#This Row],[2028]]*(1+Table51[[#This Row],[CAGR]])</f>
        <v>36.708029749670793</v>
      </c>
      <c r="M7" s="51"/>
      <c r="N7" s="394" t="s">
        <v>482</v>
      </c>
      <c r="O7" s="394" t="s">
        <v>484</v>
      </c>
      <c r="P7" s="52"/>
      <c r="Q7" s="52"/>
      <c r="R7" s="52"/>
      <c r="S7" s="52"/>
      <c r="T7" s="52"/>
      <c r="U7" s="52"/>
      <c r="V7" s="52"/>
      <c r="W7" s="52"/>
      <c r="X7" s="52"/>
      <c r="Y7" s="52"/>
      <c r="Z7" s="52"/>
    </row>
    <row r="8" spans="1:26">
      <c r="A8" s="50"/>
      <c r="B8" s="364"/>
      <c r="C8" s="364"/>
      <c r="D8" s="364"/>
      <c r="E8" s="364"/>
      <c r="F8" s="364"/>
      <c r="G8" s="50"/>
      <c r="H8" s="364"/>
      <c r="I8" s="364"/>
      <c r="J8" s="364"/>
      <c r="K8" s="364"/>
      <c r="L8" s="364"/>
      <c r="M8" s="51"/>
      <c r="N8" s="52"/>
      <c r="O8" s="52"/>
      <c r="P8" s="52"/>
      <c r="Q8" s="52"/>
      <c r="R8" s="52"/>
      <c r="S8" s="52"/>
      <c r="T8" s="52"/>
      <c r="U8" s="52"/>
      <c r="V8" s="52"/>
      <c r="W8" s="52"/>
      <c r="X8" s="52"/>
      <c r="Y8" s="52"/>
      <c r="Z8" s="52"/>
    </row>
    <row r="9" spans="1:26">
      <c r="A9" s="27" t="s">
        <v>1591</v>
      </c>
      <c r="B9" s="363"/>
      <c r="C9" s="363"/>
      <c r="D9" s="397"/>
      <c r="E9" s="397"/>
      <c r="F9" s="397"/>
      <c r="G9" s="362"/>
      <c r="H9" s="397"/>
      <c r="I9" s="397"/>
      <c r="J9" s="397"/>
      <c r="K9" s="397"/>
      <c r="L9" s="397"/>
      <c r="M9" s="51"/>
      <c r="N9" s="52"/>
      <c r="O9" s="52"/>
      <c r="P9" s="52"/>
      <c r="Q9" s="52"/>
      <c r="R9" s="52"/>
      <c r="S9" s="52"/>
      <c r="T9" s="52"/>
      <c r="U9" s="52"/>
      <c r="V9" s="52"/>
      <c r="W9" s="52"/>
      <c r="X9" s="52"/>
      <c r="Y9" s="52"/>
      <c r="Z9" s="52"/>
    </row>
    <row r="10" spans="1:26">
      <c r="A10" s="362" t="s">
        <v>451</v>
      </c>
      <c r="B10" s="363" t="s">
        <v>119</v>
      </c>
      <c r="C10" s="363" t="s">
        <v>120</v>
      </c>
      <c r="D10" s="363" t="s">
        <v>121</v>
      </c>
      <c r="E10" s="363" t="s">
        <v>122</v>
      </c>
      <c r="F10" s="363" t="s">
        <v>123</v>
      </c>
      <c r="G10" s="361" t="s">
        <v>1470</v>
      </c>
      <c r="H10" s="363" t="s">
        <v>145</v>
      </c>
      <c r="I10" s="363" t="s">
        <v>146</v>
      </c>
      <c r="J10" s="363" t="s">
        <v>147</v>
      </c>
      <c r="K10" s="363" t="s">
        <v>148</v>
      </c>
      <c r="L10" s="363" t="s">
        <v>149</v>
      </c>
      <c r="M10" s="51"/>
      <c r="N10" s="52"/>
      <c r="O10" s="52"/>
      <c r="P10" s="52"/>
      <c r="Q10" s="52"/>
      <c r="R10" s="52"/>
      <c r="S10" s="52"/>
      <c r="T10" s="52"/>
      <c r="U10" s="52"/>
      <c r="V10" s="52"/>
      <c r="W10" s="52"/>
      <c r="X10" s="52"/>
      <c r="Y10" s="52"/>
      <c r="Z10" s="52"/>
    </row>
    <row r="11" spans="1:26" ht="22.5" customHeight="1">
      <c r="A11" s="324" t="s">
        <v>44</v>
      </c>
      <c r="B11" s="399">
        <f>Balance_Sheet!B17</f>
        <v>33584</v>
      </c>
      <c r="C11" s="399">
        <f>Balance_Sheet!C17</f>
        <v>37669</v>
      </c>
      <c r="D11" s="399">
        <f>Balance_Sheet!D17</f>
        <v>38724</v>
      </c>
      <c r="E11" s="399">
        <f>Balance_Sheet!E17</f>
        <v>42448</v>
      </c>
      <c r="F11" s="399">
        <f>Balance_Sheet!F17</f>
        <v>48081</v>
      </c>
      <c r="G11" s="403">
        <f>(Table52[[#This Row],[2024]] / Table52[[#This Row],[2020]])^(1/4)-1</f>
        <v>9.3856287816306283E-2</v>
      </c>
      <c r="H11" s="401">
        <f>F11*(1+$G11)</f>
        <v>52593.704174495826</v>
      </c>
      <c r="I11" s="401">
        <f>Table52[[#This Row],[2025]]*(1+Table52[[#This Row],[CAGR]])</f>
        <v>57529.954010822978</v>
      </c>
      <c r="J11" s="401">
        <f>Table52[[#This Row],[2026]]*(1+Table52[[#This Row],[CAGR]])</f>
        <v>62929.501932521642</v>
      </c>
      <c r="K11" s="401">
        <f>Table52[[#This Row],[2027]]*(1+Table52[[#This Row],[CAGR]])</f>
        <v>68835.831378037197</v>
      </c>
      <c r="L11" s="401">
        <f>Table52[[#This Row],[2028]]*(1+Table52[[#This Row],[CAGR]])</f>
        <v>75296.506979928978</v>
      </c>
      <c r="M11" s="51"/>
      <c r="N11" s="52"/>
      <c r="O11" s="52"/>
      <c r="P11" s="52"/>
      <c r="Q11" s="52"/>
      <c r="R11" s="52"/>
      <c r="S11" s="52"/>
      <c r="T11" s="52"/>
      <c r="U11" s="52"/>
      <c r="V11" s="52"/>
      <c r="W11" s="52"/>
      <c r="X11" s="52"/>
      <c r="Y11" s="52"/>
      <c r="Z11" s="52"/>
    </row>
    <row r="12" spans="1:26" ht="27.75" customHeight="1">
      <c r="A12" s="324" t="s">
        <v>55</v>
      </c>
      <c r="B12" s="399">
        <f>Balance_Sheet!B30</f>
        <v>27067</v>
      </c>
      <c r="C12" s="399">
        <f>Balance_Sheet!C30</f>
        <v>30257</v>
      </c>
      <c r="D12" s="399">
        <f>Balance_Sheet!D30</f>
        <v>32347</v>
      </c>
      <c r="E12" s="399">
        <f>Balance_Sheet!E30</f>
        <v>35451</v>
      </c>
      <c r="F12" s="399">
        <f>Balance_Sheet!F30</f>
        <v>41566</v>
      </c>
      <c r="G12" s="403">
        <f>(Table52[[#This Row],[2024]] / Table52[[#This Row],[2020]])^(1/4)-1</f>
        <v>0.11320340890855984</v>
      </c>
      <c r="H12" s="401">
        <f>F12*(1+$G12)</f>
        <v>46271.412894693196</v>
      </c>
      <c r="I12" s="401">
        <f>Table52[[#This Row],[2025]]*(1+Table52[[#This Row],[CAGR]])</f>
        <v>51509.494569387956</v>
      </c>
      <c r="J12" s="401">
        <f>Table52[[#This Row],[2026]]*(1+Table52[[#This Row],[CAGR]])</f>
        <v>57340.544945799622</v>
      </c>
      <c r="K12" s="401">
        <f>Table52[[#This Row],[2027]]*(1+Table52[[#This Row],[CAGR]])</f>
        <v>63831.690102338631</v>
      </c>
      <c r="L12" s="401">
        <f>Table52[[#This Row],[2028]]*(1+Table52[[#This Row],[CAGR]])</f>
        <v>71057.655018318139</v>
      </c>
      <c r="M12" s="51"/>
      <c r="N12" s="52"/>
      <c r="O12" s="52"/>
      <c r="P12" s="52"/>
      <c r="Q12" s="52"/>
      <c r="R12" s="52"/>
      <c r="S12" s="52"/>
      <c r="T12" s="52"/>
      <c r="U12" s="52"/>
      <c r="V12" s="52"/>
      <c r="W12" s="52"/>
      <c r="X12" s="52"/>
      <c r="Y12" s="52"/>
      <c r="Z12" s="52"/>
    </row>
    <row r="13" spans="1:26" ht="38.25" customHeight="1">
      <c r="A13" s="324" t="s">
        <v>1592</v>
      </c>
      <c r="B13" s="399">
        <f>Balance_Sheet!B40</f>
        <v>6488</v>
      </c>
      <c r="C13" s="399">
        <f>Balance_Sheet!C40</f>
        <v>7383</v>
      </c>
      <c r="D13" s="399">
        <f>Balance_Sheet!D40</f>
        <v>6356</v>
      </c>
      <c r="E13" s="399">
        <f>Balance_Sheet!E40</f>
        <v>6975</v>
      </c>
      <c r="F13" s="399">
        <f>Balance_Sheet!F40</f>
        <v>6515</v>
      </c>
      <c r="G13" s="403">
        <f>(Table52[[#This Row],[2024]] / Table52[[#This Row],[2020]])^(1/4)-1</f>
        <v>1.0387625814474166E-3</v>
      </c>
      <c r="H13" s="401">
        <f>F13*(1+$G13)</f>
        <v>6521.7675382181296</v>
      </c>
      <c r="I13" s="401">
        <f>Table52[[#This Row],[2025]]*(1+Table52[[#This Row],[CAGR]])</f>
        <v>6528.5421063017293</v>
      </c>
      <c r="J13" s="401">
        <f>Table52[[#This Row],[2026]]*(1+Table52[[#This Row],[CAGR]])</f>
        <v>6535.3237115531592</v>
      </c>
      <c r="K13" s="401">
        <f>Table52[[#This Row],[2027]]*(1+Table52[[#This Row],[CAGR]])</f>
        <v>6542.1123612823667</v>
      </c>
      <c r="L13" s="401">
        <f>Table52[[#This Row],[2028]]*(1+Table52[[#This Row],[CAGR]])</f>
        <v>6548.9080628068914</v>
      </c>
      <c r="M13" s="51"/>
      <c r="N13" s="52"/>
      <c r="O13" s="52"/>
      <c r="P13" s="52"/>
      <c r="Q13" s="52"/>
      <c r="R13" s="52"/>
      <c r="S13" s="52"/>
      <c r="T13" s="52"/>
      <c r="U13" s="52"/>
      <c r="V13" s="52"/>
      <c r="W13" s="52"/>
      <c r="X13" s="52"/>
      <c r="Y13" s="52"/>
      <c r="Z13" s="52"/>
    </row>
    <row r="14" spans="1:26" ht="45.75" customHeight="1">
      <c r="A14" s="324" t="s">
        <v>163</v>
      </c>
      <c r="B14" s="399">
        <f>Balance_Sheet!B4</f>
        <v>10113</v>
      </c>
      <c r="C14" s="399">
        <f>Balance_Sheet!C4</f>
        <v>7421</v>
      </c>
      <c r="D14" s="399">
        <f>Balance_Sheet!D4</f>
        <v>7008</v>
      </c>
      <c r="E14" s="399">
        <f>Balance_Sheet!E4</f>
        <v>8588</v>
      </c>
      <c r="F14" s="399">
        <f>Balance_Sheet!F4</f>
        <v>8442</v>
      </c>
      <c r="G14" s="403">
        <f>(Table52[[#This Row],[2024]] / Table52[[#This Row],[2020]])^(1/4)-1</f>
        <v>-4.4146499080959023E-2</v>
      </c>
      <c r="H14" s="401">
        <f>F14*(1+$G14)</f>
        <v>8069.3152547585441</v>
      </c>
      <c r="I14" s="401">
        <f>Table52[[#This Row],[2025]]*(1+Table52[[#This Row],[CAGR]])</f>
        <v>7713.0832362803776</v>
      </c>
      <c r="J14" s="401">
        <f>Table52[[#This Row],[2026]]*(1+Table52[[#This Row],[CAGR]])</f>
        <v>7372.5776142785653</v>
      </c>
      <c r="K14" s="401">
        <f>Table52[[#This Row],[2027]]*(1+Table52[[#This Row],[CAGR]])</f>
        <v>7047.1041234055174</v>
      </c>
      <c r="L14" s="401">
        <f>Table52[[#This Row],[2028]]*(1+Table52[[#This Row],[CAGR]])</f>
        <v>6735.9991476981731</v>
      </c>
      <c r="M14" s="51"/>
      <c r="N14" s="52"/>
      <c r="O14" s="52"/>
      <c r="P14" s="52"/>
      <c r="Q14" s="52"/>
      <c r="R14" s="52"/>
      <c r="S14" s="52"/>
      <c r="T14" s="52"/>
      <c r="U14" s="52"/>
      <c r="V14" s="52"/>
      <c r="W14" s="52"/>
      <c r="X14" s="52"/>
      <c r="Y14" s="52"/>
      <c r="Z14" s="52"/>
    </row>
    <row r="15" spans="1:26">
      <c r="A15" s="50"/>
      <c r="B15" s="364"/>
      <c r="C15" s="364"/>
      <c r="D15" s="364"/>
      <c r="E15" s="364"/>
      <c r="F15" s="364"/>
      <c r="G15" s="50"/>
      <c r="H15" s="364"/>
      <c r="I15" s="364"/>
      <c r="J15" s="364"/>
      <c r="K15" s="364"/>
      <c r="L15" s="364"/>
      <c r="M15" s="51"/>
      <c r="N15" s="52"/>
      <c r="O15" s="52"/>
      <c r="P15" s="52"/>
      <c r="Q15" s="52"/>
      <c r="R15" s="52"/>
      <c r="S15" s="52"/>
      <c r="T15" s="52"/>
      <c r="U15" s="52"/>
      <c r="V15" s="52"/>
      <c r="W15" s="52"/>
      <c r="X15" s="52"/>
      <c r="Y15" s="52"/>
      <c r="Z15" s="52"/>
    </row>
    <row r="16" spans="1:26">
      <c r="A16" s="27" t="s">
        <v>1593</v>
      </c>
      <c r="B16" s="263"/>
      <c r="C16" s="263"/>
      <c r="D16" s="398"/>
      <c r="E16" s="398"/>
      <c r="F16" s="398"/>
      <c r="G16" s="47"/>
      <c r="H16" s="398"/>
      <c r="I16" s="398"/>
      <c r="J16" s="398"/>
      <c r="K16" s="398"/>
      <c r="L16" s="398"/>
      <c r="M16" s="51"/>
      <c r="N16" s="52"/>
      <c r="O16" s="52"/>
      <c r="P16" s="52"/>
      <c r="Q16" s="52"/>
      <c r="R16" s="52"/>
      <c r="S16" s="52"/>
      <c r="T16" s="52"/>
      <c r="U16" s="52"/>
      <c r="V16" s="52"/>
      <c r="W16" s="52"/>
      <c r="X16" s="52"/>
      <c r="Y16" s="52"/>
      <c r="Z16" s="52"/>
    </row>
    <row r="17" spans="1:26">
      <c r="A17" s="361" t="s">
        <v>451</v>
      </c>
      <c r="B17" s="363" t="s">
        <v>119</v>
      </c>
      <c r="C17" s="363" t="s">
        <v>120</v>
      </c>
      <c r="D17" s="363" t="s">
        <v>121</v>
      </c>
      <c r="E17" s="363" t="s">
        <v>122</v>
      </c>
      <c r="F17" s="363" t="s">
        <v>123</v>
      </c>
      <c r="G17" s="361" t="s">
        <v>1470</v>
      </c>
      <c r="H17" s="363" t="s">
        <v>145</v>
      </c>
      <c r="I17" s="363" t="s">
        <v>146</v>
      </c>
      <c r="J17" s="363" t="s">
        <v>147</v>
      </c>
      <c r="K17" s="363" t="s">
        <v>148</v>
      </c>
      <c r="L17" s="363" t="s">
        <v>149</v>
      </c>
      <c r="M17" s="51"/>
      <c r="N17" s="52"/>
      <c r="O17" s="52"/>
      <c r="P17" s="52"/>
      <c r="Q17" s="52"/>
      <c r="R17" s="52"/>
      <c r="S17" s="52"/>
      <c r="T17" s="52"/>
      <c r="U17" s="52"/>
      <c r="V17" s="52"/>
      <c r="W17" s="52"/>
      <c r="X17" s="52"/>
      <c r="Y17" s="52"/>
      <c r="Z17" s="52"/>
    </row>
    <row r="18" spans="1:26" ht="28">
      <c r="A18" s="324" t="s">
        <v>909</v>
      </c>
      <c r="B18" s="399">
        <f>'Cash Flow'!B25</f>
        <v>7224</v>
      </c>
      <c r="C18" s="399">
        <f>'Cash Flow'!C25</f>
        <v>9463</v>
      </c>
      <c r="D18" s="399">
        <f>'Cash Flow'!D25</f>
        <v>11195</v>
      </c>
      <c r="E18" s="399">
        <f>'Cash Flow'!E25</f>
        <v>11980</v>
      </c>
      <c r="F18" s="399">
        <f>'Cash Flow'!F25</f>
        <v>14780</v>
      </c>
      <c r="G18" s="403">
        <f>(Table53[[#This Row],[2024]] / Table53[[#This Row],[2020]])^(1/4)-1</f>
        <v>0.1959807078657898</v>
      </c>
      <c r="H18" s="401">
        <f>F18*(1+$G18)</f>
        <v>17676.594862256374</v>
      </c>
      <c r="I18" s="401">
        <f>Table53[[#This Row],[2025]]*(1+Table53[[#This Row],[CAGR]])</f>
        <v>21140.866436018161</v>
      </c>
      <c r="J18" s="401">
        <f>Table53[[#This Row],[2026]]*(1+Table53[[#This Row],[CAGR]])</f>
        <v>25284.068405045116</v>
      </c>
      <c r="K18" s="401">
        <f>Table53[[#This Row],[2027]]*(1+Table53[[#This Row],[CAGR]])</f>
        <v>30239.258028792909</v>
      </c>
      <c r="L18" s="401">
        <f>Table53[[#This Row],[2028]]*(1+Table53[[#This Row],[CAGR]])</f>
        <v>36165.569222612008</v>
      </c>
      <c r="M18" s="51"/>
      <c r="N18" s="52"/>
      <c r="O18" s="52"/>
      <c r="P18" s="52"/>
      <c r="Q18" s="52"/>
      <c r="R18" s="52"/>
      <c r="S18" s="52"/>
      <c r="T18" s="52"/>
      <c r="U18" s="52"/>
      <c r="V18" s="52"/>
      <c r="W18" s="52"/>
      <c r="X18" s="52"/>
      <c r="Y18" s="52"/>
      <c r="Z18" s="52"/>
    </row>
    <row r="19" spans="1:26" ht="28">
      <c r="A19" s="324" t="s">
        <v>915</v>
      </c>
      <c r="B19" s="399">
        <f>'Cash Flow'!B39</f>
        <v>-1879</v>
      </c>
      <c r="C19" s="399">
        <f>'Cash Flow'!C39</f>
        <v>-5272</v>
      </c>
      <c r="D19" s="399">
        <f>'Cash Flow'!D39</f>
        <v>-1470</v>
      </c>
      <c r="E19" s="399">
        <f>'Cash Flow'!E39</f>
        <v>-1351</v>
      </c>
      <c r="F19" s="399">
        <f>'Cash Flow'!F39</f>
        <v>-3402</v>
      </c>
      <c r="G19" s="403">
        <f>(Table53[[#This Row],[2024]] / Table53[[#This Row],[2020]])^(1/4)-1</f>
        <v>0.1599836885047663</v>
      </c>
      <c r="H19" s="401">
        <f>AVERAGE(Table53[[#This Row],[2020]:[2024]])</f>
        <v>-2674.8</v>
      </c>
      <c r="I19" s="401">
        <f>AVERAGE(Table53[[#This Row],[2020]:[2024]])</f>
        <v>-2674.8</v>
      </c>
      <c r="J19" s="401">
        <f>AVERAGE(Table53[[#This Row],[2020]:[2024]])</f>
        <v>-2674.8</v>
      </c>
      <c r="K19" s="401">
        <f>AVERAGE(Table53[[#This Row],[2020]:[2024]])</f>
        <v>-2674.8</v>
      </c>
      <c r="L19" s="401">
        <f>AVERAGE(Table53[[#This Row],[2020]:[2024]])</f>
        <v>-2674.8</v>
      </c>
      <c r="M19" s="51"/>
      <c r="N19" s="52"/>
      <c r="O19" s="52"/>
      <c r="P19" s="52"/>
      <c r="Q19" s="52"/>
      <c r="R19" s="52"/>
      <c r="S19" s="52"/>
      <c r="T19" s="52"/>
      <c r="U19" s="52"/>
      <c r="V19" s="52"/>
      <c r="W19" s="52"/>
      <c r="X19" s="52"/>
      <c r="Y19" s="52"/>
      <c r="Z19" s="52"/>
    </row>
    <row r="20" spans="1:26" ht="28">
      <c r="A20" s="324" t="s">
        <v>923</v>
      </c>
      <c r="B20" s="399">
        <f>'Cash Flow'!B55</f>
        <v>-2152</v>
      </c>
      <c r="C20" s="399">
        <f>'Cash Flow'!C55</f>
        <v>-6555</v>
      </c>
      <c r="D20" s="399">
        <f>'Cash Flow'!D55</f>
        <v>-10328</v>
      </c>
      <c r="E20" s="399">
        <f>'Cash Flow'!E55</f>
        <v>-9488</v>
      </c>
      <c r="F20" s="399">
        <f>'Cash Flow'!F55</f>
        <v>-10836</v>
      </c>
      <c r="G20" s="403">
        <f>(Table53[[#This Row],[2024]] / Table53[[#This Row],[2020]])^(1/4)-1</f>
        <v>0.49798230181247716</v>
      </c>
      <c r="H20" s="401">
        <f>AVERAGE(Table53[[#This Row],[2020]:[2024]])</f>
        <v>-7871.8</v>
      </c>
      <c r="I20" s="401">
        <f>AVERAGE(Table53[[#This Row],[2020]:[2024]])</f>
        <v>-7871.8</v>
      </c>
      <c r="J20" s="401">
        <f>AVERAGE(Table53[[#This Row],[2020]:[2024]])</f>
        <v>-7871.8</v>
      </c>
      <c r="K20" s="401">
        <f>AVERAGE(Table53[[#This Row],[2020]:[2024]])</f>
        <v>-7871.8</v>
      </c>
      <c r="L20" s="401">
        <f>AVERAGE(Table53[[#This Row],[2020]:[2024]])</f>
        <v>-7871.8</v>
      </c>
      <c r="M20" s="51"/>
      <c r="N20" s="52"/>
      <c r="O20" s="52"/>
      <c r="P20" s="52"/>
      <c r="Q20" s="52"/>
      <c r="R20" s="52"/>
      <c r="S20" s="52"/>
      <c r="T20" s="52"/>
      <c r="U20" s="52"/>
      <c r="V20" s="52"/>
      <c r="W20" s="52"/>
      <c r="X20" s="52"/>
      <c r="Y20" s="52"/>
      <c r="Z20" s="52"/>
    </row>
    <row r="21" spans="1:26" ht="28">
      <c r="A21" s="324" t="s">
        <v>1160</v>
      </c>
      <c r="B21" s="399">
        <f>'Cash Flow'!B61</f>
        <v>7563</v>
      </c>
      <c r="C21" s="399">
        <f>'Cash Flow'!C61</f>
        <v>9870</v>
      </c>
      <c r="D21" s="399">
        <f>'Cash Flow'!D61</f>
        <v>11637</v>
      </c>
      <c r="E21" s="399">
        <f>'Cash Flow'!E61</f>
        <v>12351</v>
      </c>
      <c r="F21" s="399">
        <f>'Cash Flow'!F61</f>
        <v>15254</v>
      </c>
      <c r="G21" s="403">
        <f>(Table53[[#This Row],[2024]] / Table53[[#This Row],[2020]])^(1/4)-1</f>
        <v>0.19171501265735968</v>
      </c>
      <c r="H21" s="401">
        <f>F21*(1+$G21)</f>
        <v>18178.420803075365</v>
      </c>
      <c r="I21" s="401">
        <f>Table53[[#This Row],[2025]]*(1+Table53[[#This Row],[CAGR]])</f>
        <v>21663.496977427771</v>
      </c>
      <c r="J21" s="401">
        <f>Table53[[#This Row],[2026]]*(1+Table53[[#This Row],[CAGR]])</f>
        <v>25816.71457465801</v>
      </c>
      <c r="K21" s="401">
        <f>Table53[[#This Row],[2027]]*(1+Table53[[#This Row],[CAGR]])</f>
        <v>30766.166336110011</v>
      </c>
      <c r="L21" s="401">
        <f>Table53[[#This Row],[2028]]*(1+Table53[[#This Row],[CAGR]])</f>
        <v>36664.502304655776</v>
      </c>
      <c r="M21" s="51"/>
      <c r="N21" s="52"/>
      <c r="O21" s="52"/>
      <c r="P21" s="52"/>
      <c r="Q21" s="52"/>
      <c r="R21" s="52"/>
      <c r="S21" s="52"/>
      <c r="T21" s="52"/>
      <c r="U21" s="52"/>
      <c r="V21" s="52"/>
      <c r="W21" s="52"/>
      <c r="X21" s="52"/>
      <c r="Y21" s="52"/>
      <c r="Z21" s="52"/>
    </row>
    <row r="22" spans="1:26">
      <c r="A22" s="50"/>
      <c r="B22" s="50"/>
      <c r="C22" s="50"/>
      <c r="D22" s="50"/>
      <c r="E22" s="50"/>
      <c r="F22" s="50"/>
      <c r="G22" s="50"/>
      <c r="H22" s="50"/>
      <c r="I22" s="50"/>
      <c r="J22" s="50"/>
      <c r="K22" s="50"/>
      <c r="L22" s="50"/>
      <c r="M22" s="51"/>
      <c r="N22" s="52"/>
      <c r="O22" s="52"/>
      <c r="P22" s="52"/>
      <c r="Q22" s="52"/>
      <c r="R22" s="52"/>
      <c r="S22" s="52"/>
      <c r="T22" s="52"/>
      <c r="U22" s="52"/>
      <c r="V22" s="52"/>
      <c r="W22" s="52"/>
      <c r="X22" s="52"/>
      <c r="Y22" s="52"/>
      <c r="Z22" s="52"/>
    </row>
    <row r="23" spans="1:26">
      <c r="A23" s="63" t="s">
        <v>1825</v>
      </c>
      <c r="B23" s="63"/>
      <c r="C23" s="63"/>
      <c r="D23" s="63"/>
      <c r="E23" s="63"/>
      <c r="F23" s="63"/>
      <c r="G23" s="63"/>
      <c r="H23" s="63"/>
      <c r="I23" s="63"/>
      <c r="J23" s="63"/>
      <c r="K23" s="63"/>
      <c r="L23" s="63"/>
      <c r="M23" s="392"/>
      <c r="N23" s="390"/>
      <c r="O23" s="52"/>
      <c r="P23" s="52"/>
      <c r="Q23" s="52"/>
      <c r="R23" s="52"/>
      <c r="S23" s="52"/>
      <c r="T23" s="52"/>
      <c r="U23" s="52"/>
      <c r="V23" s="52"/>
      <c r="W23" s="52"/>
      <c r="X23" s="52"/>
      <c r="Y23" s="52"/>
      <c r="Z23" s="52"/>
    </row>
    <row r="24" spans="1:26">
      <c r="A24" s="50"/>
      <c r="B24" s="50"/>
      <c r="C24" s="50"/>
      <c r="D24" s="50"/>
      <c r="E24" s="50"/>
      <c r="F24" s="50"/>
      <c r="G24" s="50"/>
      <c r="H24" s="50"/>
      <c r="I24" s="50"/>
      <c r="J24" s="50"/>
      <c r="K24" s="50"/>
      <c r="L24" s="50"/>
      <c r="M24" s="51"/>
      <c r="N24" s="52"/>
      <c r="O24" s="52"/>
      <c r="P24" s="52"/>
      <c r="Q24" s="52"/>
      <c r="R24" s="52"/>
      <c r="S24" s="52"/>
      <c r="T24" s="52"/>
      <c r="U24" s="52"/>
      <c r="V24" s="52"/>
      <c r="W24" s="52"/>
      <c r="X24" s="52"/>
      <c r="Y24" s="52"/>
      <c r="Z24" s="52"/>
    </row>
    <row r="25" spans="1:26">
      <c r="A25" s="50"/>
      <c r="B25" s="50"/>
      <c r="C25" s="50"/>
      <c r="D25" s="50"/>
      <c r="E25" s="50"/>
      <c r="F25" s="50"/>
      <c r="G25" s="50"/>
      <c r="H25" s="50"/>
      <c r="I25" s="50"/>
      <c r="J25" s="50"/>
      <c r="K25" s="50"/>
      <c r="L25" s="50"/>
      <c r="M25" s="51"/>
      <c r="N25" s="52"/>
      <c r="O25" s="52"/>
      <c r="P25" s="52"/>
      <c r="Q25" s="52"/>
      <c r="R25" s="52"/>
      <c r="S25" s="52"/>
      <c r="T25" s="52"/>
      <c r="U25" s="52"/>
      <c r="V25" s="52"/>
      <c r="W25" s="52"/>
      <c r="X25" s="52"/>
      <c r="Y25" s="52"/>
      <c r="Z25" s="52"/>
    </row>
    <row r="26" spans="1:26">
      <c r="A26" s="50"/>
      <c r="B26" s="50"/>
      <c r="C26" s="50"/>
      <c r="D26" s="50"/>
      <c r="E26" s="50"/>
      <c r="F26" s="50"/>
      <c r="G26" s="50"/>
      <c r="H26" s="50"/>
      <c r="I26" s="50"/>
      <c r="J26" s="50"/>
      <c r="K26" s="50"/>
      <c r="L26" s="50"/>
      <c r="M26" s="51"/>
      <c r="N26" s="52"/>
      <c r="O26" s="52"/>
      <c r="P26" s="52"/>
      <c r="Q26" s="52"/>
      <c r="R26" s="52"/>
      <c r="S26" s="52"/>
      <c r="T26" s="52"/>
      <c r="U26" s="52"/>
      <c r="V26" s="52"/>
      <c r="W26" s="52"/>
      <c r="X26" s="52"/>
      <c r="Y26" s="52"/>
      <c r="Z26" s="52"/>
    </row>
    <row r="27" spans="1:26">
      <c r="A27" s="50"/>
      <c r="B27" s="50"/>
      <c r="C27" s="50"/>
      <c r="D27" s="50"/>
      <c r="E27" s="50"/>
      <c r="F27" s="50"/>
      <c r="G27" s="50"/>
      <c r="H27" s="50"/>
      <c r="I27" s="50"/>
      <c r="J27" s="50"/>
      <c r="K27" s="50"/>
      <c r="L27" s="50"/>
      <c r="M27" s="51"/>
      <c r="N27" s="52"/>
      <c r="O27" s="52"/>
      <c r="P27" s="52"/>
      <c r="Q27" s="52"/>
      <c r="R27" s="52"/>
      <c r="S27" s="52"/>
      <c r="T27" s="52"/>
      <c r="U27" s="52"/>
      <c r="V27" s="52"/>
      <c r="W27" s="52"/>
      <c r="X27" s="52"/>
      <c r="Y27" s="52"/>
      <c r="Z27" s="52"/>
    </row>
    <row r="28" spans="1:26">
      <c r="A28" s="50"/>
      <c r="B28" s="50"/>
      <c r="C28" s="50"/>
      <c r="D28" s="50"/>
      <c r="E28" s="50"/>
      <c r="F28" s="50"/>
      <c r="G28" s="50"/>
      <c r="H28" s="50"/>
      <c r="I28" s="50"/>
      <c r="J28" s="50"/>
      <c r="K28" s="50"/>
      <c r="L28" s="50"/>
      <c r="M28" s="51"/>
      <c r="N28" s="52"/>
      <c r="O28" s="52"/>
      <c r="P28" s="52"/>
      <c r="Q28" s="52"/>
      <c r="R28" s="52"/>
      <c r="S28" s="52"/>
      <c r="T28" s="52"/>
      <c r="U28" s="52"/>
      <c r="V28" s="52"/>
      <c r="W28" s="52"/>
      <c r="X28" s="52"/>
      <c r="Y28" s="52"/>
      <c r="Z28" s="52"/>
    </row>
    <row r="29" spans="1:26">
      <c r="A29" s="50"/>
      <c r="B29" s="50"/>
      <c r="C29" s="50"/>
      <c r="D29" s="50"/>
      <c r="E29" s="50"/>
      <c r="F29" s="50"/>
      <c r="G29" s="50"/>
      <c r="H29" s="50"/>
      <c r="I29" s="50"/>
      <c r="J29" s="50"/>
      <c r="K29" s="50"/>
      <c r="L29" s="50"/>
      <c r="M29" s="51"/>
      <c r="N29" s="52"/>
      <c r="O29" s="52"/>
      <c r="P29" s="52"/>
      <c r="Q29" s="52"/>
      <c r="R29" s="52"/>
      <c r="S29" s="52"/>
      <c r="T29" s="52"/>
      <c r="U29" s="52"/>
      <c r="V29" s="52"/>
      <c r="W29" s="52"/>
      <c r="X29" s="52"/>
      <c r="Y29" s="52"/>
      <c r="Z29" s="52"/>
    </row>
    <row r="30" spans="1:26">
      <c r="A30" s="50"/>
      <c r="B30" s="50"/>
      <c r="C30" s="50"/>
      <c r="D30" s="50"/>
      <c r="E30" s="50"/>
      <c r="F30" s="50"/>
      <c r="G30" s="50"/>
      <c r="H30" s="50"/>
      <c r="I30" s="50"/>
      <c r="J30" s="50"/>
      <c r="K30" s="50"/>
      <c r="L30" s="50"/>
      <c r="M30" s="51"/>
      <c r="N30" s="52"/>
      <c r="O30" s="52"/>
      <c r="P30" s="52"/>
      <c r="Q30" s="52"/>
      <c r="R30" s="52"/>
      <c r="S30" s="52"/>
      <c r="T30" s="52"/>
      <c r="U30" s="52"/>
      <c r="V30" s="52"/>
      <c r="W30" s="52"/>
      <c r="X30" s="52"/>
      <c r="Y30" s="52"/>
      <c r="Z30" s="52"/>
    </row>
    <row r="31" spans="1:26">
      <c r="A31" s="50"/>
      <c r="B31" s="50"/>
      <c r="C31" s="50"/>
      <c r="D31" s="50"/>
      <c r="E31" s="50"/>
      <c r="F31" s="50"/>
      <c r="G31" s="50"/>
      <c r="H31" s="50"/>
      <c r="I31" s="50"/>
      <c r="J31" s="50"/>
      <c r="K31" s="50"/>
      <c r="L31" s="50"/>
      <c r="M31" s="51"/>
      <c r="N31" s="52"/>
      <c r="O31" s="52"/>
      <c r="P31" s="52"/>
      <c r="Q31" s="52"/>
      <c r="R31" s="52"/>
      <c r="S31" s="52"/>
      <c r="T31" s="52"/>
      <c r="U31" s="52"/>
      <c r="V31" s="52"/>
      <c r="W31" s="52"/>
      <c r="X31" s="52"/>
      <c r="Y31" s="52"/>
      <c r="Z31" s="52"/>
    </row>
    <row r="32" spans="1:26">
      <c r="A32" s="50"/>
      <c r="B32" s="50"/>
      <c r="C32" s="50"/>
      <c r="D32" s="50"/>
      <c r="E32" s="50"/>
      <c r="F32" s="50"/>
      <c r="G32" s="50"/>
      <c r="H32" s="50"/>
      <c r="I32" s="50"/>
      <c r="J32" s="50"/>
      <c r="K32" s="50"/>
      <c r="L32" s="50"/>
      <c r="M32" s="51"/>
      <c r="N32" s="52"/>
      <c r="O32" s="52"/>
      <c r="P32" s="52"/>
      <c r="Q32" s="52"/>
      <c r="R32" s="52"/>
      <c r="S32" s="52"/>
      <c r="T32" s="52"/>
      <c r="U32" s="52"/>
      <c r="V32" s="52"/>
      <c r="W32" s="52"/>
      <c r="X32" s="52"/>
      <c r="Y32" s="52"/>
      <c r="Z32" s="52"/>
    </row>
    <row r="33" spans="1:26">
      <c r="A33" s="50"/>
      <c r="B33" s="50"/>
      <c r="C33" s="50"/>
      <c r="D33" s="50"/>
      <c r="E33" s="50"/>
      <c r="F33" s="50"/>
      <c r="G33" s="50"/>
      <c r="H33" s="50"/>
      <c r="I33" s="50"/>
      <c r="J33" s="50"/>
      <c r="K33" s="50"/>
      <c r="L33" s="50"/>
      <c r="M33" s="51"/>
      <c r="N33" s="52"/>
      <c r="O33" s="52"/>
      <c r="P33" s="52"/>
      <c r="Q33" s="52"/>
      <c r="R33" s="52"/>
      <c r="S33" s="52"/>
      <c r="T33" s="52"/>
      <c r="U33" s="52"/>
      <c r="V33" s="52"/>
      <c r="W33" s="52"/>
      <c r="X33" s="52"/>
      <c r="Y33" s="52"/>
      <c r="Z33" s="52"/>
    </row>
    <row r="34" spans="1:26">
      <c r="A34" s="50"/>
      <c r="B34" s="50"/>
      <c r="C34" s="50"/>
      <c r="D34" s="50"/>
      <c r="E34" s="50"/>
      <c r="F34" s="50"/>
      <c r="G34" s="50"/>
      <c r="H34" s="50"/>
      <c r="I34" s="50"/>
      <c r="J34" s="50"/>
      <c r="K34" s="50"/>
      <c r="L34" s="50"/>
      <c r="M34" s="51"/>
      <c r="N34" s="52"/>
      <c r="O34" s="52"/>
      <c r="P34" s="52"/>
      <c r="Q34" s="52"/>
      <c r="R34" s="52"/>
      <c r="S34" s="52"/>
      <c r="T34" s="52"/>
      <c r="U34" s="52"/>
      <c r="V34" s="52"/>
      <c r="W34" s="52"/>
      <c r="X34" s="52"/>
      <c r="Y34" s="52"/>
      <c r="Z34" s="52"/>
    </row>
    <row r="35" spans="1:26">
      <c r="A35" s="50"/>
      <c r="B35" s="50"/>
      <c r="C35" s="50"/>
      <c r="D35" s="50"/>
      <c r="E35" s="50"/>
      <c r="F35" s="50"/>
      <c r="G35" s="50"/>
      <c r="H35" s="50"/>
      <c r="I35" s="50"/>
      <c r="J35" s="50"/>
      <c r="K35" s="50"/>
      <c r="L35" s="50"/>
      <c r="M35" s="51"/>
      <c r="N35" s="52"/>
      <c r="O35" s="52"/>
      <c r="P35" s="52"/>
      <c r="Q35" s="52"/>
      <c r="R35" s="52"/>
      <c r="S35" s="52"/>
      <c r="T35" s="52"/>
      <c r="U35" s="52"/>
      <c r="V35" s="52"/>
      <c r="W35" s="52"/>
      <c r="X35" s="52"/>
      <c r="Y35" s="52"/>
      <c r="Z35" s="52"/>
    </row>
    <row r="36" spans="1:26">
      <c r="A36" s="50"/>
      <c r="B36" s="50"/>
      <c r="C36" s="50"/>
      <c r="D36" s="50"/>
      <c r="E36" s="50"/>
      <c r="F36" s="50"/>
      <c r="G36" s="50"/>
      <c r="H36" s="50"/>
      <c r="I36" s="50"/>
      <c r="J36" s="50"/>
      <c r="K36" s="50"/>
      <c r="L36" s="50"/>
      <c r="M36" s="51"/>
      <c r="N36" s="52"/>
      <c r="O36" s="52"/>
      <c r="P36" s="52"/>
      <c r="Q36" s="52"/>
      <c r="R36" s="52"/>
      <c r="S36" s="52"/>
      <c r="T36" s="52"/>
      <c r="U36" s="52"/>
      <c r="V36" s="52"/>
      <c r="W36" s="52"/>
      <c r="X36" s="52"/>
      <c r="Y36" s="52"/>
      <c r="Z36" s="52"/>
    </row>
    <row r="37" spans="1:26">
      <c r="A37" s="50"/>
      <c r="B37" s="50"/>
      <c r="C37" s="50"/>
      <c r="D37" s="50"/>
      <c r="E37" s="50"/>
      <c r="F37" s="50"/>
      <c r="G37" s="50"/>
      <c r="H37" s="50"/>
      <c r="I37" s="50"/>
      <c r="J37" s="50"/>
      <c r="K37" s="50"/>
      <c r="L37" s="50"/>
      <c r="M37" s="51"/>
      <c r="N37" s="52"/>
      <c r="O37" s="52"/>
      <c r="P37" s="52"/>
      <c r="Q37" s="52"/>
      <c r="R37" s="52"/>
      <c r="S37" s="52"/>
      <c r="T37" s="52"/>
      <c r="U37" s="52"/>
      <c r="V37" s="52"/>
      <c r="W37" s="52"/>
      <c r="X37" s="52"/>
      <c r="Y37" s="52"/>
      <c r="Z37" s="52"/>
    </row>
    <row r="38" spans="1:26">
      <c r="A38" s="50"/>
      <c r="B38" s="50"/>
      <c r="C38" s="50"/>
      <c r="D38" s="50"/>
      <c r="E38" s="50"/>
      <c r="F38" s="50"/>
      <c r="G38" s="50"/>
      <c r="H38" s="50"/>
      <c r="I38" s="50"/>
      <c r="J38" s="50"/>
      <c r="K38" s="50"/>
      <c r="L38" s="50"/>
      <c r="M38" s="51"/>
      <c r="N38" s="52"/>
      <c r="O38" s="52"/>
      <c r="P38" s="52"/>
      <c r="Q38" s="52"/>
      <c r="R38" s="52"/>
      <c r="S38" s="52"/>
      <c r="T38" s="52"/>
      <c r="U38" s="52"/>
      <c r="V38" s="52"/>
      <c r="W38" s="52"/>
      <c r="X38" s="52"/>
      <c r="Y38" s="52"/>
      <c r="Z38" s="52"/>
    </row>
    <row r="39" spans="1:26">
      <c r="A39" s="50"/>
      <c r="B39" s="50"/>
      <c r="C39" s="50"/>
      <c r="D39" s="50"/>
      <c r="E39" s="50"/>
      <c r="F39" s="50"/>
      <c r="G39" s="50"/>
      <c r="H39" s="50"/>
      <c r="I39" s="50"/>
      <c r="J39" s="50"/>
      <c r="K39" s="50"/>
      <c r="L39" s="50"/>
      <c r="M39" s="51"/>
      <c r="N39" s="52"/>
      <c r="O39" s="52"/>
      <c r="P39" s="52"/>
      <c r="Q39" s="52"/>
      <c r="R39" s="52"/>
      <c r="S39" s="52"/>
      <c r="T39" s="52"/>
      <c r="U39" s="52"/>
      <c r="V39" s="52"/>
      <c r="W39" s="52"/>
      <c r="X39" s="52"/>
      <c r="Y39" s="52"/>
      <c r="Z39" s="52"/>
    </row>
    <row r="40" spans="1:26">
      <c r="A40" s="50"/>
      <c r="B40" s="50"/>
      <c r="C40" s="50"/>
      <c r="D40" s="50"/>
      <c r="E40" s="50"/>
      <c r="F40" s="50"/>
      <c r="G40" s="50"/>
      <c r="H40" s="50"/>
      <c r="I40" s="50"/>
      <c r="J40" s="50"/>
      <c r="K40" s="50"/>
      <c r="L40" s="50"/>
      <c r="M40" s="51"/>
      <c r="N40" s="52"/>
      <c r="O40" s="52"/>
      <c r="P40" s="52"/>
      <c r="Q40" s="52"/>
      <c r="R40" s="52"/>
      <c r="S40" s="52"/>
      <c r="T40" s="52"/>
      <c r="U40" s="52"/>
      <c r="V40" s="52"/>
      <c r="W40" s="52"/>
      <c r="X40" s="52"/>
      <c r="Y40" s="52"/>
      <c r="Z40" s="52"/>
    </row>
    <row r="41" spans="1:26">
      <c r="A41" s="50"/>
      <c r="B41" s="50"/>
      <c r="C41" s="50"/>
      <c r="D41" s="50"/>
      <c r="E41" s="50"/>
      <c r="F41" s="50"/>
      <c r="G41" s="50"/>
      <c r="H41" s="50"/>
      <c r="I41" s="50"/>
      <c r="J41" s="50"/>
      <c r="K41" s="50"/>
      <c r="L41" s="50"/>
      <c r="M41" s="51"/>
      <c r="N41" s="52"/>
      <c r="O41" s="52"/>
      <c r="P41" s="52"/>
      <c r="Q41" s="52"/>
      <c r="R41" s="52"/>
      <c r="S41" s="52"/>
      <c r="T41" s="52"/>
      <c r="U41" s="52"/>
      <c r="V41" s="52"/>
      <c r="W41" s="52"/>
      <c r="X41" s="52"/>
      <c r="Y41" s="52"/>
      <c r="Z41" s="52"/>
    </row>
    <row r="42" spans="1:26">
      <c r="A42" s="50"/>
      <c r="B42" s="50"/>
      <c r="C42" s="50"/>
      <c r="D42" s="50"/>
      <c r="E42" s="50"/>
      <c r="F42" s="50"/>
      <c r="G42" s="50"/>
      <c r="H42" s="50"/>
      <c r="I42" s="50"/>
      <c r="J42" s="50"/>
      <c r="K42" s="50"/>
      <c r="L42" s="50"/>
      <c r="M42" s="51"/>
      <c r="N42" s="52"/>
      <c r="O42" s="52"/>
      <c r="P42" s="52"/>
      <c r="Q42" s="52"/>
      <c r="R42" s="52"/>
      <c r="S42" s="52"/>
      <c r="T42" s="52"/>
      <c r="U42" s="52"/>
      <c r="V42" s="52"/>
      <c r="W42" s="52"/>
      <c r="X42" s="52"/>
      <c r="Y42" s="52"/>
      <c r="Z42" s="52"/>
    </row>
    <row r="43" spans="1:26">
      <c r="A43" s="50"/>
      <c r="B43" s="50"/>
      <c r="C43" s="50"/>
      <c r="D43" s="50"/>
      <c r="E43" s="50"/>
      <c r="F43" s="50"/>
      <c r="G43" s="50"/>
      <c r="H43" s="50"/>
      <c r="I43" s="50"/>
      <c r="J43" s="50"/>
      <c r="K43" s="50"/>
      <c r="L43" s="50"/>
      <c r="M43" s="51"/>
      <c r="N43" s="52"/>
      <c r="O43" s="52"/>
      <c r="P43" s="52"/>
      <c r="Q43" s="52"/>
      <c r="R43" s="52"/>
      <c r="S43" s="52"/>
      <c r="T43" s="52"/>
      <c r="U43" s="52"/>
      <c r="V43" s="52"/>
      <c r="W43" s="52"/>
      <c r="X43" s="52"/>
      <c r="Y43" s="52"/>
      <c r="Z43" s="52"/>
    </row>
    <row r="44" spans="1:26">
      <c r="A44" s="57"/>
      <c r="B44" s="57"/>
      <c r="C44" s="57"/>
      <c r="D44" s="57"/>
      <c r="E44" s="57"/>
      <c r="F44" s="57"/>
      <c r="G44" s="57"/>
      <c r="H44" s="57"/>
      <c r="I44" s="57"/>
      <c r="J44" s="57"/>
      <c r="K44" s="57"/>
      <c r="L44" s="57"/>
      <c r="M44" s="52"/>
      <c r="N44" s="52"/>
      <c r="O44" s="52"/>
      <c r="P44" s="52"/>
      <c r="Q44" s="52"/>
      <c r="R44" s="52"/>
      <c r="S44" s="52"/>
      <c r="T44" s="52"/>
      <c r="U44" s="52"/>
      <c r="V44" s="52"/>
      <c r="W44" s="52"/>
      <c r="X44" s="52"/>
      <c r="Y44" s="52"/>
      <c r="Z44" s="52"/>
    </row>
    <row r="45" spans="1:26">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sheetData>
  <pageMargins left="0.7" right="0.7" top="0.75" bottom="0.75" header="0.3" footer="0.3"/>
  <ignoredErrors>
    <ignoredError sqref="E7" calculatedColumn="1"/>
  </ignoredErrors>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D089-2D71-4731-96A5-07128D5BA3F8}">
  <dimension ref="A1:Z93"/>
  <sheetViews>
    <sheetView zoomScale="90" zoomScaleNormal="90" workbookViewId="0"/>
  </sheetViews>
  <sheetFormatPr defaultRowHeight="14"/>
  <cols>
    <col min="1" max="1" width="52.58203125" customWidth="1"/>
    <col min="2" max="2" width="19.83203125" customWidth="1"/>
    <col min="3" max="3" width="13.83203125" customWidth="1"/>
    <col min="4" max="5" width="17.83203125" bestFit="1" customWidth="1"/>
    <col min="6" max="6" width="19.83203125" customWidth="1"/>
    <col min="7" max="7" width="15.75" customWidth="1"/>
    <col min="9" max="9" width="11.25" customWidth="1"/>
    <col min="11" max="11" width="9.75" customWidth="1"/>
    <col min="12" max="12" width="10.1640625" customWidth="1"/>
  </cols>
  <sheetData>
    <row r="1" spans="1:26">
      <c r="A1" s="27" t="s">
        <v>1453</v>
      </c>
      <c r="B1" s="261"/>
      <c r="C1" s="261"/>
      <c r="D1" s="261"/>
      <c r="E1" s="261"/>
      <c r="F1" s="261"/>
      <c r="G1" s="261"/>
      <c r="H1" s="201"/>
      <c r="I1" s="27" t="s">
        <v>1468</v>
      </c>
      <c r="J1" s="27"/>
      <c r="K1" s="27"/>
      <c r="L1" s="201"/>
      <c r="M1" s="201"/>
      <c r="N1" s="201"/>
      <c r="O1" s="201"/>
      <c r="P1" s="201"/>
      <c r="Q1" s="201"/>
      <c r="R1" s="201"/>
      <c r="S1" s="201"/>
      <c r="T1" s="201"/>
      <c r="U1" s="201"/>
      <c r="V1" s="52"/>
      <c r="W1" s="52"/>
      <c r="X1" s="52"/>
      <c r="Y1" s="52"/>
      <c r="Z1" s="52"/>
    </row>
    <row r="2" spans="1:26">
      <c r="A2" s="27" t="s">
        <v>491</v>
      </c>
      <c r="B2" s="259">
        <v>2024</v>
      </c>
      <c r="C2" s="259" t="s">
        <v>124</v>
      </c>
      <c r="D2" s="259" t="s">
        <v>125</v>
      </c>
      <c r="E2" s="259" t="s">
        <v>126</v>
      </c>
      <c r="F2" s="259" t="s">
        <v>127</v>
      </c>
      <c r="G2" s="259" t="s">
        <v>128</v>
      </c>
      <c r="H2" s="201"/>
      <c r="I2" s="27" t="s">
        <v>1469</v>
      </c>
      <c r="J2" s="27">
        <v>2024</v>
      </c>
      <c r="K2" s="27">
        <v>2029</v>
      </c>
      <c r="L2" s="258" t="s">
        <v>1470</v>
      </c>
      <c r="M2" s="201"/>
      <c r="N2" s="201"/>
      <c r="O2" s="201"/>
      <c r="P2" s="201"/>
      <c r="Q2" s="201"/>
      <c r="R2" s="201"/>
      <c r="S2" s="201"/>
      <c r="T2" s="201"/>
      <c r="U2" s="201"/>
      <c r="V2" s="52"/>
      <c r="W2" s="52"/>
      <c r="X2" s="52"/>
      <c r="Y2" s="52"/>
      <c r="Z2" s="52"/>
    </row>
    <row r="3" spans="1:26">
      <c r="A3" s="320" t="s">
        <v>330</v>
      </c>
      <c r="B3" s="256">
        <f>'Profit Loss'!F20/Balance_Sheet!F40</f>
        <v>1.9760552570990022</v>
      </c>
      <c r="C3" s="256">
        <f>'Profit Loss'!G20/Balance_Sheet!G40</f>
        <v>1.4481093052962626</v>
      </c>
      <c r="D3" s="256">
        <f>'Profit Loss'!H20/Balance_Sheet!H40</f>
        <v>1.3672673436883351</v>
      </c>
      <c r="E3" s="256">
        <f>'Profit Loss'!I20/Balance_Sheet!I40</f>
        <v>1.3114309453185207</v>
      </c>
      <c r="F3" s="256">
        <f>'Profit Loss'!J20/Balance_Sheet!J40</f>
        <v>1.2688680864345772</v>
      </c>
      <c r="G3" s="256">
        <f>'Profit Loss'!K20/Balance_Sheet!K40</f>
        <v>1.2358409936200008</v>
      </c>
      <c r="H3" s="201"/>
      <c r="I3" s="320" t="s">
        <v>492</v>
      </c>
      <c r="J3" s="27">
        <f>'Profit Loss'!F4</f>
        <v>28167</v>
      </c>
      <c r="K3" s="262">
        <f>'Profit Loss'!K4</f>
        <v>48749.565199104014</v>
      </c>
      <c r="L3" s="256">
        <f>(K3/J3)^(1/4)-1</f>
        <v>0.14698447141060211</v>
      </c>
      <c r="M3" s="201"/>
      <c r="N3" s="201"/>
      <c r="O3" s="201"/>
      <c r="P3" s="201"/>
      <c r="Q3" s="201"/>
      <c r="R3" s="201"/>
      <c r="S3" s="201"/>
      <c r="T3" s="201"/>
      <c r="U3" s="201"/>
      <c r="V3" s="52"/>
      <c r="W3" s="52"/>
      <c r="X3" s="52"/>
      <c r="Y3" s="52"/>
      <c r="Z3" s="52"/>
    </row>
    <row r="4" spans="1:26">
      <c r="A4" s="320" t="s">
        <v>958</v>
      </c>
      <c r="B4" s="256">
        <f>'Profit Loss'!F20/Balance_Sheet!F17</f>
        <v>0.26775649424928766</v>
      </c>
      <c r="C4" s="256">
        <f>'Profit Loss'!G20/Balance_Sheet!G17</f>
        <v>0.27509523032797595</v>
      </c>
      <c r="D4" s="256">
        <f>'Profit Loss'!H20/Balance_Sheet!H17</f>
        <v>0.29386809486803755</v>
      </c>
      <c r="E4" s="256">
        <f>'Profit Loss'!I20/Balance_Sheet!I17</f>
        <v>0.30930306598649615</v>
      </c>
      <c r="F4" s="256">
        <f>'Profit Loss'!J20/Balance_Sheet!J17</f>
        <v>0.32326605272632369</v>
      </c>
      <c r="G4" s="256">
        <f>'Profit Loss'!K20/Balance_Sheet!K17</f>
        <v>0.33586270549427272</v>
      </c>
      <c r="H4" s="201"/>
      <c r="I4" s="320" t="s">
        <v>139</v>
      </c>
      <c r="J4" s="27">
        <f>'Profit Loss'!F25</f>
        <v>16479</v>
      </c>
      <c r="K4" s="262">
        <f>'Profit Loss'!K25</f>
        <v>29298.488684661512</v>
      </c>
      <c r="L4" s="256">
        <f>(K4/J4)^(1/4)-1</f>
        <v>0.15472506044692791</v>
      </c>
      <c r="M4" s="201"/>
      <c r="N4" s="201"/>
      <c r="O4" s="201"/>
      <c r="P4" s="201"/>
      <c r="Q4" s="201"/>
      <c r="R4" s="201"/>
      <c r="S4" s="201"/>
      <c r="T4" s="201"/>
      <c r="U4" s="201"/>
      <c r="V4" s="52"/>
      <c r="W4" s="52"/>
      <c r="X4" s="52"/>
      <c r="Y4" s="52"/>
      <c r="Z4" s="52"/>
    </row>
    <row r="5" spans="1:26">
      <c r="A5" s="320" t="s">
        <v>1185</v>
      </c>
      <c r="B5" s="27">
        <f>'Cash Flow'!F61</f>
        <v>15254</v>
      </c>
      <c r="C5" s="262">
        <f>'Cash Flow'!G61</f>
        <v>18784.948275775998</v>
      </c>
      <c r="D5" s="262">
        <f>'Cash Flow'!H61</f>
        <v>19435.741645375994</v>
      </c>
      <c r="E5" s="262">
        <f>'Cash Flow'!I61</f>
        <v>21798.440108364801</v>
      </c>
      <c r="F5" s="262">
        <f>'Cash Flow'!J61</f>
        <v>24283.100438018817</v>
      </c>
      <c r="G5" s="27">
        <f>'Cash Flow'!K61</f>
        <v>26858.748557578921</v>
      </c>
      <c r="H5" s="201"/>
      <c r="I5" s="320" t="s">
        <v>278</v>
      </c>
      <c r="J5" s="27">
        <f>'Profit Loss'!F23</f>
        <v>13.89</v>
      </c>
      <c r="K5" s="263">
        <f>'Profit Loss'!K23</f>
        <v>28.266473080776525</v>
      </c>
      <c r="L5" s="256">
        <f>(K5/J5)^(1/4)-1</f>
        <v>0.19437951018738708</v>
      </c>
      <c r="M5" s="201"/>
      <c r="N5" s="201"/>
      <c r="O5" s="201"/>
      <c r="P5" s="201"/>
      <c r="Q5" s="201"/>
      <c r="R5" s="201"/>
      <c r="S5" s="201"/>
      <c r="T5" s="201"/>
      <c r="U5" s="201"/>
      <c r="V5" s="52"/>
      <c r="W5" s="52"/>
      <c r="X5" s="52"/>
      <c r="Y5" s="52"/>
      <c r="Z5" s="52"/>
    </row>
    <row r="6" spans="1:26">
      <c r="A6" s="320" t="s">
        <v>200</v>
      </c>
      <c r="B6" s="27">
        <f>'Profit Loss'!F11</f>
        <v>15582</v>
      </c>
      <c r="C6" s="27">
        <f>'Profit Loss'!G11</f>
        <v>17350.872000000003</v>
      </c>
      <c r="D6" s="27">
        <f>'Profit Loss'!H11</f>
        <v>19962.966912</v>
      </c>
      <c r="E6" s="27">
        <f>'Profit Loss'!I11</f>
        <v>22558.152610560002</v>
      </c>
      <c r="F6" s="27">
        <f>'Profit Loss'!J11</f>
        <v>25261.138330444806</v>
      </c>
      <c r="G6" s="27">
        <f>'Profit Loss'!K11</f>
        <v>28030.999989484808</v>
      </c>
      <c r="H6" s="201"/>
      <c r="I6" s="320" t="s">
        <v>1185</v>
      </c>
      <c r="J6" s="257">
        <f>'Cash Flow'!F61</f>
        <v>15254</v>
      </c>
      <c r="K6" s="27">
        <f>G5</f>
        <v>26858.748557578921</v>
      </c>
      <c r="L6" s="256">
        <f>(K6/J6)^(1/4)-1</f>
        <v>0.15192845895177109</v>
      </c>
      <c r="M6" s="201"/>
      <c r="N6" s="201"/>
      <c r="O6" s="201"/>
      <c r="P6" s="201"/>
      <c r="Q6" s="201"/>
      <c r="R6" s="201"/>
      <c r="S6" s="201"/>
      <c r="T6" s="201"/>
      <c r="U6" s="201"/>
      <c r="V6" s="52"/>
      <c r="W6" s="52"/>
      <c r="X6" s="52"/>
      <c r="Y6" s="52"/>
      <c r="Z6" s="52"/>
    </row>
    <row r="7" spans="1:26">
      <c r="A7" s="320" t="s">
        <v>762</v>
      </c>
      <c r="B7" s="27">
        <f>'Profit Loss'!F11*(1-Assumptions!B14)</f>
        <v>13088.88</v>
      </c>
      <c r="C7" s="27">
        <f>'Profit Loss'!G11*(1-Assumptions!B14)</f>
        <v>14574.732480000002</v>
      </c>
      <c r="D7" s="27">
        <f>'Profit Loss'!H11*(1-Assumptions!B14)</f>
        <v>16768.89220608</v>
      </c>
      <c r="E7" s="27">
        <f>'Profit Loss'!I11*(1-Assumptions!B14)</f>
        <v>18948.848192870402</v>
      </c>
      <c r="F7" s="27">
        <f>'Profit Loss'!J11*(1-Assumptions!B14)</f>
        <v>21219.356197573637</v>
      </c>
      <c r="G7" s="27">
        <f>'Profit Loss'!K11*(1-Assumptions!B14)</f>
        <v>23546.039991167239</v>
      </c>
      <c r="H7" s="201"/>
      <c r="I7" s="201"/>
      <c r="J7" s="201"/>
      <c r="K7" s="201"/>
      <c r="L7" s="201"/>
      <c r="M7" s="201"/>
      <c r="N7" s="201"/>
      <c r="O7" s="201"/>
      <c r="P7" s="201"/>
      <c r="Q7" s="201"/>
      <c r="R7" s="201"/>
      <c r="S7" s="201"/>
      <c r="T7" s="201"/>
      <c r="U7" s="201"/>
      <c r="V7" s="52"/>
      <c r="W7" s="52"/>
      <c r="X7" s="52"/>
      <c r="Y7" s="52"/>
      <c r="Z7" s="52"/>
    </row>
    <row r="8" spans="1:26">
      <c r="A8" s="320" t="s">
        <v>1456</v>
      </c>
      <c r="B8" s="257">
        <f>(Balance_Sheet!F27+Balance_Sheet!F24)+Balance_Sheet!F40-Balance_Sheet!F4+'Cash Flow'!F25</f>
        <v>31079</v>
      </c>
      <c r="C8" s="257">
        <f>(Balance_Sheet!G27+Balance_Sheet!G24)+Balance_Sheet!G40-Balance_Sheet!G4+'Cash Flow'!G25</f>
        <v>36191.724955776001</v>
      </c>
      <c r="D8" s="257">
        <f>(Balance_Sheet!H27+Balance_Sheet!H24)+Balance_Sheet!H40-Balance_Sheet!H4+'Cash Flow'!H25</f>
        <v>38245.390499456</v>
      </c>
      <c r="E8" s="257">
        <f>(Balance_Sheet!I27+Balance_Sheet!I24)+Balance_Sheet!I40-Balance_Sheet!I4+'Cash Flow'!I25</f>
        <v>42004.924135955196</v>
      </c>
      <c r="F8" s="257">
        <f>(Balance_Sheet!J27+Balance_Sheet!J24)+Balance_Sheet!J40-Balance_Sheet!J4+'Cash Flow'!J25</f>
        <v>45981.971037085263</v>
      </c>
      <c r="G8" s="257">
        <f>(Balance_Sheet!K27+Balance_Sheet!K24)+Balance_Sheet!K40-Balance_Sheet!K4+'Cash Flow'!K25</f>
        <v>50107.433519182596</v>
      </c>
      <c r="H8" s="201"/>
      <c r="I8" s="201"/>
      <c r="J8" s="201"/>
      <c r="K8" s="201"/>
      <c r="L8" s="201"/>
      <c r="M8" s="201"/>
      <c r="N8" s="201"/>
      <c r="O8" s="201"/>
      <c r="P8" s="201"/>
      <c r="Q8" s="201"/>
      <c r="R8" s="201"/>
      <c r="S8" s="201"/>
      <c r="T8" s="201"/>
      <c r="U8" s="201"/>
      <c r="V8" s="52"/>
      <c r="W8" s="52"/>
      <c r="X8" s="52"/>
      <c r="Y8" s="52"/>
      <c r="Z8" s="52"/>
    </row>
    <row r="9" spans="1:26">
      <c r="A9" s="320" t="s">
        <v>1457</v>
      </c>
      <c r="B9" s="27"/>
      <c r="C9" s="27">
        <f>(B8+C8)/2</f>
        <v>33635.362477888004</v>
      </c>
      <c r="D9" s="27">
        <f>(C8+D8)/2</f>
        <v>37218.557727616004</v>
      </c>
      <c r="E9" s="27">
        <f>(D8+E8)/2</f>
        <v>40125.157317705598</v>
      </c>
      <c r="F9" s="27">
        <f>(E8+F8)/2</f>
        <v>43993.447586520226</v>
      </c>
      <c r="G9" s="27">
        <f>(F8+G8)/2</f>
        <v>48044.702278133933</v>
      </c>
      <c r="H9" s="201"/>
      <c r="I9" s="201"/>
      <c r="J9" s="201"/>
      <c r="K9" s="201"/>
      <c r="L9" s="201"/>
      <c r="M9" s="201"/>
      <c r="N9" s="201"/>
      <c r="O9" s="201"/>
      <c r="P9" s="201"/>
      <c r="Q9" s="201"/>
      <c r="R9" s="201"/>
      <c r="S9" s="201"/>
      <c r="T9" s="201"/>
      <c r="U9" s="201"/>
      <c r="V9" s="52"/>
      <c r="W9" s="52"/>
      <c r="X9" s="52"/>
      <c r="Y9" s="52"/>
      <c r="Z9" s="52"/>
    </row>
    <row r="10" spans="1:26">
      <c r="A10" s="320" t="s">
        <v>1458</v>
      </c>
      <c r="B10" s="256">
        <f>B7/B8</f>
        <v>0.42114868560764501</v>
      </c>
      <c r="C10" s="256">
        <f>C7/B8</f>
        <v>0.46895757521155773</v>
      </c>
      <c r="D10" s="256">
        <f>D7/C8</f>
        <v>0.46333498131328432</v>
      </c>
      <c r="E10" s="256">
        <f>E7/D8</f>
        <v>0.49545443112000465</v>
      </c>
      <c r="F10" s="256">
        <f>F7/E8</f>
        <v>0.5051635405623881</v>
      </c>
      <c r="G10" s="256">
        <f>G7/F8</f>
        <v>0.51207113266582127</v>
      </c>
      <c r="H10" s="201"/>
      <c r="I10" s="201"/>
      <c r="J10" s="201"/>
      <c r="K10" s="201"/>
      <c r="L10" s="201"/>
      <c r="M10" s="201"/>
      <c r="N10" s="201"/>
      <c r="O10" s="201"/>
      <c r="P10" s="201"/>
      <c r="Q10" s="201"/>
      <c r="R10" s="201"/>
      <c r="S10" s="201"/>
      <c r="T10" s="201"/>
      <c r="U10" s="201"/>
      <c r="V10" s="52"/>
      <c r="W10" s="52"/>
      <c r="X10" s="52"/>
      <c r="Y10" s="52"/>
      <c r="Z10" s="52"/>
    </row>
    <row r="11" spans="1:26">
      <c r="A11" s="320" t="s">
        <v>198</v>
      </c>
      <c r="B11" s="256">
        <v>9.5299999999999996E-2</v>
      </c>
      <c r="C11" s="256">
        <v>9.5299999999999996E-2</v>
      </c>
      <c r="D11" s="256">
        <v>9.5299999999999996E-2</v>
      </c>
      <c r="E11" s="256">
        <v>9.5299999999999996E-2</v>
      </c>
      <c r="F11" s="256">
        <v>9.5299999999999996E-2</v>
      </c>
      <c r="G11" s="256">
        <v>9.5299999999999996E-2</v>
      </c>
      <c r="H11" s="201"/>
      <c r="I11" s="201"/>
      <c r="J11" s="201"/>
      <c r="K11" s="201"/>
      <c r="L11" s="201"/>
      <c r="M11" s="201"/>
      <c r="N11" s="201"/>
      <c r="O11" s="201"/>
      <c r="P11" s="201"/>
      <c r="Q11" s="201"/>
      <c r="R11" s="201"/>
      <c r="S11" s="201"/>
      <c r="T11" s="201"/>
      <c r="U11" s="201"/>
      <c r="V11" s="52"/>
      <c r="W11" s="52"/>
      <c r="X11" s="52"/>
      <c r="Y11" s="52"/>
      <c r="Z11" s="52"/>
    </row>
    <row r="12" spans="1:26">
      <c r="A12" s="27" t="s">
        <v>1459</v>
      </c>
      <c r="B12" s="201"/>
      <c r="C12" s="201"/>
      <c r="D12" s="201"/>
      <c r="E12" s="52"/>
      <c r="F12" s="52"/>
      <c r="G12" s="52"/>
      <c r="H12" s="201"/>
      <c r="I12" s="201"/>
      <c r="J12" s="201"/>
      <c r="K12" s="201"/>
      <c r="L12" s="201"/>
      <c r="M12" s="201"/>
      <c r="N12" s="201"/>
      <c r="O12" s="201"/>
      <c r="P12" s="201"/>
      <c r="Q12" s="201"/>
      <c r="R12" s="201"/>
      <c r="S12" s="201"/>
      <c r="T12" s="201"/>
      <c r="U12" s="201"/>
      <c r="V12" s="52"/>
      <c r="W12" s="52"/>
      <c r="X12" s="52"/>
      <c r="Y12" s="52"/>
      <c r="Z12" s="52"/>
    </row>
    <row r="13" spans="1:26">
      <c r="A13" s="63" t="s">
        <v>1460</v>
      </c>
      <c r="B13" s="201"/>
      <c r="C13" s="201"/>
      <c r="D13" s="201"/>
      <c r="E13" s="52"/>
      <c r="F13" s="52"/>
      <c r="G13" s="52"/>
      <c r="H13" s="201"/>
      <c r="I13" s="201"/>
      <c r="J13" s="201"/>
      <c r="K13" s="201"/>
      <c r="L13" s="201"/>
      <c r="M13" s="201"/>
      <c r="N13" s="201"/>
      <c r="O13" s="201"/>
      <c r="P13" s="201"/>
      <c r="Q13" s="201"/>
      <c r="R13" s="201"/>
      <c r="S13" s="201"/>
      <c r="T13" s="201"/>
      <c r="U13" s="201"/>
      <c r="V13" s="52"/>
      <c r="W13" s="52"/>
      <c r="X13" s="52"/>
      <c r="Y13" s="52"/>
      <c r="Z13" s="52"/>
    </row>
    <row r="14" spans="1:26">
      <c r="A14" s="63" t="s">
        <v>1458</v>
      </c>
      <c r="B14" s="201"/>
      <c r="C14" s="201"/>
      <c r="D14" s="201"/>
      <c r="E14" s="52"/>
      <c r="F14" s="52"/>
      <c r="G14" s="52"/>
      <c r="H14" s="201"/>
      <c r="I14" s="201"/>
      <c r="J14" s="201"/>
      <c r="K14" s="201"/>
      <c r="L14" s="201"/>
      <c r="M14" s="201"/>
      <c r="N14" s="201"/>
      <c r="O14" s="201"/>
      <c r="P14" s="201"/>
      <c r="Q14" s="201"/>
      <c r="R14" s="201"/>
      <c r="S14" s="201"/>
      <c r="T14" s="201"/>
      <c r="U14" s="201"/>
      <c r="V14" s="52"/>
      <c r="W14" s="52"/>
      <c r="X14" s="52"/>
      <c r="Y14" s="52"/>
      <c r="Z14" s="52"/>
    </row>
    <row r="15" spans="1:26">
      <c r="A15" s="63" t="s">
        <v>1461</v>
      </c>
      <c r="B15" s="201"/>
      <c r="C15" s="201"/>
      <c r="D15" s="201"/>
      <c r="E15" s="52"/>
      <c r="F15" s="52"/>
      <c r="G15" s="52"/>
      <c r="H15" s="201"/>
      <c r="I15" s="201"/>
      <c r="J15" s="201"/>
      <c r="K15" s="201"/>
      <c r="L15" s="201"/>
      <c r="M15" s="201"/>
      <c r="N15" s="201"/>
      <c r="O15" s="201"/>
      <c r="P15" s="201"/>
      <c r="Q15" s="201"/>
      <c r="R15" s="201"/>
      <c r="S15" s="201"/>
      <c r="T15" s="201"/>
      <c r="U15" s="201"/>
      <c r="V15" s="52"/>
      <c r="W15" s="52"/>
      <c r="X15" s="52"/>
      <c r="Y15" s="52"/>
      <c r="Z15" s="52"/>
    </row>
    <row r="16" spans="1:26">
      <c r="A16" s="201"/>
      <c r="B16" s="201"/>
      <c r="C16" s="201"/>
      <c r="D16" s="201"/>
      <c r="E16" s="52"/>
      <c r="F16" s="52"/>
      <c r="G16" s="52"/>
      <c r="H16" s="201"/>
      <c r="I16" s="201"/>
      <c r="J16" s="201"/>
      <c r="K16" s="201"/>
      <c r="L16" s="201"/>
      <c r="M16" s="201"/>
      <c r="N16" s="201"/>
      <c r="O16" s="201"/>
      <c r="P16" s="201"/>
      <c r="Q16" s="201"/>
      <c r="R16" s="201"/>
      <c r="S16" s="201"/>
      <c r="T16" s="201"/>
      <c r="U16" s="201"/>
      <c r="V16" s="52"/>
      <c r="W16" s="52"/>
      <c r="X16" s="52"/>
      <c r="Y16" s="52"/>
      <c r="Z16" s="52"/>
    </row>
    <row r="17" spans="1:26">
      <c r="A17" s="27" t="s">
        <v>1462</v>
      </c>
      <c r="B17" s="47"/>
      <c r="C17" s="47"/>
      <c r="D17" s="47"/>
      <c r="E17" s="52"/>
      <c r="F17" s="52"/>
      <c r="G17" s="52"/>
      <c r="H17" s="201"/>
      <c r="I17" s="201"/>
      <c r="J17" s="201"/>
      <c r="K17" s="201"/>
      <c r="L17" s="201"/>
      <c r="M17" s="201"/>
      <c r="N17" s="201"/>
      <c r="O17" s="201"/>
      <c r="P17" s="201"/>
      <c r="Q17" s="201"/>
      <c r="R17" s="201"/>
      <c r="S17" s="201"/>
      <c r="T17" s="201"/>
      <c r="U17" s="201"/>
      <c r="V17" s="52"/>
      <c r="W17" s="52"/>
      <c r="X17" s="52"/>
      <c r="Y17" s="52"/>
      <c r="Z17" s="52"/>
    </row>
    <row r="18" spans="1:26">
      <c r="A18" s="27" t="s">
        <v>411</v>
      </c>
      <c r="B18" s="27" t="s">
        <v>1454</v>
      </c>
      <c r="C18" s="27" t="s">
        <v>330</v>
      </c>
      <c r="D18" s="27" t="s">
        <v>958</v>
      </c>
      <c r="E18" s="52"/>
      <c r="F18" s="52"/>
      <c r="G18" s="52"/>
      <c r="H18" s="201"/>
      <c r="I18" s="201"/>
      <c r="J18" s="201"/>
      <c r="K18" s="201"/>
      <c r="L18" s="201"/>
      <c r="M18" s="201"/>
      <c r="N18" s="201"/>
      <c r="O18" s="201"/>
      <c r="P18" s="201"/>
      <c r="Q18" s="201"/>
      <c r="R18" s="201"/>
      <c r="S18" s="201"/>
      <c r="T18" s="201"/>
      <c r="U18" s="201"/>
      <c r="V18" s="52"/>
      <c r="W18" s="52"/>
      <c r="X18" s="52"/>
      <c r="Y18" s="52"/>
      <c r="Z18" s="52"/>
    </row>
    <row r="19" spans="1:26">
      <c r="A19" s="320">
        <v>2024</v>
      </c>
      <c r="B19" s="260">
        <f>B10</f>
        <v>0.42114868560764501</v>
      </c>
      <c r="C19" s="260">
        <f>B3</f>
        <v>1.9760552570990022</v>
      </c>
      <c r="D19" s="260">
        <f>B4</f>
        <v>0.26775649424928766</v>
      </c>
      <c r="E19" s="52"/>
      <c r="F19" s="52"/>
      <c r="G19" s="52"/>
      <c r="H19" s="201"/>
      <c r="I19" s="201"/>
      <c r="J19" s="201"/>
      <c r="K19" s="201"/>
      <c r="L19" s="201"/>
      <c r="M19" s="201"/>
      <c r="N19" s="201"/>
      <c r="O19" s="201"/>
      <c r="P19" s="201"/>
      <c r="Q19" s="201"/>
      <c r="R19" s="201"/>
      <c r="S19" s="201"/>
      <c r="T19" s="201"/>
      <c r="U19" s="201"/>
      <c r="V19" s="52"/>
      <c r="W19" s="52"/>
      <c r="X19" s="52"/>
      <c r="Y19" s="52"/>
      <c r="Z19" s="52"/>
    </row>
    <row r="20" spans="1:26">
      <c r="A20" s="320">
        <v>2025</v>
      </c>
      <c r="B20" s="260">
        <f>C10</f>
        <v>0.46895757521155773</v>
      </c>
      <c r="C20" s="260">
        <f>C3</f>
        <v>1.4481093052962626</v>
      </c>
      <c r="D20" s="260">
        <f>C4</f>
        <v>0.27509523032797595</v>
      </c>
      <c r="E20" s="52"/>
      <c r="F20" s="52"/>
      <c r="G20" s="52"/>
      <c r="H20" s="201"/>
      <c r="I20" s="201"/>
      <c r="J20" s="201"/>
      <c r="K20" s="201"/>
      <c r="L20" s="201"/>
      <c r="M20" s="201"/>
      <c r="N20" s="201"/>
      <c r="O20" s="201"/>
      <c r="P20" s="201"/>
      <c r="Q20" s="201"/>
      <c r="R20" s="201"/>
      <c r="S20" s="201"/>
      <c r="T20" s="201"/>
      <c r="U20" s="201"/>
      <c r="V20" s="52"/>
      <c r="W20" s="52"/>
      <c r="X20" s="52"/>
      <c r="Y20" s="52"/>
      <c r="Z20" s="52"/>
    </row>
    <row r="21" spans="1:26">
      <c r="A21" s="320">
        <v>2026</v>
      </c>
      <c r="B21" s="256">
        <f>D10</f>
        <v>0.46333498131328432</v>
      </c>
      <c r="C21" s="256">
        <f>D3</f>
        <v>1.3672673436883351</v>
      </c>
      <c r="D21" s="256">
        <f>D4</f>
        <v>0.29386809486803755</v>
      </c>
      <c r="E21" s="52"/>
      <c r="F21" s="52"/>
      <c r="G21" s="52"/>
      <c r="H21" s="201"/>
      <c r="I21" s="201"/>
      <c r="J21" s="201"/>
      <c r="K21" s="201"/>
      <c r="L21" s="201"/>
      <c r="M21" s="201"/>
      <c r="N21" s="201"/>
      <c r="O21" s="201"/>
      <c r="P21" s="201"/>
      <c r="Q21" s="201"/>
      <c r="R21" s="201"/>
      <c r="S21" s="201"/>
      <c r="T21" s="201"/>
      <c r="U21" s="201"/>
      <c r="V21" s="52"/>
      <c r="W21" s="52"/>
      <c r="X21" s="52"/>
      <c r="Y21" s="52"/>
      <c r="Z21" s="52"/>
    </row>
    <row r="22" spans="1:26">
      <c r="A22" s="320">
        <v>2027</v>
      </c>
      <c r="B22" s="256">
        <f>E10</f>
        <v>0.49545443112000465</v>
      </c>
      <c r="C22" s="256">
        <f>E3</f>
        <v>1.3114309453185207</v>
      </c>
      <c r="D22" s="256">
        <f>E4</f>
        <v>0.30930306598649615</v>
      </c>
      <c r="E22" s="52"/>
      <c r="F22" s="52"/>
      <c r="G22" s="52"/>
      <c r="H22" s="201"/>
      <c r="I22" s="201"/>
      <c r="J22" s="201"/>
      <c r="K22" s="201"/>
      <c r="L22" s="201"/>
      <c r="M22" s="201"/>
      <c r="N22" s="201"/>
      <c r="O22" s="201"/>
      <c r="P22" s="201"/>
      <c r="Q22" s="201"/>
      <c r="R22" s="201"/>
      <c r="S22" s="201"/>
      <c r="T22" s="201"/>
      <c r="U22" s="201"/>
      <c r="V22" s="52"/>
      <c r="W22" s="52"/>
      <c r="X22" s="52"/>
      <c r="Y22" s="52"/>
      <c r="Z22" s="52"/>
    </row>
    <row r="23" spans="1:26">
      <c r="A23" s="320">
        <v>2028</v>
      </c>
      <c r="B23" s="256">
        <f>F10</f>
        <v>0.5051635405623881</v>
      </c>
      <c r="C23" s="256">
        <f>F3</f>
        <v>1.2688680864345772</v>
      </c>
      <c r="D23" s="256">
        <f>F4</f>
        <v>0.32326605272632369</v>
      </c>
      <c r="E23" s="52"/>
      <c r="F23" s="52"/>
      <c r="G23" s="52"/>
      <c r="H23" s="201"/>
      <c r="I23" s="201"/>
      <c r="J23" s="201"/>
      <c r="K23" s="201"/>
      <c r="L23" s="201"/>
      <c r="M23" s="201"/>
      <c r="N23" s="201"/>
      <c r="O23" s="201"/>
      <c r="P23" s="201"/>
      <c r="Q23" s="201"/>
      <c r="R23" s="201"/>
      <c r="S23" s="201"/>
      <c r="T23" s="201"/>
      <c r="U23" s="201"/>
      <c r="V23" s="52"/>
      <c r="W23" s="52"/>
      <c r="X23" s="52"/>
      <c r="Y23" s="52"/>
      <c r="Z23" s="52"/>
    </row>
    <row r="24" spans="1:26">
      <c r="A24" s="320">
        <v>2029</v>
      </c>
      <c r="B24" s="256">
        <f>G10</f>
        <v>0.51207113266582127</v>
      </c>
      <c r="C24" s="256">
        <f>G3</f>
        <v>1.2358409936200008</v>
      </c>
      <c r="D24" s="256">
        <f>G4</f>
        <v>0.33586270549427272</v>
      </c>
      <c r="E24" s="52"/>
      <c r="F24" s="52"/>
      <c r="G24" s="52"/>
      <c r="H24" s="201"/>
      <c r="I24" s="201"/>
      <c r="J24" s="201"/>
      <c r="K24" s="201"/>
      <c r="L24" s="201"/>
      <c r="M24" s="201"/>
      <c r="N24" s="201"/>
      <c r="O24" s="201"/>
      <c r="P24" s="201"/>
      <c r="Q24" s="201"/>
      <c r="R24" s="201"/>
      <c r="S24" s="201"/>
      <c r="T24" s="201"/>
      <c r="U24" s="201"/>
      <c r="V24" s="52"/>
      <c r="W24" s="52"/>
      <c r="X24" s="52"/>
      <c r="Y24" s="52"/>
      <c r="Z24" s="52"/>
    </row>
    <row r="25" spans="1:26">
      <c r="A25" s="201"/>
      <c r="B25" s="201"/>
      <c r="C25" s="201"/>
      <c r="D25" s="201"/>
      <c r="E25" s="201"/>
      <c r="F25" s="201"/>
      <c r="G25" s="201"/>
      <c r="H25" s="201"/>
      <c r="I25" s="201"/>
      <c r="J25" s="201"/>
      <c r="K25" s="201"/>
      <c r="L25" s="201"/>
      <c r="M25" s="201"/>
      <c r="N25" s="201"/>
      <c r="O25" s="201"/>
      <c r="P25" s="201"/>
      <c r="Q25" s="201"/>
      <c r="R25" s="201"/>
      <c r="S25" s="201"/>
      <c r="T25" s="201"/>
      <c r="U25" s="201"/>
      <c r="V25" s="52"/>
      <c r="W25" s="52"/>
      <c r="X25" s="52"/>
      <c r="Y25" s="52"/>
      <c r="Z25" s="52"/>
    </row>
    <row r="26" spans="1:26">
      <c r="A26" s="27" t="s">
        <v>1463</v>
      </c>
      <c r="B26" s="198"/>
      <c r="C26" s="201"/>
      <c r="D26" s="27" t="s">
        <v>1465</v>
      </c>
      <c r="E26" s="47"/>
      <c r="F26" s="201"/>
      <c r="G26" s="201"/>
      <c r="H26" s="201"/>
      <c r="I26" s="201"/>
      <c r="J26" s="201"/>
      <c r="K26" s="201"/>
      <c r="L26" s="201"/>
      <c r="M26" s="201"/>
      <c r="N26" s="201"/>
      <c r="O26" s="201"/>
      <c r="P26" s="201"/>
      <c r="Q26" s="201"/>
      <c r="R26" s="201"/>
      <c r="S26" s="201"/>
      <c r="T26" s="201"/>
      <c r="U26" s="201"/>
      <c r="V26" s="52"/>
      <c r="W26" s="52"/>
      <c r="X26" s="52"/>
      <c r="Y26" s="52"/>
      <c r="Z26" s="52"/>
    </row>
    <row r="27" spans="1:26">
      <c r="A27" s="27" t="s">
        <v>1464</v>
      </c>
      <c r="B27" s="27" t="s">
        <v>284</v>
      </c>
      <c r="C27" s="201"/>
      <c r="D27" s="27" t="s">
        <v>1464</v>
      </c>
      <c r="E27" s="27" t="s">
        <v>284</v>
      </c>
      <c r="F27" s="201"/>
      <c r="G27" s="201"/>
      <c r="H27" s="201"/>
      <c r="I27" s="201"/>
      <c r="J27" s="201"/>
      <c r="K27" s="201"/>
      <c r="L27" s="201"/>
      <c r="M27" s="201"/>
      <c r="N27" s="201"/>
      <c r="O27" s="201"/>
      <c r="P27" s="201"/>
      <c r="Q27" s="201"/>
      <c r="R27" s="201"/>
      <c r="S27" s="201"/>
      <c r="T27" s="201"/>
      <c r="U27" s="201"/>
      <c r="V27" s="52"/>
      <c r="W27" s="52"/>
      <c r="X27" s="52"/>
      <c r="Y27" s="52"/>
      <c r="Z27" s="52"/>
    </row>
    <row r="28" spans="1:26">
      <c r="A28" s="320">
        <v>2024</v>
      </c>
      <c r="B28" s="256">
        <f>B5/B8</f>
        <v>0.49081373274558382</v>
      </c>
      <c r="C28" s="201"/>
      <c r="D28" s="320">
        <v>2024</v>
      </c>
      <c r="E28" s="27">
        <f>B8*B11</f>
        <v>2961.8287</v>
      </c>
      <c r="F28" s="201"/>
      <c r="G28" s="201"/>
      <c r="H28" s="201"/>
      <c r="I28" s="201"/>
      <c r="J28" s="201"/>
      <c r="K28" s="201"/>
      <c r="L28" s="201"/>
      <c r="M28" s="201"/>
      <c r="N28" s="201"/>
      <c r="O28" s="201"/>
      <c r="P28" s="201"/>
      <c r="Q28" s="201"/>
      <c r="R28" s="201"/>
      <c r="S28" s="201"/>
      <c r="T28" s="201"/>
      <c r="U28" s="201"/>
      <c r="V28" s="52"/>
      <c r="W28" s="52"/>
      <c r="X28" s="52"/>
      <c r="Y28" s="52"/>
      <c r="Z28" s="52"/>
    </row>
    <row r="29" spans="1:26">
      <c r="A29" s="320">
        <v>2025</v>
      </c>
      <c r="B29" s="256">
        <f>C5/C8</f>
        <v>0.51903987164828469</v>
      </c>
      <c r="C29" s="201"/>
      <c r="D29" s="320">
        <v>2025</v>
      </c>
      <c r="E29" s="27">
        <f>C8*B11</f>
        <v>3449.0713882854525</v>
      </c>
      <c r="F29" s="201"/>
      <c r="G29" s="201"/>
      <c r="H29" s="201"/>
      <c r="I29" s="201"/>
      <c r="J29" s="201"/>
      <c r="K29" s="201"/>
      <c r="L29" s="201"/>
      <c r="M29" s="201"/>
      <c r="N29" s="201"/>
      <c r="O29" s="201"/>
      <c r="P29" s="201"/>
      <c r="Q29" s="201"/>
      <c r="R29" s="201"/>
      <c r="S29" s="201"/>
      <c r="T29" s="201"/>
      <c r="U29" s="201"/>
      <c r="V29" s="52"/>
      <c r="W29" s="52"/>
      <c r="X29" s="52"/>
      <c r="Y29" s="52"/>
      <c r="Z29" s="52"/>
    </row>
    <row r="30" spans="1:26">
      <c r="A30" s="320">
        <v>2026</v>
      </c>
      <c r="B30" s="256">
        <f>D5/D8</f>
        <v>0.50818520589173866</v>
      </c>
      <c r="C30" s="201"/>
      <c r="D30" s="320">
        <v>2026</v>
      </c>
      <c r="E30" s="27">
        <f>D8*B11</f>
        <v>3644.7857145981566</v>
      </c>
      <c r="F30" s="201"/>
      <c r="G30" s="201"/>
      <c r="H30" s="201"/>
      <c r="I30" s="201"/>
      <c r="J30" s="201"/>
      <c r="K30" s="201"/>
      <c r="L30" s="201"/>
      <c r="M30" s="201"/>
      <c r="N30" s="201"/>
      <c r="O30" s="201"/>
      <c r="P30" s="201"/>
      <c r="Q30" s="201"/>
      <c r="R30" s="201"/>
      <c r="S30" s="201"/>
      <c r="T30" s="201"/>
      <c r="U30" s="201"/>
      <c r="V30" s="52"/>
      <c r="W30" s="52"/>
      <c r="X30" s="52"/>
      <c r="Y30" s="52"/>
      <c r="Z30" s="52"/>
    </row>
    <row r="31" spans="1:26">
      <c r="A31" s="320">
        <v>2027</v>
      </c>
      <c r="B31" s="256">
        <f>E5/E8</f>
        <v>0.51894963642383696</v>
      </c>
      <c r="C31" s="201"/>
      <c r="D31" s="320">
        <v>2027</v>
      </c>
      <c r="E31" s="27">
        <f>E8*B11</f>
        <v>4003.0692701565299</v>
      </c>
      <c r="F31" s="201"/>
      <c r="G31" s="201"/>
      <c r="H31" s="201"/>
      <c r="I31" s="201"/>
      <c r="J31" s="201"/>
      <c r="K31" s="201"/>
      <c r="L31" s="201"/>
      <c r="M31" s="201"/>
      <c r="N31" s="201"/>
      <c r="O31" s="201"/>
      <c r="P31" s="201"/>
      <c r="Q31" s="201"/>
      <c r="R31" s="201"/>
      <c r="S31" s="201"/>
      <c r="T31" s="201"/>
      <c r="U31" s="201"/>
      <c r="V31" s="52"/>
      <c r="W31" s="52"/>
      <c r="X31" s="52"/>
      <c r="Y31" s="52"/>
      <c r="Z31" s="52"/>
    </row>
    <row r="32" spans="1:26">
      <c r="A32" s="320">
        <v>2028</v>
      </c>
      <c r="B32" s="256">
        <f>F5/F8</f>
        <v>0.52810046829950097</v>
      </c>
      <c r="C32" s="201"/>
      <c r="D32" s="320">
        <v>2028</v>
      </c>
      <c r="E32" s="27">
        <f>F8*B11</f>
        <v>4382.0818398342253</v>
      </c>
      <c r="F32" s="201"/>
      <c r="G32" s="201"/>
      <c r="H32" s="201"/>
      <c r="I32" s="201"/>
      <c r="J32" s="201"/>
      <c r="K32" s="201"/>
      <c r="L32" s="201"/>
      <c r="M32" s="201"/>
      <c r="N32" s="201"/>
      <c r="O32" s="201"/>
      <c r="P32" s="201"/>
      <c r="Q32" s="201"/>
      <c r="R32" s="201"/>
      <c r="S32" s="201"/>
      <c r="T32" s="201"/>
      <c r="U32" s="201"/>
      <c r="V32" s="52"/>
      <c r="W32" s="52"/>
      <c r="X32" s="52"/>
      <c r="Y32" s="52"/>
      <c r="Z32" s="52"/>
    </row>
    <row r="33" spans="1:26">
      <c r="A33" s="320">
        <v>2029</v>
      </c>
      <c r="B33" s="256">
        <f>G5/G8</f>
        <v>0.53602323390393969</v>
      </c>
      <c r="C33" s="201"/>
      <c r="D33" s="320">
        <v>2029</v>
      </c>
      <c r="E33" s="27">
        <f>G8*B11</f>
        <v>4775.238414378101</v>
      </c>
      <c r="F33" s="201"/>
      <c r="G33" s="201"/>
      <c r="H33" s="201"/>
      <c r="I33" s="201"/>
      <c r="J33" s="201"/>
      <c r="K33" s="201"/>
      <c r="L33" s="201"/>
      <c r="M33" s="201"/>
      <c r="N33" s="201"/>
      <c r="O33" s="201"/>
      <c r="P33" s="201"/>
      <c r="Q33" s="201"/>
      <c r="R33" s="201"/>
      <c r="S33" s="201"/>
      <c r="T33" s="201"/>
      <c r="U33" s="201"/>
      <c r="V33" s="52"/>
      <c r="W33" s="52"/>
      <c r="X33" s="52"/>
      <c r="Y33" s="52"/>
      <c r="Z33" s="52"/>
    </row>
    <row r="34" spans="1:26">
      <c r="A34" s="201"/>
      <c r="B34" s="201"/>
      <c r="C34" s="201"/>
      <c r="D34" s="201"/>
      <c r="E34" s="201"/>
      <c r="F34" s="201"/>
      <c r="G34" s="201"/>
      <c r="H34" s="201"/>
      <c r="I34" s="201"/>
      <c r="J34" s="201"/>
      <c r="K34" s="201"/>
      <c r="L34" s="201"/>
      <c r="M34" s="201"/>
      <c r="N34" s="201"/>
      <c r="O34" s="201"/>
      <c r="P34" s="201"/>
      <c r="Q34" s="201"/>
      <c r="R34" s="201"/>
      <c r="S34" s="201"/>
      <c r="T34" s="201"/>
      <c r="U34" s="201"/>
      <c r="V34" s="52"/>
      <c r="W34" s="52"/>
      <c r="X34" s="52"/>
      <c r="Y34" s="52"/>
      <c r="Z34" s="52"/>
    </row>
    <row r="35" spans="1:26">
      <c r="A35" s="27" t="s">
        <v>1466</v>
      </c>
      <c r="B35" s="47"/>
      <c r="C35" s="201"/>
      <c r="D35" s="27" t="s">
        <v>1467</v>
      </c>
      <c r="E35" s="27"/>
      <c r="F35" s="201"/>
      <c r="G35" s="201"/>
      <c r="H35" s="201"/>
      <c r="I35" s="201"/>
      <c r="J35" s="201"/>
      <c r="K35" s="201"/>
      <c r="L35" s="201"/>
      <c r="M35" s="201"/>
      <c r="N35" s="201"/>
      <c r="O35" s="201"/>
      <c r="P35" s="201"/>
      <c r="Q35" s="201"/>
      <c r="R35" s="201"/>
      <c r="S35" s="201"/>
      <c r="T35" s="201"/>
      <c r="U35" s="201"/>
      <c r="V35" s="52"/>
      <c r="W35" s="52"/>
      <c r="X35" s="52"/>
      <c r="Y35" s="52"/>
      <c r="Z35" s="52"/>
    </row>
    <row r="36" spans="1:26">
      <c r="A36" s="27" t="s">
        <v>1464</v>
      </c>
      <c r="B36" s="27" t="s">
        <v>284</v>
      </c>
      <c r="C36" s="201"/>
      <c r="D36" s="27" t="s">
        <v>1464</v>
      </c>
      <c r="E36" s="27" t="s">
        <v>284</v>
      </c>
      <c r="F36" s="201"/>
      <c r="G36" s="201"/>
      <c r="H36" s="201"/>
      <c r="I36" s="201"/>
      <c r="J36" s="201"/>
      <c r="K36" s="201"/>
      <c r="L36" s="201"/>
      <c r="M36" s="201"/>
      <c r="N36" s="201"/>
      <c r="O36" s="201"/>
      <c r="P36" s="201"/>
      <c r="Q36" s="201"/>
      <c r="R36" s="201"/>
      <c r="S36" s="201"/>
      <c r="T36" s="201"/>
      <c r="U36" s="201"/>
      <c r="V36" s="52"/>
      <c r="W36" s="52"/>
      <c r="X36" s="52"/>
      <c r="Y36" s="52"/>
      <c r="Z36" s="52"/>
    </row>
    <row r="37" spans="1:26">
      <c r="A37" s="320">
        <v>2024</v>
      </c>
      <c r="B37" s="27">
        <f>B7-E28</f>
        <v>10127.051299999999</v>
      </c>
      <c r="C37" s="201"/>
      <c r="D37" s="320">
        <v>2024</v>
      </c>
      <c r="E37" s="256">
        <f>B10-B11</f>
        <v>0.32584868560764502</v>
      </c>
      <c r="F37" s="201"/>
      <c r="G37" s="201"/>
      <c r="H37" s="201"/>
      <c r="I37" s="201"/>
      <c r="J37" s="201"/>
      <c r="K37" s="201"/>
      <c r="L37" s="201"/>
      <c r="M37" s="201"/>
      <c r="N37" s="201"/>
      <c r="O37" s="201"/>
      <c r="P37" s="201"/>
      <c r="Q37" s="201"/>
      <c r="R37" s="201"/>
      <c r="S37" s="201"/>
      <c r="T37" s="201"/>
      <c r="U37" s="201"/>
      <c r="V37" s="52"/>
      <c r="W37" s="52"/>
      <c r="X37" s="52"/>
      <c r="Y37" s="52"/>
      <c r="Z37" s="52"/>
    </row>
    <row r="38" spans="1:26">
      <c r="A38" s="320">
        <v>2025</v>
      </c>
      <c r="B38" s="27">
        <f>C7-E29</f>
        <v>11125.66109171455</v>
      </c>
      <c r="C38" s="201"/>
      <c r="D38" s="320">
        <v>2025</v>
      </c>
      <c r="E38" s="256">
        <f>C10-C11</f>
        <v>0.37365757521155774</v>
      </c>
      <c r="F38" s="201"/>
      <c r="G38" s="201"/>
      <c r="H38" s="201"/>
      <c r="I38" s="201"/>
      <c r="J38" s="201"/>
      <c r="K38" s="201"/>
      <c r="L38" s="201"/>
      <c r="M38" s="201"/>
      <c r="N38" s="201"/>
      <c r="O38" s="201"/>
      <c r="P38" s="201"/>
      <c r="Q38" s="201"/>
      <c r="R38" s="201"/>
      <c r="S38" s="201"/>
      <c r="T38" s="201"/>
      <c r="U38" s="201"/>
      <c r="V38" s="52"/>
      <c r="W38" s="52"/>
      <c r="X38" s="52"/>
      <c r="Y38" s="52"/>
      <c r="Z38" s="52"/>
    </row>
    <row r="39" spans="1:26">
      <c r="A39" s="320">
        <v>2026</v>
      </c>
      <c r="B39" s="27">
        <f>D7-E30</f>
        <v>13124.106491481843</v>
      </c>
      <c r="C39" s="201"/>
      <c r="D39" s="320">
        <v>2026</v>
      </c>
      <c r="E39" s="256">
        <f>D10-D11</f>
        <v>0.36803498131328433</v>
      </c>
      <c r="F39" s="201"/>
      <c r="G39" s="201"/>
      <c r="H39" s="201"/>
      <c r="I39" s="201"/>
      <c r="J39" s="201"/>
      <c r="K39" s="201"/>
      <c r="L39" s="201"/>
      <c r="M39" s="201"/>
      <c r="N39" s="201"/>
      <c r="O39" s="201"/>
      <c r="P39" s="201"/>
      <c r="Q39" s="201"/>
      <c r="R39" s="201"/>
      <c r="S39" s="201"/>
      <c r="T39" s="201"/>
      <c r="U39" s="201"/>
      <c r="V39" s="52"/>
      <c r="W39" s="52"/>
      <c r="X39" s="52"/>
      <c r="Y39" s="52"/>
      <c r="Z39" s="52"/>
    </row>
    <row r="40" spans="1:26">
      <c r="A40" s="320">
        <v>2027</v>
      </c>
      <c r="B40" s="27">
        <f>E7-E31</f>
        <v>14945.778922713873</v>
      </c>
      <c r="C40" s="201"/>
      <c r="D40" s="320">
        <v>2027</v>
      </c>
      <c r="E40" s="256">
        <f>E10-E11</f>
        <v>0.40015443112000465</v>
      </c>
      <c r="F40" s="201"/>
      <c r="G40" s="201"/>
      <c r="H40" s="201"/>
      <c r="I40" s="201"/>
      <c r="J40" s="201"/>
      <c r="K40" s="201"/>
      <c r="L40" s="201"/>
      <c r="M40" s="201"/>
      <c r="N40" s="201"/>
      <c r="O40" s="201"/>
      <c r="P40" s="201"/>
      <c r="Q40" s="201"/>
      <c r="R40" s="201"/>
      <c r="S40" s="201"/>
      <c r="T40" s="201"/>
      <c r="U40" s="201"/>
      <c r="V40" s="52"/>
      <c r="W40" s="52"/>
      <c r="X40" s="52"/>
      <c r="Y40" s="52"/>
      <c r="Z40" s="52"/>
    </row>
    <row r="41" spans="1:26">
      <c r="A41" s="320">
        <v>2028</v>
      </c>
      <c r="B41" s="27">
        <f>F7-E32</f>
        <v>16837.274357739414</v>
      </c>
      <c r="C41" s="201"/>
      <c r="D41" s="320">
        <v>2028</v>
      </c>
      <c r="E41" s="256">
        <f>F10-F11</f>
        <v>0.40986354056238811</v>
      </c>
      <c r="F41" s="201"/>
      <c r="G41" s="201"/>
      <c r="H41" s="201"/>
      <c r="I41" s="201"/>
      <c r="J41" s="201"/>
      <c r="K41" s="201"/>
      <c r="L41" s="201"/>
      <c r="M41" s="201"/>
      <c r="N41" s="201"/>
      <c r="O41" s="201"/>
      <c r="P41" s="201"/>
      <c r="Q41" s="201"/>
      <c r="R41" s="201"/>
      <c r="S41" s="201"/>
      <c r="T41" s="201"/>
      <c r="U41" s="201"/>
      <c r="V41" s="52"/>
      <c r="W41" s="52"/>
      <c r="X41" s="52"/>
      <c r="Y41" s="52"/>
      <c r="Z41" s="52"/>
    </row>
    <row r="42" spans="1:26">
      <c r="A42" s="320">
        <v>2029</v>
      </c>
      <c r="B42" s="27">
        <f>G7-E33</f>
        <v>18770.801576789137</v>
      </c>
      <c r="C42" s="201"/>
      <c r="D42" s="320">
        <v>2029</v>
      </c>
      <c r="E42" s="256">
        <f>G10-G11</f>
        <v>0.41677113266582128</v>
      </c>
      <c r="F42" s="201"/>
      <c r="G42" s="201"/>
      <c r="H42" s="201"/>
      <c r="I42" s="201"/>
      <c r="J42" s="201"/>
      <c r="K42" s="201"/>
      <c r="L42" s="201"/>
      <c r="M42" s="201"/>
      <c r="N42" s="201"/>
      <c r="O42" s="201"/>
      <c r="P42" s="201"/>
      <c r="Q42" s="201"/>
      <c r="R42" s="201"/>
      <c r="S42" s="201"/>
      <c r="T42" s="201"/>
      <c r="U42" s="201"/>
      <c r="V42" s="52"/>
      <c r="W42" s="52"/>
      <c r="X42" s="52"/>
      <c r="Y42" s="52"/>
      <c r="Z42" s="52"/>
    </row>
    <row r="43" spans="1:26">
      <c r="A43" s="201"/>
      <c r="B43" s="201"/>
      <c r="C43" s="201"/>
      <c r="D43" s="201"/>
      <c r="E43" s="201"/>
      <c r="F43" s="201"/>
      <c r="G43" s="201"/>
      <c r="H43" s="201"/>
      <c r="I43" s="201"/>
      <c r="J43" s="201"/>
      <c r="K43" s="201"/>
      <c r="L43" s="201"/>
      <c r="M43" s="201"/>
      <c r="N43" s="201"/>
      <c r="O43" s="201"/>
      <c r="P43" s="201"/>
      <c r="Q43" s="201"/>
      <c r="R43" s="201"/>
      <c r="S43" s="201"/>
      <c r="T43" s="201"/>
      <c r="U43" s="201"/>
      <c r="V43" s="52"/>
      <c r="W43" s="52"/>
      <c r="X43" s="52"/>
      <c r="Y43" s="52"/>
      <c r="Z43" s="52"/>
    </row>
    <row r="44" spans="1:26">
      <c r="A44" s="63" t="s">
        <v>1835</v>
      </c>
      <c r="B44" s="63"/>
      <c r="C44" s="261"/>
      <c r="D44" s="201"/>
      <c r="E44" s="201"/>
      <c r="F44" s="201"/>
      <c r="G44" s="201"/>
      <c r="H44" s="201"/>
      <c r="I44" s="201"/>
      <c r="J44" s="201"/>
      <c r="K44" s="201"/>
      <c r="L44" s="201"/>
      <c r="M44" s="201"/>
      <c r="N44" s="201"/>
      <c r="O44" s="201"/>
      <c r="P44" s="201"/>
      <c r="Q44" s="201"/>
      <c r="R44" s="201"/>
      <c r="S44" s="201"/>
      <c r="T44" s="201"/>
      <c r="U44" s="201"/>
      <c r="V44" s="52"/>
      <c r="W44" s="52"/>
      <c r="X44" s="52"/>
      <c r="Y44" s="52"/>
      <c r="Z44" s="52"/>
    </row>
    <row r="45" spans="1:26">
      <c r="A45" s="201"/>
      <c r="B45" s="201"/>
      <c r="C45" s="201"/>
      <c r="D45" s="201"/>
      <c r="E45" s="201"/>
      <c r="F45" s="201"/>
      <c r="G45" s="201"/>
      <c r="H45" s="201"/>
      <c r="I45" s="201"/>
      <c r="J45" s="201"/>
      <c r="K45" s="201"/>
      <c r="L45" s="201"/>
      <c r="M45" s="201"/>
      <c r="N45" s="201"/>
      <c r="O45" s="201"/>
      <c r="P45" s="201"/>
      <c r="Q45" s="201"/>
      <c r="R45" s="201"/>
      <c r="S45" s="201"/>
      <c r="T45" s="201"/>
      <c r="U45" s="201"/>
      <c r="V45" s="52"/>
      <c r="W45" s="52"/>
      <c r="X45" s="52"/>
      <c r="Y45" s="52"/>
      <c r="Z45" s="52"/>
    </row>
    <row r="46" spans="1:26">
      <c r="A46" s="201"/>
      <c r="B46" s="201"/>
      <c r="C46" s="201"/>
      <c r="D46" s="201"/>
      <c r="E46" s="201"/>
      <c r="F46" s="201"/>
      <c r="G46" s="201"/>
      <c r="H46" s="201"/>
      <c r="I46" s="201"/>
      <c r="J46" s="201"/>
      <c r="K46" s="201"/>
      <c r="L46" s="201"/>
      <c r="M46" s="201"/>
      <c r="N46" s="201"/>
      <c r="O46" s="201"/>
      <c r="P46" s="201"/>
      <c r="Q46" s="201"/>
      <c r="R46" s="201"/>
      <c r="S46" s="201"/>
      <c r="T46" s="201"/>
      <c r="U46" s="201"/>
      <c r="V46" s="52"/>
      <c r="W46" s="52"/>
      <c r="X46" s="52"/>
      <c r="Y46" s="52"/>
      <c r="Z46" s="52"/>
    </row>
    <row r="47" spans="1:26">
      <c r="A47" s="201"/>
      <c r="B47" s="201"/>
      <c r="C47" s="201"/>
      <c r="D47" s="201"/>
      <c r="E47" s="201"/>
      <c r="F47" s="201"/>
      <c r="G47" s="201"/>
      <c r="H47" s="201"/>
      <c r="I47" s="201"/>
      <c r="J47" s="201"/>
      <c r="K47" s="201"/>
      <c r="L47" s="201"/>
      <c r="M47" s="201"/>
      <c r="N47" s="201"/>
      <c r="O47" s="201"/>
      <c r="P47" s="201"/>
      <c r="Q47" s="201"/>
      <c r="R47" s="201"/>
      <c r="S47" s="201"/>
      <c r="T47" s="201"/>
      <c r="U47" s="201"/>
      <c r="V47" s="52"/>
      <c r="W47" s="52"/>
      <c r="X47" s="52"/>
      <c r="Y47" s="52"/>
      <c r="Z47" s="52"/>
    </row>
    <row r="48" spans="1:26">
      <c r="A48" s="201"/>
      <c r="B48" s="201"/>
      <c r="C48" s="201"/>
      <c r="D48" s="201"/>
      <c r="E48" s="201"/>
      <c r="F48" s="201"/>
      <c r="G48" s="201"/>
      <c r="H48" s="201"/>
      <c r="I48" s="201"/>
      <c r="J48" s="201"/>
      <c r="K48" s="201"/>
      <c r="L48" s="201"/>
      <c r="M48" s="201"/>
      <c r="N48" s="201"/>
      <c r="O48" s="201"/>
      <c r="P48" s="201"/>
      <c r="Q48" s="201"/>
      <c r="R48" s="201"/>
      <c r="S48" s="201"/>
      <c r="T48" s="201"/>
      <c r="U48" s="201"/>
      <c r="V48" s="52"/>
      <c r="W48" s="52"/>
      <c r="X48" s="52"/>
      <c r="Y48" s="52"/>
      <c r="Z48" s="52"/>
    </row>
    <row r="49" spans="1:26">
      <c r="A49" s="201"/>
      <c r="B49" s="201"/>
      <c r="C49" s="201"/>
      <c r="D49" s="201"/>
      <c r="E49" s="201"/>
      <c r="F49" s="201"/>
      <c r="G49" s="201"/>
      <c r="H49" s="201"/>
      <c r="I49" s="201"/>
      <c r="J49" s="201"/>
      <c r="K49" s="201"/>
      <c r="L49" s="201"/>
      <c r="M49" s="201"/>
      <c r="N49" s="201"/>
      <c r="O49" s="201"/>
      <c r="P49" s="201"/>
      <c r="Q49" s="201"/>
      <c r="R49" s="201"/>
      <c r="S49" s="201"/>
      <c r="T49" s="201"/>
      <c r="U49" s="201"/>
      <c r="V49" s="52"/>
      <c r="W49" s="52"/>
      <c r="X49" s="52"/>
      <c r="Y49" s="52"/>
      <c r="Z49" s="52"/>
    </row>
    <row r="50" spans="1:26">
      <c r="A50" s="201"/>
      <c r="B50" s="201"/>
      <c r="C50" s="201"/>
      <c r="D50" s="201"/>
      <c r="E50" s="201"/>
      <c r="F50" s="201"/>
      <c r="G50" s="201"/>
      <c r="H50" s="201"/>
      <c r="I50" s="201"/>
      <c r="J50" s="201"/>
      <c r="K50" s="201"/>
      <c r="L50" s="201"/>
      <c r="M50" s="201"/>
      <c r="N50" s="201"/>
      <c r="O50" s="201"/>
      <c r="P50" s="201"/>
      <c r="Q50" s="201"/>
      <c r="R50" s="201"/>
      <c r="S50" s="201"/>
      <c r="T50" s="201"/>
      <c r="U50" s="201"/>
      <c r="V50" s="52"/>
      <c r="W50" s="52"/>
      <c r="X50" s="52"/>
      <c r="Y50" s="52"/>
      <c r="Z50" s="52"/>
    </row>
    <row r="51" spans="1:26">
      <c r="A51" s="201"/>
      <c r="B51" s="201"/>
      <c r="C51" s="201"/>
      <c r="D51" s="201"/>
      <c r="E51" s="201"/>
      <c r="F51" s="201"/>
      <c r="G51" s="201"/>
      <c r="H51" s="201"/>
      <c r="I51" s="201"/>
      <c r="J51" s="201"/>
      <c r="K51" s="201"/>
      <c r="L51" s="201"/>
      <c r="M51" s="201"/>
      <c r="N51" s="201"/>
      <c r="O51" s="201"/>
      <c r="P51" s="201"/>
      <c r="Q51" s="201"/>
      <c r="R51" s="201"/>
      <c r="S51" s="201"/>
      <c r="T51" s="201"/>
      <c r="U51" s="201"/>
      <c r="V51" s="52"/>
      <c r="W51" s="52"/>
      <c r="X51" s="52"/>
      <c r="Y51" s="52"/>
      <c r="Z51" s="52"/>
    </row>
    <row r="52" spans="1:26">
      <c r="A52" s="201"/>
      <c r="B52" s="201"/>
      <c r="C52" s="201"/>
      <c r="D52" s="201"/>
      <c r="E52" s="201"/>
      <c r="F52" s="201"/>
      <c r="G52" s="201"/>
      <c r="H52" s="201"/>
      <c r="I52" s="201"/>
      <c r="J52" s="201"/>
      <c r="K52" s="201"/>
      <c r="L52" s="201"/>
      <c r="M52" s="201"/>
      <c r="N52" s="201"/>
      <c r="O52" s="201"/>
      <c r="P52" s="201"/>
      <c r="Q52" s="201"/>
      <c r="R52" s="201"/>
      <c r="S52" s="201"/>
      <c r="T52" s="201"/>
      <c r="U52" s="201"/>
      <c r="V52" s="52"/>
      <c r="W52" s="52"/>
      <c r="X52" s="52"/>
      <c r="Y52" s="52"/>
      <c r="Z52" s="52"/>
    </row>
    <row r="53" spans="1:26">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5948-BD4D-4E79-903C-615A626D3378}">
  <dimension ref="A1:AA60"/>
  <sheetViews>
    <sheetView zoomScale="83" workbookViewId="0"/>
  </sheetViews>
  <sheetFormatPr defaultRowHeight="14"/>
  <cols>
    <col min="1" max="1" width="37.83203125" customWidth="1"/>
    <col min="2" max="2" width="43.75" customWidth="1"/>
    <col min="3" max="3" width="43.58203125" customWidth="1"/>
    <col min="4" max="4" width="17.1640625" customWidth="1"/>
    <col min="9" max="9" width="26.58203125" customWidth="1"/>
  </cols>
  <sheetData>
    <row r="1" spans="1:27" ht="23.5">
      <c r="A1" s="371" t="s">
        <v>1637</v>
      </c>
      <c r="B1" s="439">
        <f ca="1">NOW()</f>
        <v>46123.96989375</v>
      </c>
      <c r="C1" s="371"/>
      <c r="D1" s="201"/>
      <c r="E1" s="201"/>
      <c r="F1" s="201"/>
      <c r="G1" s="27"/>
      <c r="H1" s="201"/>
      <c r="I1" s="201"/>
      <c r="J1" s="52"/>
      <c r="K1" s="52"/>
      <c r="L1" s="52"/>
      <c r="M1" s="52"/>
      <c r="N1" s="52"/>
      <c r="O1" s="52"/>
      <c r="P1" s="52"/>
      <c r="Q1" s="52"/>
      <c r="R1" s="52"/>
      <c r="S1" s="52"/>
      <c r="T1" s="52"/>
      <c r="U1" s="52"/>
      <c r="V1" s="52"/>
      <c r="W1" s="52"/>
      <c r="X1" s="52"/>
      <c r="Y1" s="52"/>
      <c r="Z1" s="52"/>
    </row>
    <row r="2" spans="1:27" ht="23">
      <c r="A2" s="372" t="s">
        <v>1348</v>
      </c>
      <c r="B2" s="372" t="s">
        <v>1636</v>
      </c>
      <c r="C2" s="372" t="s">
        <v>1628</v>
      </c>
      <c r="D2" s="372" t="s">
        <v>1294</v>
      </c>
      <c r="E2" s="315"/>
      <c r="F2" s="315"/>
      <c r="G2" s="27"/>
      <c r="H2" s="315"/>
      <c r="I2" s="315"/>
      <c r="J2" s="52"/>
      <c r="K2" s="52"/>
      <c r="L2" s="52"/>
      <c r="M2" s="52"/>
      <c r="N2" s="52"/>
      <c r="O2" s="52"/>
      <c r="P2" s="52"/>
      <c r="Q2" s="52"/>
      <c r="R2" s="52"/>
      <c r="S2" s="52"/>
      <c r="T2" s="52"/>
      <c r="U2" s="52"/>
      <c r="V2" s="52"/>
      <c r="W2" s="52"/>
      <c r="X2" s="52"/>
      <c r="Y2" s="52"/>
      <c r="Z2" s="52"/>
    </row>
    <row r="3" spans="1:27" ht="23">
      <c r="A3" s="373" t="s">
        <v>1629</v>
      </c>
      <c r="B3" s="372" t="str">
        <f>IF((Balance_Sheet!K36 - (Balance_Sheet!J36 + 'Profit Loss'!K20 + 'Cash Flow'!K42))&lt;1,
"OK",
IF(ABS(Balance_Sheet!K36 - (Balance_Sheet!J36 + 'Profit Loss'!K20 + 'Cash Flow'!K42))&lt;100,
"WARNING",
"ERROR"))</f>
        <v>OK</v>
      </c>
      <c r="C3" s="438" t="str">
        <f t="shared" ref="C3:C11" si="0">B3</f>
        <v>OK</v>
      </c>
      <c r="D3" s="429" t="s">
        <v>1871</v>
      </c>
      <c r="E3" s="429"/>
      <c r="F3" s="429"/>
      <c r="G3" s="429"/>
      <c r="H3" s="429"/>
      <c r="I3" s="429"/>
      <c r="J3" s="52"/>
      <c r="K3" s="52"/>
      <c r="L3" s="52"/>
      <c r="M3" s="52"/>
      <c r="N3" s="52"/>
      <c r="O3" s="52"/>
      <c r="P3" s="52"/>
      <c r="Q3" s="52"/>
      <c r="R3" s="52"/>
      <c r="S3" s="52"/>
      <c r="T3" s="52"/>
      <c r="U3" s="52"/>
      <c r="V3" s="52"/>
      <c r="W3" s="52"/>
      <c r="X3" s="52"/>
      <c r="Y3" s="52"/>
      <c r="Z3" s="52"/>
    </row>
    <row r="4" spans="1:27" ht="23">
      <c r="A4" s="373" t="s">
        <v>1630</v>
      </c>
      <c r="B4" s="372" t="str">
        <f>IF(ABS('Cash Flow'!K7-'Profit Loss'!K8)&lt;1,
"OK",
IF(ABS('Cash Flow'!K7-'Profit Loss'!K8)&lt;100,
"WARNING",
"ERROR"))</f>
        <v>OK</v>
      </c>
      <c r="C4" s="438" t="str">
        <f t="shared" si="0"/>
        <v>OK</v>
      </c>
      <c r="D4" s="429" t="s">
        <v>1872</v>
      </c>
      <c r="E4" s="429"/>
      <c r="F4" s="429"/>
      <c r="G4" s="429"/>
      <c r="H4" s="429"/>
      <c r="I4" s="429"/>
      <c r="J4" s="52"/>
      <c r="K4" s="52"/>
      <c r="L4" s="52"/>
      <c r="M4" s="52"/>
      <c r="N4" s="52"/>
      <c r="O4" s="52"/>
      <c r="P4" s="52"/>
      <c r="Q4" s="52"/>
      <c r="R4" s="52"/>
      <c r="S4" s="52"/>
      <c r="T4" s="52"/>
      <c r="U4" s="52"/>
      <c r="V4" s="52"/>
      <c r="W4" s="52"/>
      <c r="X4" s="52"/>
      <c r="Y4" s="52"/>
      <c r="Z4" s="52"/>
    </row>
    <row r="5" spans="1:27" ht="23">
      <c r="A5" s="373" t="s">
        <v>906</v>
      </c>
      <c r="B5" s="372" t="str">
        <f>IF((Balance_Sheet!K27-(Balance_Sheet!J27+'Cash Flow'!K43-'Cash Flow'!K48))&lt;1,
"OK",
IF(ABS(Balance_Sheet!K27-(Balance_Sheet!J27+'Cash Flow'!K43-'Cash Flow'!K48))&lt;100,
"WARNING",
"ERROR"))</f>
        <v>OK</v>
      </c>
      <c r="C5" s="438" t="str">
        <f t="shared" si="0"/>
        <v>OK</v>
      </c>
      <c r="D5" s="429" t="s">
        <v>1873</v>
      </c>
      <c r="E5" s="429"/>
      <c r="F5" s="429"/>
      <c r="G5" s="429"/>
      <c r="H5" s="429"/>
      <c r="I5" s="429"/>
      <c r="J5" s="52"/>
      <c r="K5" s="52"/>
      <c r="L5" s="52"/>
      <c r="M5" s="52"/>
      <c r="N5" s="52"/>
      <c r="O5" s="52"/>
      <c r="P5" s="52"/>
      <c r="Q5" s="52"/>
      <c r="R5" s="52"/>
      <c r="S5" s="52"/>
      <c r="T5" s="52"/>
      <c r="U5" s="52"/>
      <c r="V5" s="52"/>
      <c r="W5" s="52"/>
      <c r="X5" s="52"/>
      <c r="Y5" s="52"/>
      <c r="Z5" s="52"/>
    </row>
    <row r="6" spans="1:27" ht="23">
      <c r="A6" s="373" t="s">
        <v>1631</v>
      </c>
      <c r="B6" s="372" t="str">
        <f>IF(AND(ISNUMBER('Cash Flow'!K23),'Cash Flow'!K23&lt;&gt;0),"OK","ERROR")</f>
        <v>OK</v>
      </c>
      <c r="C6" s="438" t="str">
        <f t="shared" si="0"/>
        <v>OK</v>
      </c>
      <c r="D6" s="429" t="s">
        <v>1874</v>
      </c>
      <c r="E6" s="429"/>
      <c r="F6" s="429"/>
      <c r="G6" s="429"/>
      <c r="H6" s="429"/>
      <c r="I6" s="429"/>
      <c r="J6" s="52"/>
      <c r="K6" s="52"/>
      <c r="L6" s="52"/>
      <c r="M6" s="52"/>
      <c r="N6" s="52"/>
      <c r="O6" s="52"/>
      <c r="P6" s="52"/>
      <c r="Q6" s="52"/>
      <c r="R6" s="52"/>
      <c r="S6" s="52"/>
      <c r="T6" s="52"/>
      <c r="U6" s="52"/>
      <c r="V6" s="52"/>
      <c r="W6" s="52"/>
      <c r="X6" s="52"/>
      <c r="Y6" s="52"/>
      <c r="Z6" s="52"/>
    </row>
    <row r="7" spans="1:27" ht="23">
      <c r="A7" s="373" t="s">
        <v>1632</v>
      </c>
      <c r="B7" s="372" t="str">
        <f>IF((Balance_Sheet!K27-(Balance_Sheet!J27+'Cash Flow'!K43-'Cash Flow'!K48))&lt;1,
"OK",
IF(ABS(Balance_Sheet!K27-(Balance_Sheet!J27+'Cash Flow'!K43-'Cash Flow'!K48))&lt;100,
"WARNING",
"ERROR"))</f>
        <v>OK</v>
      </c>
      <c r="C7" s="438" t="str">
        <f t="shared" si="0"/>
        <v>OK</v>
      </c>
      <c r="D7" s="429" t="s">
        <v>1875</v>
      </c>
      <c r="E7" s="429"/>
      <c r="F7" s="429"/>
      <c r="G7" s="429"/>
      <c r="H7" s="429"/>
      <c r="I7" s="429"/>
      <c r="J7" s="52"/>
      <c r="K7" s="52"/>
      <c r="L7" s="52"/>
      <c r="M7" s="52"/>
      <c r="N7" s="52"/>
      <c r="O7" s="52"/>
      <c r="P7" s="52"/>
      <c r="Q7" s="52"/>
      <c r="R7" s="52"/>
      <c r="S7" s="52"/>
      <c r="T7" s="52"/>
      <c r="U7" s="52"/>
      <c r="V7" s="52"/>
      <c r="W7" s="52"/>
      <c r="X7" s="52"/>
      <c r="Y7" s="52"/>
      <c r="Z7" s="52"/>
    </row>
    <row r="8" spans="1:27" ht="23">
      <c r="A8" s="373" t="s">
        <v>942</v>
      </c>
      <c r="B8" s="372" t="str">
        <f>IF(AND(ISNUMBER('Cash Flow'!K23),'Cash Flow'!K23&lt;&gt;0),"OK","ERROR")</f>
        <v>OK</v>
      </c>
      <c r="C8" s="438" t="str">
        <f t="shared" si="0"/>
        <v>OK</v>
      </c>
      <c r="D8" s="429" t="s">
        <v>1883</v>
      </c>
      <c r="E8" s="429"/>
      <c r="F8" s="429"/>
      <c r="G8" s="429"/>
      <c r="H8" s="429"/>
      <c r="I8" s="429"/>
      <c r="J8" s="52"/>
      <c r="K8" s="52"/>
      <c r="L8" s="52"/>
      <c r="M8" s="52"/>
      <c r="N8" s="52"/>
      <c r="O8" s="52"/>
      <c r="P8" s="52"/>
      <c r="Q8" s="52"/>
      <c r="R8" s="52"/>
      <c r="S8" s="52"/>
      <c r="T8" s="52"/>
      <c r="U8" s="52"/>
      <c r="V8" s="52"/>
      <c r="W8" s="52"/>
      <c r="X8" s="52"/>
      <c r="Y8" s="52"/>
      <c r="Z8" s="52"/>
    </row>
    <row r="9" spans="1:27" ht="23">
      <c r="A9" s="373" t="s">
        <v>1633</v>
      </c>
      <c r="B9" s="372" t="str">
        <f>IF(ABS('DDM FCFF FCFE RelativeValuation'!H129 - ('DDM FCFF FCFE RelativeValuation'!B129*(1-'DDM FCFF FCFE RelativeValuation'!B116) + 'DDM FCFF FCFE RelativeValuation'!E129 - 'DDM FCFF FCFE RelativeValuation'!F129 - 'DDM FCFF FCFE RelativeValuation'!G129))&lt;1,
"OK",
IF(ABS('DDM FCFF FCFE RelativeValuation'!H129 - ('DDM FCFF FCFE RelativeValuation'!B129*(1-'DDM FCFF FCFE RelativeValuation'!B116) + 'DDM FCFF FCFE RelativeValuation'!E129 - 'DDM FCFF FCFE RelativeValuation'!F129 - 'DDM FCFF FCFE RelativeValuation'!G129))&lt;100,
"WARNING","ERROR"))</f>
        <v>OK</v>
      </c>
      <c r="C9" s="438" t="str">
        <f t="shared" si="0"/>
        <v>OK</v>
      </c>
      <c r="D9" s="429" t="s">
        <v>1882</v>
      </c>
      <c r="E9" s="429"/>
      <c r="F9" s="429"/>
      <c r="G9" s="429"/>
      <c r="H9" s="429"/>
      <c r="I9" s="429"/>
      <c r="J9" s="52"/>
      <c r="K9" s="52"/>
      <c r="L9" s="52"/>
      <c r="M9" s="52"/>
      <c r="N9" s="52"/>
      <c r="O9" s="52"/>
      <c r="P9" s="52"/>
      <c r="Q9" s="52"/>
      <c r="R9" s="52"/>
      <c r="S9" s="52"/>
      <c r="T9" s="52"/>
      <c r="U9" s="52"/>
      <c r="V9" s="52"/>
      <c r="W9" s="52"/>
      <c r="X9" s="52"/>
      <c r="Y9" s="52"/>
      <c r="Z9" s="52"/>
    </row>
    <row r="10" spans="1:27" ht="23">
      <c r="A10" s="373" t="s">
        <v>1634</v>
      </c>
      <c r="B10" s="372" t="str">
        <f>IF('DCF Valuation'!B13&lt;=0,
"ERROR",
IF('DCF Valuation'!B13&gt;1000000000,
"WARNING",
"OK"))</f>
        <v>OK</v>
      </c>
      <c r="C10" s="438" t="str">
        <f t="shared" si="0"/>
        <v>OK</v>
      </c>
      <c r="D10" s="429" t="s">
        <v>1881</v>
      </c>
      <c r="E10" s="429"/>
      <c r="F10" s="429"/>
      <c r="G10" s="429"/>
      <c r="H10" s="429"/>
      <c r="I10" s="429"/>
      <c r="J10" s="52"/>
      <c r="K10" s="52"/>
      <c r="L10" s="52"/>
      <c r="M10" s="52"/>
      <c r="N10" s="52"/>
      <c r="O10" s="52"/>
      <c r="P10" s="52"/>
      <c r="Q10" s="52"/>
      <c r="R10" s="52"/>
      <c r="S10" s="52"/>
      <c r="T10" s="52"/>
      <c r="U10" s="52"/>
      <c r="V10" s="52"/>
      <c r="W10" s="52"/>
      <c r="X10" s="52"/>
      <c r="Y10" s="52"/>
      <c r="Z10" s="52"/>
    </row>
    <row r="11" spans="1:27" ht="23">
      <c r="A11" s="373" t="s">
        <v>1635</v>
      </c>
      <c r="B11" s="372" t="str">
        <f>IF('Investment Recommendation'!B25&lt;=0,
"ERROR",
IF('Investment Recommendation'!B25&gt;10000,
"WARNING",
"OK"))</f>
        <v>OK</v>
      </c>
      <c r="C11" s="438" t="str">
        <f t="shared" si="0"/>
        <v>OK</v>
      </c>
      <c r="D11" s="429" t="s">
        <v>1876</v>
      </c>
      <c r="E11" s="429"/>
      <c r="F11" s="429"/>
      <c r="G11" s="429"/>
      <c r="H11" s="429"/>
      <c r="I11" s="429"/>
      <c r="J11" s="52"/>
      <c r="K11" s="52"/>
      <c r="L11" s="52"/>
      <c r="M11" s="52"/>
      <c r="N11" s="52"/>
      <c r="O11" s="52"/>
      <c r="P11" s="52"/>
      <c r="Q11" s="52"/>
      <c r="R11" s="52"/>
      <c r="S11" s="52"/>
      <c r="T11" s="52"/>
      <c r="U11" s="52"/>
      <c r="V11" s="52"/>
      <c r="W11" s="52"/>
      <c r="X11" s="52"/>
      <c r="Y11" s="52"/>
      <c r="Z11" s="52"/>
    </row>
    <row r="12" spans="1:27" ht="23">
      <c r="A12" s="373" t="s">
        <v>1864</v>
      </c>
      <c r="B12" s="372" t="str">
        <f>IF(COUNTIF(C:C,"ERROR")&gt;0,
"❌ MODEL HAS ERRORS",
IF(COUNTIF(C:C,"WARNING")&gt;0,
"⚠️ MODEL HAS WARNINGS",
"✅ MODEL IS CLEAN"))</f>
        <v>✅ MODEL IS CLEAN</v>
      </c>
      <c r="C12" s="438" t="str">
        <f>IF(COUNTIF(D:D,"ERROR")&gt;0,
"❌ MODEL HAS ERRORS",
IF(COUNTIF(D:D,"WARNING")&gt;0,
"⚠️ MODEL HAS WARNINGS",
"✅ MODEL IS CLEAN"))</f>
        <v>✅ MODEL IS CLEAN</v>
      </c>
      <c r="D12" s="429" t="s">
        <v>1877</v>
      </c>
      <c r="E12" s="429"/>
      <c r="F12" s="429"/>
      <c r="G12" s="429"/>
      <c r="H12" s="429"/>
      <c r="I12" s="429"/>
      <c r="J12" s="52"/>
      <c r="K12" s="52"/>
      <c r="L12" s="52"/>
      <c r="M12" s="52"/>
      <c r="N12" s="52"/>
      <c r="O12" s="52"/>
      <c r="P12" s="52"/>
      <c r="Q12" s="52"/>
      <c r="R12" s="52"/>
      <c r="S12" s="52"/>
      <c r="T12" s="52"/>
      <c r="U12" s="52"/>
      <c r="V12" s="52"/>
      <c r="W12" s="52"/>
      <c r="X12" s="52"/>
      <c r="Y12" s="52"/>
      <c r="Z12" s="52"/>
    </row>
    <row r="13" spans="1:27" ht="23">
      <c r="A13" s="373" t="s">
        <v>1868</v>
      </c>
      <c r="B13" s="440">
        <f>COUNTIF(C:C,"ERROR")</f>
        <v>0</v>
      </c>
      <c r="C13" s="441">
        <f>COUNTIF(D:D,"ERROR")</f>
        <v>0</v>
      </c>
      <c r="D13" s="429" t="s">
        <v>1878</v>
      </c>
      <c r="E13" s="429"/>
      <c r="F13" s="429"/>
      <c r="G13" s="429"/>
      <c r="H13" s="429"/>
      <c r="I13" s="429"/>
      <c r="J13" s="52"/>
      <c r="K13" s="52"/>
      <c r="L13" s="52"/>
      <c r="M13" s="52"/>
      <c r="N13" s="52"/>
      <c r="O13" s="52"/>
      <c r="P13" s="52"/>
      <c r="Q13" s="52"/>
      <c r="R13" s="52"/>
      <c r="S13" s="52"/>
      <c r="T13" s="52"/>
      <c r="U13" s="52"/>
      <c r="V13" s="52"/>
      <c r="W13" s="52"/>
      <c r="X13" s="52"/>
      <c r="Y13" s="52"/>
      <c r="Z13" s="52"/>
    </row>
    <row r="14" spans="1:27" ht="23">
      <c r="A14" s="373" t="s">
        <v>1869</v>
      </c>
      <c r="B14" s="440">
        <f>COUNTIF(C:C,"WARNING")</f>
        <v>0</v>
      </c>
      <c r="C14" s="441">
        <f>COUNTIF(D:D,"WARNING")</f>
        <v>0</v>
      </c>
      <c r="D14" s="429" t="s">
        <v>1879</v>
      </c>
      <c r="E14" s="429"/>
      <c r="F14" s="429"/>
      <c r="G14" s="429"/>
      <c r="H14" s="429"/>
      <c r="I14" s="429"/>
      <c r="J14" s="52"/>
      <c r="K14" s="52"/>
      <c r="L14" s="52"/>
      <c r="M14" s="52"/>
      <c r="N14" s="52"/>
      <c r="O14" s="52"/>
      <c r="P14" s="52"/>
      <c r="Q14" s="52"/>
      <c r="R14" s="52"/>
      <c r="S14" s="52"/>
      <c r="T14" s="52"/>
      <c r="U14" s="52"/>
      <c r="V14" s="52"/>
      <c r="W14" s="52"/>
      <c r="X14" s="52"/>
      <c r="Y14" s="52"/>
      <c r="Z14" s="52"/>
    </row>
    <row r="15" spans="1:27" ht="23">
      <c r="A15" s="373" t="s">
        <v>1870</v>
      </c>
      <c r="B15" s="372" t="str">
        <f>IF(COUNTIF(C:C,"ERROR")&gt;0,
"❌ Fix Errors",
IF(COUNTIF(C:C,"WARNING")&gt;0,
"⚠️ Review Warnings",
"✅ Model Ready for Use"))</f>
        <v>✅ Model Ready for Use</v>
      </c>
      <c r="C15" s="438" t="str">
        <f>IF(COUNTIF(D:D,"ERROR")&gt;0,
"❌ Fix Errors",
IF(COUNTIF(D:D,"WARNING")&gt;0,
"⚠️ Review Warnings",
"✅ Model Ready for Use"))</f>
        <v>✅ Model Ready for Use</v>
      </c>
      <c r="D15" s="429" t="s">
        <v>1880</v>
      </c>
      <c r="E15" s="429"/>
      <c r="F15" s="429"/>
      <c r="G15" s="429"/>
      <c r="H15" s="429"/>
      <c r="I15" s="429"/>
      <c r="J15" s="52"/>
      <c r="K15" s="52"/>
      <c r="L15" s="52"/>
      <c r="M15" s="52"/>
      <c r="N15" s="52"/>
      <c r="O15" s="52"/>
      <c r="P15" s="52"/>
      <c r="Q15" s="52"/>
      <c r="R15" s="52"/>
      <c r="S15" s="52"/>
      <c r="T15" s="52"/>
      <c r="U15" s="52"/>
      <c r="V15" s="52"/>
      <c r="W15" s="52"/>
      <c r="X15" s="52"/>
      <c r="Y15" s="52"/>
      <c r="Z15" s="52"/>
    </row>
    <row r="16" spans="1:27">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row>
    <row r="17" spans="1:27">
      <c r="A17" s="27" t="s">
        <v>1863</v>
      </c>
      <c r="B17" s="27"/>
      <c r="C17" s="52"/>
      <c r="D17" s="52"/>
      <c r="E17" s="52"/>
      <c r="F17" s="52"/>
      <c r="G17" s="52"/>
      <c r="H17" s="52"/>
      <c r="I17" s="52"/>
      <c r="J17" s="52"/>
      <c r="K17" s="52"/>
      <c r="L17" s="52"/>
      <c r="M17" s="52"/>
      <c r="N17" s="52"/>
      <c r="O17" s="52"/>
      <c r="P17" s="52"/>
      <c r="Q17" s="52"/>
      <c r="R17" s="52"/>
      <c r="S17" s="52"/>
      <c r="T17" s="52"/>
      <c r="U17" s="52"/>
      <c r="V17" s="52"/>
      <c r="W17" s="52"/>
      <c r="X17" s="52"/>
      <c r="Y17" s="52"/>
      <c r="Z17" s="52"/>
      <c r="AA17" s="52"/>
    </row>
    <row r="18" spans="1:27">
      <c r="A18" s="429" t="s">
        <v>1865</v>
      </c>
      <c r="B18" s="429"/>
      <c r="C18" s="52"/>
      <c r="D18" s="52"/>
      <c r="E18" s="52"/>
      <c r="F18" s="52"/>
      <c r="G18" s="52"/>
      <c r="H18" s="52"/>
      <c r="I18" s="52"/>
      <c r="J18" s="52"/>
      <c r="K18" s="52"/>
      <c r="L18" s="52"/>
      <c r="M18" s="52"/>
      <c r="N18" s="52"/>
      <c r="O18" s="52"/>
      <c r="P18" s="52"/>
      <c r="Q18" s="52"/>
      <c r="R18" s="52"/>
      <c r="S18" s="52"/>
      <c r="T18" s="52"/>
      <c r="U18" s="52"/>
      <c r="V18" s="52"/>
      <c r="W18" s="52"/>
      <c r="X18" s="52"/>
      <c r="Y18" s="52"/>
      <c r="Z18" s="52"/>
      <c r="AA18" s="52"/>
    </row>
    <row r="19" spans="1:27">
      <c r="A19" s="63" t="s">
        <v>1866</v>
      </c>
      <c r="B19" s="63"/>
      <c r="C19" s="52"/>
      <c r="D19" s="52"/>
      <c r="E19" s="52"/>
      <c r="F19" s="52"/>
      <c r="G19" s="52"/>
      <c r="H19" s="52"/>
      <c r="I19" s="52"/>
      <c r="J19" s="52"/>
      <c r="K19" s="52"/>
      <c r="L19" s="52"/>
      <c r="M19" s="52"/>
      <c r="N19" s="52"/>
      <c r="O19" s="52"/>
      <c r="P19" s="52"/>
      <c r="Q19" s="52"/>
      <c r="R19" s="52"/>
      <c r="S19" s="52"/>
      <c r="T19" s="52"/>
      <c r="U19" s="52"/>
      <c r="V19" s="52"/>
      <c r="W19" s="52"/>
      <c r="X19" s="52"/>
      <c r="Y19" s="52"/>
      <c r="Z19" s="52"/>
      <c r="AA19" s="52"/>
    </row>
    <row r="20" spans="1:27">
      <c r="A20" s="416" t="s">
        <v>1867</v>
      </c>
      <c r="B20" s="416"/>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spans="1:27">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row>
    <row r="22" spans="1:27">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row>
    <row r="23" spans="1:27">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row>
    <row r="24" spans="1:27">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spans="1:27">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row>
    <row r="26" spans="1:27">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row>
    <row r="27" spans="1:27">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row>
    <row r="28" spans="1:27">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row>
    <row r="29" spans="1:27">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row>
    <row r="30" spans="1:27">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row>
    <row r="31" spans="1:27">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row>
    <row r="32" spans="1:27">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row>
    <row r="33" spans="1:27">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row>
    <row r="34" spans="1:27">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row>
    <row r="35" spans="1:27">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row>
    <row r="36" spans="1:27">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row>
    <row r="37" spans="1:27">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spans="1:27">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spans="1:27">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spans="1:27">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spans="1:27">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spans="1:27">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spans="1:27">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spans="1:27">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spans="1:27">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spans="1:27">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spans="1:2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spans="1:27">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spans="1:27">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spans="1:27">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spans="1:27">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spans="1:27">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spans="1:27">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spans="1:27">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spans="1:27">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spans="1:27">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spans="1:2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spans="1:27">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spans="1:27">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spans="1:27">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05B9-555E-456C-BC29-FEE4F697A8A7}">
  <dimension ref="A1:Z100"/>
  <sheetViews>
    <sheetView zoomScale="80" zoomScaleNormal="80" workbookViewId="0"/>
  </sheetViews>
  <sheetFormatPr defaultRowHeight="14"/>
  <cols>
    <col min="1" max="1" width="87" customWidth="1"/>
    <col min="2" max="2" width="15" customWidth="1"/>
    <col min="3" max="3" width="12.25" customWidth="1"/>
    <col min="4" max="4" width="13.83203125" customWidth="1"/>
    <col min="5" max="5" width="14" customWidth="1"/>
    <col min="6" max="7" width="12.83203125" customWidth="1"/>
    <col min="8" max="8" width="12.25" customWidth="1"/>
    <col min="9" max="9" width="13.25" customWidth="1"/>
    <col min="10" max="10" width="13.75" customWidth="1"/>
    <col min="11" max="11" width="13.4140625" customWidth="1"/>
    <col min="13" max="13" width="15.58203125" customWidth="1"/>
    <col min="14" max="14" width="13.75" customWidth="1"/>
    <col min="15" max="15" width="11.4140625" customWidth="1"/>
  </cols>
  <sheetData>
    <row r="1" spans="1:26">
      <c r="A1" s="3" t="s">
        <v>0</v>
      </c>
      <c r="B1" s="4" t="s">
        <v>119</v>
      </c>
      <c r="C1" s="4" t="s">
        <v>120</v>
      </c>
      <c r="D1" s="4" t="s">
        <v>121</v>
      </c>
      <c r="E1" s="4" t="s">
        <v>122</v>
      </c>
      <c r="F1" s="4" t="s">
        <v>123</v>
      </c>
      <c r="G1" s="3" t="s">
        <v>124</v>
      </c>
      <c r="H1" s="3" t="s">
        <v>125</v>
      </c>
      <c r="I1" s="3" t="s">
        <v>126</v>
      </c>
      <c r="J1" s="3" t="s">
        <v>127</v>
      </c>
      <c r="K1" s="3" t="s">
        <v>128</v>
      </c>
      <c r="L1" s="53"/>
      <c r="M1" s="53"/>
      <c r="N1" s="53"/>
      <c r="O1" s="53"/>
      <c r="P1" s="71"/>
      <c r="Q1" s="55"/>
      <c r="R1" s="52"/>
      <c r="S1" s="52"/>
      <c r="T1" s="52"/>
      <c r="U1" s="52"/>
      <c r="V1" s="52"/>
      <c r="W1" s="52"/>
      <c r="X1" s="52"/>
      <c r="Y1" s="52"/>
      <c r="Z1" s="52"/>
    </row>
    <row r="2" spans="1:26">
      <c r="A2" s="28" t="s">
        <v>116</v>
      </c>
      <c r="B2" s="99"/>
      <c r="C2" s="99"/>
      <c r="D2" s="100"/>
      <c r="E2" s="100"/>
      <c r="F2" s="100"/>
      <c r="G2" s="101"/>
      <c r="H2" s="83"/>
      <c r="I2" s="83"/>
      <c r="J2" s="82"/>
      <c r="K2" s="82"/>
      <c r="L2" s="53"/>
      <c r="M2" s="393" t="s">
        <v>481</v>
      </c>
      <c r="N2" s="393" t="s">
        <v>483</v>
      </c>
      <c r="O2" s="53"/>
      <c r="P2" s="71"/>
      <c r="Q2" s="55"/>
      <c r="R2" s="51"/>
      <c r="S2" s="51"/>
      <c r="T2" s="51"/>
      <c r="U2" s="51"/>
      <c r="V2" s="51"/>
      <c r="W2" s="51"/>
      <c r="X2" s="51"/>
      <c r="Y2" s="51"/>
      <c r="Z2" s="51"/>
    </row>
    <row r="3" spans="1:26">
      <c r="A3" s="28" t="s">
        <v>2</v>
      </c>
      <c r="B3" s="99"/>
      <c r="C3" s="99"/>
      <c r="D3" s="102" t="s">
        <v>26</v>
      </c>
      <c r="E3" s="102" t="s">
        <v>26</v>
      </c>
      <c r="F3" s="102" t="s">
        <v>26</v>
      </c>
      <c r="G3" s="101"/>
      <c r="H3" s="83"/>
      <c r="I3" s="83"/>
      <c r="J3" s="82"/>
      <c r="K3" s="82"/>
      <c r="L3" s="53"/>
      <c r="M3" s="394" t="s">
        <v>482</v>
      </c>
      <c r="N3" s="394" t="s">
        <v>484</v>
      </c>
      <c r="O3" s="53"/>
      <c r="P3" s="71"/>
      <c r="Q3" s="55"/>
      <c r="R3" s="51"/>
      <c r="S3" s="51"/>
      <c r="T3" s="51"/>
      <c r="U3" s="51"/>
      <c r="V3" s="51"/>
      <c r="W3" s="51"/>
      <c r="X3" s="51"/>
      <c r="Y3" s="51"/>
      <c r="Z3" s="51"/>
    </row>
    <row r="4" spans="1:26">
      <c r="A4" s="28" t="s">
        <v>3</v>
      </c>
      <c r="B4" s="99">
        <v>15301</v>
      </c>
      <c r="C4" s="99">
        <v>18884</v>
      </c>
      <c r="D4" s="103">
        <v>22237</v>
      </c>
      <c r="E4" s="103">
        <v>25098</v>
      </c>
      <c r="F4" s="103">
        <v>28167</v>
      </c>
      <c r="G4" s="252">
        <f>Table1[[#This Row],[2024]]*(1+Assumptions!H5)</f>
        <v>31547.040000000005</v>
      </c>
      <c r="H4" s="252">
        <f>Table1[[#This Row],[2025E]]*(1+Assumptions!I5)</f>
        <v>35648.155200000001</v>
      </c>
      <c r="I4" s="252">
        <f>Table1[[#This Row],[2026E]]*(1+Assumptions!J5)</f>
        <v>39925.933824000007</v>
      </c>
      <c r="J4" s="252">
        <f>Table1[[#This Row],[2027E]]*(1+Assumptions!K5)</f>
        <v>44317.78654464001</v>
      </c>
      <c r="K4" s="252">
        <f>Table1[[#This Row],[2028E]]*(1+Assumptions!L5)</f>
        <v>48749.565199104014</v>
      </c>
      <c r="L4" s="53"/>
      <c r="M4" s="53"/>
      <c r="N4" s="53"/>
      <c r="O4" s="53"/>
      <c r="P4" s="71"/>
      <c r="Q4" s="55"/>
      <c r="R4" s="51"/>
      <c r="S4" s="51"/>
      <c r="T4" s="51"/>
      <c r="U4" s="51"/>
      <c r="V4" s="51"/>
      <c r="W4" s="51"/>
      <c r="X4" s="51"/>
      <c r="Y4" s="51"/>
      <c r="Z4" s="51"/>
    </row>
    <row r="5" spans="1:26">
      <c r="A5" s="28" t="s">
        <v>4</v>
      </c>
      <c r="B5" s="99"/>
      <c r="C5" s="99"/>
      <c r="D5" s="102" t="s">
        <v>26</v>
      </c>
      <c r="E5" s="102" t="s">
        <v>26</v>
      </c>
      <c r="F5" s="102" t="s">
        <v>26</v>
      </c>
      <c r="G5" s="83"/>
      <c r="H5" s="83"/>
      <c r="I5" s="83"/>
      <c r="J5" s="82"/>
      <c r="K5" s="82"/>
      <c r="L5" s="53"/>
      <c r="M5" s="53"/>
      <c r="N5" s="53"/>
      <c r="O5" s="53"/>
      <c r="P5" s="71"/>
      <c r="Q5" s="55"/>
      <c r="R5" s="51"/>
      <c r="S5" s="51"/>
      <c r="T5" s="51"/>
      <c r="U5" s="51"/>
      <c r="V5" s="51"/>
      <c r="W5" s="51"/>
      <c r="X5" s="51"/>
      <c r="Y5" s="51"/>
      <c r="Z5" s="51"/>
    </row>
    <row r="6" spans="1:26">
      <c r="A6" s="28" t="s">
        <v>5</v>
      </c>
      <c r="B6" s="99">
        <v>5910</v>
      </c>
      <c r="C6" s="99">
        <v>7087</v>
      </c>
      <c r="D6" s="104">
        <v>8078</v>
      </c>
      <c r="E6" s="104">
        <v>8927</v>
      </c>
      <c r="F6" s="104">
        <v>10193</v>
      </c>
      <c r="G6" s="252">
        <f>G4*10%</f>
        <v>3154.7040000000006</v>
      </c>
      <c r="H6" s="252">
        <f>H4*10%</f>
        <v>3564.8155200000001</v>
      </c>
      <c r="I6" s="252">
        <f>I4*10%</f>
        <v>3992.5933824000008</v>
      </c>
      <c r="J6" s="252">
        <f>J4*10%</f>
        <v>4431.7786544640012</v>
      </c>
      <c r="K6" s="252">
        <f>K4*10%</f>
        <v>4874.9565199104018</v>
      </c>
      <c r="L6" s="53"/>
      <c r="M6" s="53"/>
      <c r="N6" s="53"/>
      <c r="O6" s="53"/>
      <c r="P6" s="71"/>
      <c r="Q6" s="55"/>
      <c r="R6" s="51"/>
      <c r="S6" s="51"/>
      <c r="T6" s="51"/>
      <c r="U6" s="51"/>
      <c r="V6" s="51"/>
      <c r="W6" s="51"/>
      <c r="X6" s="51"/>
      <c r="Y6" s="51"/>
      <c r="Z6" s="51"/>
    </row>
    <row r="7" spans="1:26">
      <c r="A7" s="28" t="s">
        <v>6</v>
      </c>
      <c r="B7" s="99">
        <v>657</v>
      </c>
      <c r="C7" s="99">
        <v>895</v>
      </c>
      <c r="D7" s="104">
        <v>789</v>
      </c>
      <c r="E7" s="104">
        <v>825</v>
      </c>
      <c r="F7" s="104">
        <v>815</v>
      </c>
      <c r="G7" s="252">
        <f>G4*3%</f>
        <v>946.41120000000012</v>
      </c>
      <c r="H7" s="252">
        <f>H4*3%</f>
        <v>1069.4446559999999</v>
      </c>
      <c r="I7" s="252">
        <f>I4*3%</f>
        <v>1197.7780147200001</v>
      </c>
      <c r="J7" s="252">
        <f>J4*3%</f>
        <v>1329.5335963392004</v>
      </c>
      <c r="K7" s="252">
        <f>K4*3%</f>
        <v>1462.4869559731203</v>
      </c>
      <c r="L7" s="53"/>
      <c r="M7" s="53"/>
      <c r="N7" s="53"/>
      <c r="O7" s="53"/>
      <c r="P7" s="71"/>
      <c r="Q7" s="55"/>
      <c r="R7" s="51"/>
      <c r="S7" s="51"/>
      <c r="T7" s="51"/>
      <c r="U7" s="51"/>
      <c r="V7" s="51"/>
      <c r="W7" s="51"/>
      <c r="X7" s="51"/>
      <c r="Y7" s="51"/>
      <c r="Z7" s="51"/>
    </row>
    <row r="8" spans="1:26">
      <c r="A8" s="28" t="s">
        <v>7</v>
      </c>
      <c r="B8" s="99">
        <v>580</v>
      </c>
      <c r="C8" s="99">
        <v>726</v>
      </c>
      <c r="D8" s="104">
        <v>750</v>
      </c>
      <c r="E8" s="104">
        <v>799</v>
      </c>
      <c r="F8" s="104">
        <v>897</v>
      </c>
      <c r="G8" s="252">
        <f>G4*3%</f>
        <v>946.41120000000012</v>
      </c>
      <c r="H8" s="252">
        <f>H4*2.9%</f>
        <v>1033.7965007999999</v>
      </c>
      <c r="I8" s="252">
        <f>I4*2.8%</f>
        <v>1117.926147072</v>
      </c>
      <c r="J8" s="252">
        <f>J4*2.7%</f>
        <v>1196.5802367052804</v>
      </c>
      <c r="K8" s="252">
        <f>K4*2.6%</f>
        <v>1267.4886951767044</v>
      </c>
      <c r="L8" s="53"/>
      <c r="M8" s="53"/>
      <c r="N8" s="53"/>
      <c r="O8" s="53"/>
      <c r="P8" s="71"/>
      <c r="Q8" s="55"/>
      <c r="R8" s="51"/>
      <c r="S8" s="51"/>
      <c r="T8" s="51"/>
      <c r="U8" s="51"/>
      <c r="V8" s="51"/>
      <c r="W8" s="51"/>
      <c r="X8" s="51"/>
      <c r="Y8" s="51"/>
      <c r="Z8" s="51"/>
    </row>
    <row r="9" spans="1:26">
      <c r="A9" s="28" t="s">
        <v>8</v>
      </c>
      <c r="B9" s="99">
        <v>73</v>
      </c>
      <c r="C9" s="99">
        <v>94</v>
      </c>
      <c r="D9" s="104">
        <v>356</v>
      </c>
      <c r="E9" s="104">
        <v>539</v>
      </c>
      <c r="F9" s="104">
        <v>680</v>
      </c>
      <c r="G9" s="252">
        <f>G4*2%</f>
        <v>630.94080000000008</v>
      </c>
      <c r="H9" s="252">
        <f>H4*2%</f>
        <v>712.96310400000004</v>
      </c>
      <c r="I9" s="252">
        <f>I4*2%</f>
        <v>798.51867648000018</v>
      </c>
      <c r="J9" s="252">
        <f>J4*2%</f>
        <v>886.35573089280024</v>
      </c>
      <c r="K9" s="252">
        <f>K4*2%</f>
        <v>974.99130398208035</v>
      </c>
      <c r="L9" s="53"/>
      <c r="M9" s="53"/>
      <c r="N9" s="53"/>
      <c r="O9" s="53"/>
      <c r="P9" s="71"/>
      <c r="Q9" s="55"/>
      <c r="R9" s="51"/>
      <c r="S9" s="51"/>
      <c r="T9" s="51"/>
      <c r="U9" s="51"/>
      <c r="V9" s="51"/>
      <c r="W9" s="51"/>
      <c r="X9" s="51"/>
      <c r="Y9" s="51"/>
      <c r="Z9" s="51"/>
    </row>
    <row r="10" spans="1:26">
      <c r="A10" s="250" t="s">
        <v>9</v>
      </c>
      <c r="B10" s="33">
        <v>7220</v>
      </c>
      <c r="C10" s="33">
        <v>8802</v>
      </c>
      <c r="D10" s="251">
        <v>9973</v>
      </c>
      <c r="E10" s="251">
        <v>11090</v>
      </c>
      <c r="F10" s="251">
        <v>12585</v>
      </c>
      <c r="G10" s="253">
        <f>G4*Assumptions!B19</f>
        <v>14196.168000000001</v>
      </c>
      <c r="H10" s="253">
        <f>H4*Assumptions!B20</f>
        <v>15685.188288000001</v>
      </c>
      <c r="I10" s="253">
        <f>I4*Assumptions!B21</f>
        <v>17367.781213440005</v>
      </c>
      <c r="J10" s="253">
        <f>J4*Assumptions!B22</f>
        <v>19056.648214195204</v>
      </c>
      <c r="K10" s="254">
        <f>K4*Assumptions!B23</f>
        <v>20718.565209619206</v>
      </c>
      <c r="L10" s="53"/>
      <c r="M10" s="53"/>
      <c r="N10" s="53"/>
      <c r="O10" s="53"/>
      <c r="P10" s="71"/>
      <c r="Q10" s="55"/>
      <c r="R10" s="51"/>
      <c r="S10" s="51"/>
      <c r="T10" s="51"/>
      <c r="U10" s="51"/>
      <c r="V10" s="51"/>
      <c r="W10" s="51"/>
      <c r="X10" s="51"/>
      <c r="Y10" s="51"/>
      <c r="Z10" s="51"/>
    </row>
    <row r="11" spans="1:26">
      <c r="A11" s="28" t="s">
        <v>1455</v>
      </c>
      <c r="B11" s="99">
        <v>8081</v>
      </c>
      <c r="C11" s="99">
        <v>10082</v>
      </c>
      <c r="D11" s="104">
        <v>12264</v>
      </c>
      <c r="E11" s="104">
        <v>14008</v>
      </c>
      <c r="F11" s="104">
        <v>15582</v>
      </c>
      <c r="G11" s="252">
        <f>(G4-G10)</f>
        <v>17350.872000000003</v>
      </c>
      <c r="H11" s="252">
        <f>(H4-H10)</f>
        <v>19962.966912</v>
      </c>
      <c r="I11" s="252">
        <f>(I4-I10)</f>
        <v>22558.152610560002</v>
      </c>
      <c r="J11" s="252">
        <f>(J4-J10)</f>
        <v>25261.138330444806</v>
      </c>
      <c r="K11" s="252">
        <f>(K4-K10)</f>
        <v>28030.999989484808</v>
      </c>
      <c r="L11" s="53"/>
      <c r="M11" s="53"/>
      <c r="N11" s="53"/>
      <c r="O11" s="53"/>
      <c r="P11" s="71"/>
      <c r="Q11" s="55"/>
      <c r="R11" s="51"/>
      <c r="S11" s="51"/>
      <c r="T11" s="51"/>
      <c r="U11" s="51"/>
      <c r="V11" s="51"/>
      <c r="W11" s="51"/>
      <c r="X11" s="51"/>
      <c r="Y11" s="51"/>
      <c r="Z11" s="51"/>
    </row>
    <row r="12" spans="1:26">
      <c r="A12" s="40" t="s">
        <v>11</v>
      </c>
      <c r="B12" s="99"/>
      <c r="C12" s="99"/>
      <c r="D12" s="102" t="s">
        <v>26</v>
      </c>
      <c r="E12" s="102" t="s">
        <v>26</v>
      </c>
      <c r="F12" s="102" t="s">
        <v>26</v>
      </c>
      <c r="G12" s="101"/>
      <c r="H12" s="83"/>
      <c r="I12" s="83"/>
      <c r="J12" s="82"/>
      <c r="K12" s="82"/>
      <c r="L12" s="53"/>
      <c r="M12" s="53"/>
      <c r="N12" s="53"/>
      <c r="O12" s="53"/>
      <c r="P12" s="71"/>
      <c r="Q12" s="55"/>
      <c r="R12" s="51"/>
      <c r="S12" s="51"/>
      <c r="T12" s="51"/>
      <c r="U12" s="51"/>
      <c r="V12" s="51"/>
      <c r="W12" s="51"/>
      <c r="X12" s="51"/>
      <c r="Y12" s="51"/>
      <c r="Z12" s="51"/>
    </row>
    <row r="13" spans="1:26">
      <c r="A13" s="28" t="s">
        <v>12</v>
      </c>
      <c r="B13" s="99">
        <v>24</v>
      </c>
      <c r="C13" s="99">
        <v>11</v>
      </c>
      <c r="D13" s="104">
        <v>61</v>
      </c>
      <c r="E13" s="104">
        <v>274</v>
      </c>
      <c r="F13" s="104">
        <v>327</v>
      </c>
      <c r="G13" s="252">
        <f>Table1[[#This Row],[2024]]*1.04</f>
        <v>340.08</v>
      </c>
      <c r="H13" s="252">
        <f>Table1[[#This Row],[2025E]]*1.04</f>
        <v>353.6832</v>
      </c>
      <c r="I13" s="252">
        <f>Table1[[#This Row],[2026E]]*1.04</f>
        <v>367.83052800000002</v>
      </c>
      <c r="J13" s="252">
        <f>Table1[[#This Row],[2027E]]*1.04</f>
        <v>382.54374912000003</v>
      </c>
      <c r="K13" s="252">
        <f>Table1[[#This Row],[2028E]]*1.04</f>
        <v>397.84549908480005</v>
      </c>
      <c r="L13" s="53"/>
      <c r="M13" s="53"/>
      <c r="N13" s="53"/>
      <c r="O13" s="53"/>
      <c r="P13" s="71"/>
      <c r="Q13" s="55"/>
      <c r="R13" s="51"/>
      <c r="S13" s="51"/>
      <c r="T13" s="51"/>
      <c r="U13" s="51"/>
      <c r="V13" s="51"/>
      <c r="W13" s="51"/>
      <c r="X13" s="51"/>
      <c r="Y13" s="51"/>
      <c r="Z13" s="51"/>
    </row>
    <row r="14" spans="1:26">
      <c r="A14" s="28" t="s">
        <v>13</v>
      </c>
      <c r="B14" s="99">
        <v>30</v>
      </c>
      <c r="C14" s="99">
        <v>645</v>
      </c>
      <c r="D14" s="104">
        <v>-145</v>
      </c>
      <c r="E14" s="104">
        <v>-61</v>
      </c>
      <c r="F14" s="104">
        <v>-29</v>
      </c>
      <c r="G14" s="83">
        <v>0</v>
      </c>
      <c r="H14" s="83">
        <v>0</v>
      </c>
      <c r="I14" s="83">
        <v>0</v>
      </c>
      <c r="J14" s="83">
        <v>0</v>
      </c>
      <c r="K14" s="83">
        <v>0</v>
      </c>
      <c r="L14" s="53"/>
      <c r="M14" s="53"/>
      <c r="N14" s="53"/>
      <c r="O14" s="53"/>
      <c r="P14" s="71"/>
      <c r="Q14" s="55"/>
      <c r="R14" s="51"/>
      <c r="S14" s="51"/>
      <c r="T14" s="51"/>
      <c r="U14" s="51"/>
      <c r="V14" s="51"/>
      <c r="W14" s="51"/>
      <c r="X14" s="51"/>
      <c r="Y14" s="51"/>
      <c r="Z14" s="51"/>
    </row>
    <row r="15" spans="1:26">
      <c r="A15" s="28" t="s">
        <v>14</v>
      </c>
      <c r="B15" s="99">
        <v>-380</v>
      </c>
      <c r="C15" s="99">
        <v>-431</v>
      </c>
      <c r="D15" s="104">
        <v>-471</v>
      </c>
      <c r="E15" s="104">
        <v>-575</v>
      </c>
      <c r="F15" s="104">
        <v>-646</v>
      </c>
      <c r="G15" s="252">
        <f>G38</f>
        <v>-301.87500000000006</v>
      </c>
      <c r="H15" s="252">
        <f>H38</f>
        <v>-284.375</v>
      </c>
      <c r="I15" s="252">
        <f>I38</f>
        <v>-266.875</v>
      </c>
      <c r="J15" s="252">
        <f>J38</f>
        <v>-249.37500000000003</v>
      </c>
      <c r="K15" s="252">
        <f>K38</f>
        <v>-231.87500000000003</v>
      </c>
      <c r="L15" s="53"/>
      <c r="M15" s="53"/>
      <c r="N15" s="53"/>
      <c r="O15" s="53"/>
      <c r="P15" s="71"/>
      <c r="Q15" s="55"/>
      <c r="R15" s="51"/>
      <c r="S15" s="51"/>
      <c r="T15" s="51"/>
      <c r="U15" s="51"/>
      <c r="V15" s="51"/>
      <c r="W15" s="51"/>
      <c r="X15" s="51"/>
      <c r="Y15" s="51"/>
      <c r="Z15" s="51"/>
    </row>
    <row r="16" spans="1:26">
      <c r="A16" s="28" t="s">
        <v>15</v>
      </c>
      <c r="B16" s="99">
        <v>5</v>
      </c>
      <c r="C16" s="99">
        <v>0</v>
      </c>
      <c r="D16" s="104">
        <v>23</v>
      </c>
      <c r="E16" s="104">
        <v>-7</v>
      </c>
      <c r="F16" s="104">
        <v>20</v>
      </c>
      <c r="G16" s="83">
        <v>0</v>
      </c>
      <c r="H16" s="83">
        <v>0</v>
      </c>
      <c r="I16" s="83">
        <v>0</v>
      </c>
      <c r="J16" s="83">
        <v>0</v>
      </c>
      <c r="K16" s="83">
        <v>0</v>
      </c>
      <c r="L16" s="53"/>
      <c r="M16" s="53"/>
      <c r="N16" s="53"/>
      <c r="O16" s="53"/>
      <c r="P16" s="71"/>
      <c r="Q16" s="55"/>
      <c r="R16" s="51"/>
      <c r="S16" s="51"/>
      <c r="T16" s="51"/>
      <c r="U16" s="51"/>
      <c r="V16" s="51"/>
      <c r="W16" s="51"/>
      <c r="X16" s="51"/>
      <c r="Y16" s="51"/>
      <c r="Z16" s="51"/>
    </row>
    <row r="17" spans="1:26">
      <c r="A17" s="28" t="s">
        <v>16</v>
      </c>
      <c r="B17" s="99">
        <v>-321</v>
      </c>
      <c r="C17" s="99">
        <v>225</v>
      </c>
      <c r="D17" s="104">
        <v>-532</v>
      </c>
      <c r="E17" s="104">
        <v>-369</v>
      </c>
      <c r="F17" s="104">
        <v>-328</v>
      </c>
      <c r="G17" s="252">
        <f>G13+G14+G15+G16</f>
        <v>38.204999999999927</v>
      </c>
      <c r="H17" s="252">
        <f>H13+H14+H15+H16</f>
        <v>69.308199999999999</v>
      </c>
      <c r="I17" s="252">
        <f>I13+I14+I15+I16</f>
        <v>100.95552800000002</v>
      </c>
      <c r="J17" s="252">
        <f>J13+J14+J15+J16</f>
        <v>133.16874912</v>
      </c>
      <c r="K17" s="252">
        <f>K13+K14+K15+K16</f>
        <v>165.97049908480003</v>
      </c>
      <c r="L17" s="53"/>
      <c r="M17" s="53"/>
      <c r="N17" s="53"/>
      <c r="O17" s="53"/>
      <c r="P17" s="71"/>
      <c r="Q17" s="55"/>
      <c r="R17" s="51"/>
      <c r="S17" s="51"/>
      <c r="T17" s="51"/>
      <c r="U17" s="51"/>
      <c r="V17" s="51"/>
      <c r="W17" s="51"/>
      <c r="X17" s="51"/>
      <c r="Y17" s="51"/>
      <c r="Z17" s="51"/>
    </row>
    <row r="18" spans="1:26">
      <c r="A18" s="28" t="s">
        <v>17</v>
      </c>
      <c r="B18" s="99">
        <v>7760</v>
      </c>
      <c r="C18" s="99">
        <v>10307</v>
      </c>
      <c r="D18" s="104">
        <v>11732</v>
      </c>
      <c r="E18" s="104">
        <v>13639</v>
      </c>
      <c r="F18" s="104">
        <v>15254</v>
      </c>
      <c r="G18" s="252">
        <f>G11+G17</f>
        <v>17389.077000000005</v>
      </c>
      <c r="H18" s="252">
        <f>H11+H17</f>
        <v>20032.275111999999</v>
      </c>
      <c r="I18" s="252">
        <f>I11+I17</f>
        <v>22659.108138560001</v>
      </c>
      <c r="J18" s="252">
        <f>J11+J17</f>
        <v>25394.307079564805</v>
      </c>
      <c r="K18" s="252">
        <f>K11+K17</f>
        <v>28196.970488569608</v>
      </c>
      <c r="L18" s="53"/>
      <c r="M18" s="53"/>
      <c r="N18" s="53"/>
      <c r="O18" s="53"/>
      <c r="P18" s="71"/>
      <c r="Q18" s="55"/>
      <c r="R18" s="51"/>
      <c r="S18" s="51"/>
      <c r="T18" s="51"/>
      <c r="U18" s="51"/>
      <c r="V18" s="51"/>
      <c r="W18" s="51"/>
      <c r="X18" s="51"/>
      <c r="Y18" s="51"/>
      <c r="Z18" s="51"/>
    </row>
    <row r="19" spans="1:26">
      <c r="A19" s="28" t="s">
        <v>18</v>
      </c>
      <c r="B19" s="99">
        <v>1349</v>
      </c>
      <c r="C19" s="99">
        <v>1620</v>
      </c>
      <c r="D19" s="104">
        <v>1802</v>
      </c>
      <c r="E19" s="104">
        <v>2444</v>
      </c>
      <c r="F19" s="104">
        <v>2380</v>
      </c>
      <c r="G19" s="252">
        <f>G18*16%</f>
        <v>2782.252320000001</v>
      </c>
      <c r="H19" s="252">
        <f>H18*16%</f>
        <v>3205.1640179199999</v>
      </c>
      <c r="I19" s="252">
        <f>I18*16%</f>
        <v>3625.4573021696001</v>
      </c>
      <c r="J19" s="252">
        <f>J18*16%</f>
        <v>4063.0891327303689</v>
      </c>
      <c r="K19" s="252">
        <f>K18*16%</f>
        <v>4511.5152781711377</v>
      </c>
      <c r="L19" s="53"/>
      <c r="M19" s="53"/>
      <c r="N19" s="53"/>
      <c r="O19" s="53"/>
      <c r="P19" s="71"/>
      <c r="Q19" s="55"/>
      <c r="R19" s="51"/>
      <c r="S19" s="51"/>
      <c r="T19" s="51"/>
      <c r="U19" s="51"/>
      <c r="V19" s="51"/>
      <c r="W19" s="51"/>
      <c r="X19" s="51"/>
      <c r="Y19" s="51"/>
      <c r="Z19" s="51"/>
    </row>
    <row r="20" spans="1:26">
      <c r="A20" s="19" t="s">
        <v>19</v>
      </c>
      <c r="B20" s="22">
        <v>6411</v>
      </c>
      <c r="C20" s="22">
        <v>8687</v>
      </c>
      <c r="D20" s="105">
        <v>9930</v>
      </c>
      <c r="E20" s="105">
        <v>11195</v>
      </c>
      <c r="F20" s="105">
        <v>12874</v>
      </c>
      <c r="G20" s="106">
        <f>G18-G19</f>
        <v>14606.824680000003</v>
      </c>
      <c r="H20" s="106">
        <f>H18-H19</f>
        <v>16827.111094079999</v>
      </c>
      <c r="I20" s="106">
        <f>I18-I19</f>
        <v>19033.650836390399</v>
      </c>
      <c r="J20" s="106">
        <f>J18-J19</f>
        <v>21331.217946834437</v>
      </c>
      <c r="K20" s="106">
        <f>K18-K19</f>
        <v>23685.455210398472</v>
      </c>
      <c r="L20" s="53"/>
      <c r="M20" s="53"/>
      <c r="N20" s="53"/>
      <c r="O20" s="53"/>
      <c r="P20" s="71"/>
      <c r="Q20" s="55"/>
      <c r="R20" s="51"/>
      <c r="S20" s="51"/>
      <c r="T20" s="51"/>
      <c r="U20" s="51"/>
      <c r="V20" s="51"/>
      <c r="W20" s="51"/>
      <c r="X20" s="51"/>
      <c r="Y20" s="51"/>
      <c r="Z20" s="51"/>
    </row>
    <row r="21" spans="1:26">
      <c r="A21" s="28" t="s">
        <v>20</v>
      </c>
      <c r="B21" s="99">
        <v>6.4</v>
      </c>
      <c r="C21" s="99">
        <v>8.7899999999999991</v>
      </c>
      <c r="D21" s="107">
        <v>10.26</v>
      </c>
      <c r="E21" s="107">
        <v>11.86</v>
      </c>
      <c r="F21" s="107">
        <v>13.91</v>
      </c>
      <c r="G21" s="108">
        <f>G20/G22</f>
        <v>16.11343042471043</v>
      </c>
      <c r="H21" s="83">
        <f>H20/H22</f>
        <v>18.941557114805768</v>
      </c>
      <c r="I21" s="83">
        <f>I20/I22</f>
        <v>21.862616578896503</v>
      </c>
      <c r="J21" s="83">
        <f>J20/J22</f>
        <v>25.001704480714007</v>
      </c>
      <c r="K21" s="83">
        <f>K20/K22</f>
        <v>28.327589779329557</v>
      </c>
      <c r="L21" s="53"/>
      <c r="M21" s="53"/>
      <c r="N21" s="53"/>
      <c r="O21" s="53"/>
      <c r="P21" s="71"/>
      <c r="Q21" s="55"/>
      <c r="R21" s="51"/>
      <c r="S21" s="51"/>
      <c r="T21" s="51"/>
      <c r="U21" s="51"/>
      <c r="V21" s="51"/>
      <c r="W21" s="51"/>
      <c r="X21" s="51"/>
      <c r="Y21" s="51"/>
      <c r="Z21" s="51"/>
    </row>
    <row r="22" spans="1:26">
      <c r="A22" s="28" t="s">
        <v>21</v>
      </c>
      <c r="B22" s="99">
        <v>1002</v>
      </c>
      <c r="C22" s="99">
        <v>988</v>
      </c>
      <c r="D22" s="104">
        <v>968</v>
      </c>
      <c r="E22" s="104">
        <v>944</v>
      </c>
      <c r="F22" s="104">
        <v>925</v>
      </c>
      <c r="G22" s="252">
        <f>Table1[[#This Row],[2024]]*(1-2%)</f>
        <v>906.5</v>
      </c>
      <c r="H22" s="464">
        <f>Table1[[#This Row],[2025E]]*(1-2%)</f>
        <v>888.37</v>
      </c>
      <c r="I22" s="252">
        <f>Table1[[#This Row],[2026E]]*(1-2%)</f>
        <v>870.60259999999994</v>
      </c>
      <c r="J22" s="252">
        <f>Table1[[#This Row],[2027E]]*(1-2%)</f>
        <v>853.19054799999992</v>
      </c>
      <c r="K22" s="252">
        <f>Table1[[#This Row],[2028E]]*(1-2%)</f>
        <v>836.12673703999985</v>
      </c>
      <c r="L22" s="53"/>
      <c r="M22" s="53"/>
      <c r="N22" s="53"/>
      <c r="O22" s="53"/>
      <c r="P22" s="71"/>
      <c r="Q22" s="55"/>
      <c r="R22" s="51"/>
      <c r="S22" s="51"/>
      <c r="T22" s="51"/>
      <c r="U22" s="51"/>
      <c r="V22" s="51"/>
      <c r="W22" s="51"/>
      <c r="X22" s="51"/>
      <c r="Y22" s="51"/>
      <c r="Z22" s="51"/>
    </row>
    <row r="23" spans="1:26">
      <c r="A23" s="28" t="s">
        <v>22</v>
      </c>
      <c r="B23" s="99">
        <v>6.37</v>
      </c>
      <c r="C23" s="99">
        <v>8.76</v>
      </c>
      <c r="D23" s="107">
        <v>10.220000000000001</v>
      </c>
      <c r="E23" s="107">
        <v>11.83</v>
      </c>
      <c r="F23" s="107">
        <v>13.89</v>
      </c>
      <c r="G23" s="83">
        <f>G20/G24</f>
        <v>16.078665742024967</v>
      </c>
      <c r="H23" s="83">
        <f>H20/H24</f>
        <v>18.900690756413521</v>
      </c>
      <c r="I23" s="83">
        <f>I20/I24</f>
        <v>21.815448042588205</v>
      </c>
      <c r="J23" s="83">
        <f>J20/J24</f>
        <v>24.947763370723251</v>
      </c>
      <c r="K23" s="83">
        <f>K20/K24</f>
        <v>28.266473080776525</v>
      </c>
      <c r="L23" s="53"/>
      <c r="M23" s="53"/>
      <c r="N23" s="53"/>
      <c r="O23" s="53"/>
      <c r="P23" s="71"/>
      <c r="Q23" s="55"/>
      <c r="R23" s="51"/>
      <c r="S23" s="51"/>
      <c r="T23" s="51"/>
      <c r="U23" s="51"/>
      <c r="V23" s="51"/>
      <c r="W23" s="51"/>
      <c r="X23" s="51"/>
      <c r="Y23" s="51"/>
      <c r="Z23" s="51"/>
    </row>
    <row r="24" spans="1:26">
      <c r="A24" s="28" t="s">
        <v>23</v>
      </c>
      <c r="B24" s="99">
        <v>1006</v>
      </c>
      <c r="C24" s="99">
        <v>992</v>
      </c>
      <c r="D24" s="104">
        <v>971</v>
      </c>
      <c r="E24" s="104">
        <v>946</v>
      </c>
      <c r="F24" s="104">
        <v>927</v>
      </c>
      <c r="G24" s="252">
        <f>Table1[[#This Row],[2024]]*(1-Assumptions!B40)</f>
        <v>908.46</v>
      </c>
      <c r="H24" s="252">
        <f>Table1[[#This Row],[2025E]]*(1-Assumptions!B40)</f>
        <v>890.29079999999999</v>
      </c>
      <c r="I24" s="252">
        <f>Table1[[#This Row],[2026E]]*(1-Assumptions!B40)</f>
        <v>872.48498399999994</v>
      </c>
      <c r="J24" s="252">
        <f>Table1[[#This Row],[2027E]]*(1-Assumptions!B40)</f>
        <v>855.03528431999996</v>
      </c>
      <c r="K24" s="252">
        <f>Table1[[#This Row],[2028E]]*(1-Assumptions!B40)</f>
        <v>837.93457863359993</v>
      </c>
      <c r="L24" s="53"/>
      <c r="M24" s="53"/>
      <c r="N24" s="53"/>
      <c r="O24" s="53"/>
      <c r="P24" s="71"/>
      <c r="Q24" s="55"/>
      <c r="R24" s="51"/>
      <c r="S24" s="51"/>
      <c r="T24" s="51"/>
      <c r="U24" s="51"/>
      <c r="V24" s="51"/>
      <c r="W24" s="51"/>
      <c r="X24" s="51"/>
      <c r="Y24" s="51"/>
      <c r="Z24" s="51"/>
    </row>
    <row r="25" spans="1:26">
      <c r="A25" s="28" t="s">
        <v>139</v>
      </c>
      <c r="B25" s="99">
        <f>B11+B8</f>
        <v>8661</v>
      </c>
      <c r="C25" s="99">
        <f t="shared" ref="C25:K25" si="0">C11+C8</f>
        <v>10808</v>
      </c>
      <c r="D25" s="99">
        <f t="shared" si="0"/>
        <v>13014</v>
      </c>
      <c r="E25" s="99">
        <f t="shared" si="0"/>
        <v>14807</v>
      </c>
      <c r="F25" s="99">
        <f t="shared" si="0"/>
        <v>16479</v>
      </c>
      <c r="G25" s="252">
        <f t="shared" si="0"/>
        <v>18297.283200000002</v>
      </c>
      <c r="H25" s="252">
        <f t="shared" si="0"/>
        <v>20996.763412799999</v>
      </c>
      <c r="I25" s="252">
        <f t="shared" si="0"/>
        <v>23676.078757632004</v>
      </c>
      <c r="J25" s="252">
        <f t="shared" si="0"/>
        <v>26457.718567150088</v>
      </c>
      <c r="K25" s="252">
        <f t="shared" si="0"/>
        <v>29298.488684661512</v>
      </c>
      <c r="L25" s="53"/>
      <c r="M25" s="53"/>
      <c r="N25" s="53"/>
      <c r="O25" s="53"/>
      <c r="P25" s="71"/>
      <c r="Q25" s="55"/>
      <c r="R25" s="51"/>
      <c r="S25" s="51"/>
      <c r="T25" s="51"/>
      <c r="U25" s="51"/>
      <c r="V25" s="51"/>
      <c r="W25" s="51"/>
      <c r="X25" s="51"/>
      <c r="Y25" s="51"/>
      <c r="Z25" s="51"/>
    </row>
    <row r="26" spans="1:26">
      <c r="A26" s="28" t="s">
        <v>140</v>
      </c>
      <c r="B26" s="109">
        <f>B11/B4</f>
        <v>0.52813541598588332</v>
      </c>
      <c r="C26" s="109">
        <f t="shared" ref="C26:K26" si="1">C11/C4</f>
        <v>0.53389112476170308</v>
      </c>
      <c r="D26" s="109">
        <f t="shared" si="1"/>
        <v>0.55151324369294419</v>
      </c>
      <c r="E26" s="109">
        <f t="shared" si="1"/>
        <v>0.55813212208144081</v>
      </c>
      <c r="F26" s="109">
        <f t="shared" si="1"/>
        <v>0.55320055383959954</v>
      </c>
      <c r="G26" s="83">
        <f t="shared" si="1"/>
        <v>0.55000000000000004</v>
      </c>
      <c r="H26" s="83">
        <f t="shared" si="1"/>
        <v>0.55999999999999994</v>
      </c>
      <c r="I26" s="83">
        <f t="shared" si="1"/>
        <v>0.56499999999999995</v>
      </c>
      <c r="J26" s="83">
        <f t="shared" si="1"/>
        <v>0.57000000000000006</v>
      </c>
      <c r="K26" s="83">
        <f t="shared" si="1"/>
        <v>0.57499999999999996</v>
      </c>
      <c r="L26" s="53"/>
      <c r="M26" s="53"/>
      <c r="N26" s="53"/>
      <c r="O26" s="53"/>
      <c r="P26" s="71"/>
      <c r="Q26" s="55"/>
      <c r="R26" s="51"/>
      <c r="S26" s="51"/>
      <c r="T26" s="51"/>
      <c r="U26" s="51"/>
      <c r="V26" s="51"/>
      <c r="W26" s="51"/>
      <c r="X26" s="51"/>
      <c r="Y26" s="51"/>
      <c r="Z26" s="51"/>
    </row>
    <row r="27" spans="1:26">
      <c r="A27" s="28" t="s">
        <v>141</v>
      </c>
      <c r="B27" s="109">
        <f>B20/B4</f>
        <v>0.41899222273054049</v>
      </c>
      <c r="C27" s="109">
        <f t="shared" ref="C27:K27" si="2">C20/C4</f>
        <v>0.46001906375767848</v>
      </c>
      <c r="D27" s="109">
        <f t="shared" si="2"/>
        <v>0.44655304222691911</v>
      </c>
      <c r="E27" s="109">
        <f t="shared" si="2"/>
        <v>0.44605147820543467</v>
      </c>
      <c r="F27" s="109">
        <f t="shared" si="2"/>
        <v>0.45705967976710332</v>
      </c>
      <c r="G27" s="83">
        <f t="shared" si="2"/>
        <v>0.46301728086058158</v>
      </c>
      <c r="H27" s="83">
        <f t="shared" si="2"/>
        <v>0.47203315289875081</v>
      </c>
      <c r="I27" s="83">
        <f t="shared" si="2"/>
        <v>0.47672399900009405</v>
      </c>
      <c r="J27" s="83">
        <f t="shared" si="2"/>
        <v>0.48132408249559405</v>
      </c>
      <c r="K27" s="83">
        <f t="shared" si="2"/>
        <v>0.48585982487560309</v>
      </c>
      <c r="L27" s="53"/>
      <c r="M27" s="53"/>
      <c r="N27" s="53"/>
      <c r="O27" s="53"/>
      <c r="P27" s="71"/>
      <c r="Q27" s="55"/>
      <c r="R27" s="51"/>
      <c r="S27" s="51"/>
      <c r="T27" s="51"/>
      <c r="U27" s="51"/>
      <c r="V27" s="51"/>
      <c r="W27" s="51"/>
      <c r="X27" s="51"/>
      <c r="Y27" s="51"/>
      <c r="Z27" s="51"/>
    </row>
    <row r="28" spans="1:26">
      <c r="A28" s="61" t="s">
        <v>273</v>
      </c>
      <c r="B28" s="110">
        <f t="shared" ref="B28:K28" si="3">SUM(B4:B27)</f>
        <v>63382.717127638723</v>
      </c>
      <c r="C28" s="110">
        <f t="shared" si="3"/>
        <v>80440.543910188513</v>
      </c>
      <c r="D28" s="110">
        <f t="shared" si="3"/>
        <v>91821.478066285927</v>
      </c>
      <c r="E28" s="110">
        <f t="shared" si="3"/>
        <v>104547.6941836003</v>
      </c>
      <c r="F28" s="110">
        <f t="shared" si="3"/>
        <v>117130.81026023361</v>
      </c>
      <c r="G28" s="111">
        <f>SUM(G4:G27)</f>
        <v>123772.55951344763</v>
      </c>
      <c r="H28" s="110">
        <f t="shared" si="3"/>
        <v>140694.79529862414</v>
      </c>
      <c r="I28" s="110">
        <f t="shared" si="3"/>
        <v>157942.69733204454</v>
      </c>
      <c r="J28" s="110">
        <f t="shared" si="3"/>
        <v>175751.71815645497</v>
      </c>
      <c r="K28" s="110">
        <f t="shared" si="3"/>
        <v>193835.14077157929</v>
      </c>
      <c r="L28" s="53"/>
      <c r="M28" s="53"/>
      <c r="N28" s="53"/>
      <c r="O28" s="71"/>
      <c r="P28" s="71"/>
      <c r="Q28" s="55"/>
      <c r="R28" s="51"/>
      <c r="S28" s="51"/>
      <c r="T28" s="51"/>
      <c r="U28" s="51"/>
      <c r="V28" s="51"/>
      <c r="W28" s="51"/>
      <c r="X28" s="51"/>
      <c r="Y28" s="51"/>
      <c r="Z28" s="51"/>
    </row>
    <row r="29" spans="1:26">
      <c r="A29" s="64" t="s">
        <v>2240</v>
      </c>
      <c r="B29" s="64"/>
      <c r="C29" s="64"/>
      <c r="D29" s="64"/>
      <c r="E29" s="64"/>
      <c r="F29" s="64"/>
      <c r="G29" s="64"/>
      <c r="H29" s="64"/>
      <c r="I29" s="64"/>
      <c r="J29" s="64"/>
      <c r="K29" s="64"/>
      <c r="L29" s="64"/>
      <c r="M29" s="64"/>
      <c r="N29" s="64"/>
      <c r="O29" s="64"/>
      <c r="P29" s="71"/>
      <c r="Q29" s="55"/>
      <c r="R29" s="51"/>
      <c r="S29" s="51"/>
      <c r="T29" s="51"/>
      <c r="U29" s="51"/>
      <c r="V29" s="51"/>
      <c r="W29" s="51"/>
      <c r="X29" s="51"/>
      <c r="Y29" s="51"/>
      <c r="Z29" s="51"/>
    </row>
    <row r="30" spans="1:26">
      <c r="A30" s="64" t="s">
        <v>2242</v>
      </c>
      <c r="B30" s="53"/>
      <c r="C30" s="71"/>
      <c r="D30" s="71"/>
      <c r="E30" s="71"/>
      <c r="F30" s="71"/>
      <c r="G30" s="71"/>
      <c r="H30" s="71"/>
      <c r="I30" s="71"/>
      <c r="J30" s="71"/>
      <c r="K30" s="71"/>
      <c r="L30" s="71"/>
      <c r="M30" s="71"/>
      <c r="N30" s="71"/>
      <c r="O30" s="71"/>
      <c r="P30" s="71"/>
      <c r="Q30" s="55"/>
      <c r="R30" s="51"/>
      <c r="S30" s="51"/>
      <c r="T30" s="51"/>
      <c r="U30" s="51"/>
      <c r="V30" s="51"/>
      <c r="W30" s="51"/>
      <c r="X30" s="51"/>
      <c r="Y30" s="51"/>
      <c r="Z30" s="51"/>
    </row>
    <row r="31" spans="1:26">
      <c r="A31" s="64" t="s">
        <v>2241</v>
      </c>
      <c r="B31" s="255"/>
      <c r="C31" s="71"/>
      <c r="D31" s="71"/>
      <c r="E31" s="71"/>
      <c r="F31" s="71"/>
      <c r="G31" s="71"/>
      <c r="H31" s="71"/>
      <c r="I31" s="71"/>
      <c r="J31" s="71"/>
      <c r="K31" s="71"/>
      <c r="L31" s="71"/>
      <c r="M31" s="71"/>
      <c r="N31" s="71"/>
      <c r="O31" s="71"/>
      <c r="P31" s="71"/>
      <c r="Q31" s="55"/>
      <c r="R31" s="51"/>
      <c r="S31" s="51"/>
      <c r="T31" s="51"/>
      <c r="U31" s="51"/>
      <c r="V31" s="51"/>
      <c r="W31" s="51"/>
      <c r="X31" s="51"/>
      <c r="Y31" s="51"/>
      <c r="Z31" s="51"/>
    </row>
    <row r="32" spans="1:26">
      <c r="A32" s="64" t="s">
        <v>2243</v>
      </c>
      <c r="B32" s="64"/>
      <c r="C32" s="64"/>
      <c r="D32" s="64"/>
      <c r="E32" s="255"/>
      <c r="F32" s="71"/>
      <c r="G32" s="71"/>
      <c r="H32" s="71"/>
      <c r="I32" s="71"/>
      <c r="J32" s="71"/>
      <c r="K32" s="71"/>
      <c r="L32" s="71"/>
      <c r="M32" s="71"/>
      <c r="N32" s="71"/>
      <c r="O32" s="71"/>
      <c r="P32" s="71"/>
      <c r="Q32" s="55"/>
      <c r="R32" s="51"/>
      <c r="S32" s="51"/>
      <c r="T32" s="51"/>
      <c r="U32" s="51"/>
      <c r="V32" s="51"/>
      <c r="W32" s="51"/>
      <c r="X32" s="51"/>
      <c r="Y32" s="51"/>
      <c r="Z32" s="51"/>
    </row>
    <row r="33" spans="1:26">
      <c r="A33" s="71"/>
      <c r="B33" s="71"/>
      <c r="C33" s="71"/>
      <c r="D33" s="71"/>
      <c r="E33" s="71"/>
      <c r="F33" s="71"/>
      <c r="G33" s="71"/>
      <c r="H33" s="71"/>
      <c r="I33" s="71"/>
      <c r="J33" s="71"/>
      <c r="K33" s="71"/>
      <c r="L33" s="71"/>
      <c r="M33" s="71"/>
      <c r="N33" s="71"/>
      <c r="O33" s="71"/>
      <c r="P33" s="71"/>
      <c r="Q33" s="55"/>
      <c r="R33" s="51"/>
      <c r="S33" s="51"/>
      <c r="T33" s="51"/>
      <c r="U33" s="51"/>
      <c r="V33" s="51"/>
      <c r="W33" s="51"/>
      <c r="X33" s="51"/>
      <c r="Y33" s="51"/>
      <c r="Z33" s="51"/>
    </row>
    <row r="34" spans="1:26">
      <c r="A34" s="27" t="s">
        <v>157</v>
      </c>
      <c r="B34" s="27">
        <v>2020</v>
      </c>
      <c r="C34" s="27">
        <v>2021</v>
      </c>
      <c r="D34" s="27">
        <v>2022</v>
      </c>
      <c r="E34" s="27">
        <v>2023</v>
      </c>
      <c r="F34" s="27">
        <v>2024</v>
      </c>
      <c r="G34" s="27">
        <v>2025</v>
      </c>
      <c r="H34" s="27">
        <v>2026</v>
      </c>
      <c r="I34" s="27">
        <v>2027</v>
      </c>
      <c r="J34" s="27">
        <v>2028</v>
      </c>
      <c r="K34" s="27">
        <v>2029</v>
      </c>
      <c r="L34" s="71"/>
      <c r="M34" s="71"/>
      <c r="N34" s="71"/>
      <c r="O34" s="71"/>
      <c r="P34" s="71"/>
      <c r="Q34" s="55"/>
      <c r="R34" s="51"/>
      <c r="S34" s="51"/>
      <c r="T34" s="51"/>
      <c r="U34" s="51"/>
      <c r="V34" s="51"/>
      <c r="W34" s="51"/>
      <c r="X34" s="51"/>
      <c r="Y34" s="51"/>
      <c r="Z34" s="51"/>
    </row>
    <row r="35" spans="1:26">
      <c r="A35" s="320" t="str">
        <f>Balance_Sheet!A27</f>
        <v>Long-term debt</v>
      </c>
      <c r="B35" s="416">
        <f>Balance_Sheet!B27</f>
        <v>12023</v>
      </c>
      <c r="C35" s="416">
        <f>Balance_Sheet!C27</f>
        <v>13109</v>
      </c>
      <c r="D35" s="416">
        <f>Balance_Sheet!D27</f>
        <v>13749</v>
      </c>
      <c r="E35" s="416">
        <f>Balance_Sheet!E27</f>
        <v>14344</v>
      </c>
      <c r="F35" s="416">
        <f>Balance_Sheet!F27</f>
        <v>17476</v>
      </c>
      <c r="G35" s="498">
        <f>Balance_Sheet!G27</f>
        <v>16500</v>
      </c>
      <c r="H35" s="498">
        <f>Balance_Sheet!H27</f>
        <v>15500</v>
      </c>
      <c r="I35" s="498">
        <f>Balance_Sheet!I27</f>
        <v>14500</v>
      </c>
      <c r="J35" s="498">
        <f>Balance_Sheet!J27</f>
        <v>13500</v>
      </c>
      <c r="K35" s="498">
        <f>Balance_Sheet!K27</f>
        <v>12500</v>
      </c>
      <c r="L35" s="71"/>
      <c r="M35" s="71"/>
      <c r="N35" s="71"/>
      <c r="O35" s="71"/>
      <c r="P35" s="71"/>
      <c r="Q35" s="55"/>
      <c r="R35" s="51"/>
      <c r="S35" s="51"/>
      <c r="T35" s="51"/>
      <c r="U35" s="51"/>
      <c r="V35" s="51"/>
      <c r="W35" s="51"/>
      <c r="X35" s="51"/>
      <c r="Y35" s="51"/>
      <c r="Z35" s="51"/>
    </row>
    <row r="36" spans="1:26">
      <c r="A36" s="320" t="str">
        <f>Balance_Sheet!A24</f>
        <v>Current portion of long-term debt</v>
      </c>
      <c r="B36" s="416">
        <f>Balance_Sheet!B24</f>
        <v>649</v>
      </c>
      <c r="C36" s="416">
        <f>Balance_Sheet!C24</f>
        <v>792</v>
      </c>
      <c r="D36" s="416">
        <f>Balance_Sheet!D24</f>
        <v>274</v>
      </c>
      <c r="E36" s="416">
        <f>Balance_Sheet!E24</f>
        <v>1337</v>
      </c>
      <c r="F36" s="416">
        <f>Balance_Sheet!F24</f>
        <v>750</v>
      </c>
      <c r="G36" s="498">
        <f>Balance_Sheet!G24</f>
        <v>750</v>
      </c>
      <c r="H36" s="498">
        <f>Balance_Sheet!H24</f>
        <v>750</v>
      </c>
      <c r="I36" s="498">
        <f>Balance_Sheet!I24</f>
        <v>750</v>
      </c>
      <c r="J36" s="498">
        <f>Balance_Sheet!J24</f>
        <v>750</v>
      </c>
      <c r="K36" s="498">
        <f>Balance_Sheet!K24</f>
        <v>750</v>
      </c>
      <c r="L36" s="71"/>
      <c r="M36" s="71"/>
      <c r="N36" s="71"/>
      <c r="O36" s="71"/>
      <c r="P36" s="71"/>
      <c r="Q36" s="55"/>
      <c r="R36" s="51"/>
      <c r="S36" s="51"/>
      <c r="T36" s="51"/>
      <c r="U36" s="51"/>
      <c r="V36" s="51"/>
      <c r="W36" s="51"/>
      <c r="X36" s="51"/>
      <c r="Y36" s="51"/>
      <c r="Z36" s="51"/>
    </row>
    <row r="37" spans="1:26">
      <c r="A37" s="320" t="s">
        <v>2249</v>
      </c>
      <c r="B37" s="416">
        <f t="shared" ref="B37:K37" si="4">(B35+B36)/2</f>
        <v>6336</v>
      </c>
      <c r="C37" s="497">
        <f t="shared" si="4"/>
        <v>6950.5</v>
      </c>
      <c r="D37" s="497">
        <f t="shared" si="4"/>
        <v>7011.5</v>
      </c>
      <c r="E37" s="497">
        <f t="shared" si="4"/>
        <v>7840.5</v>
      </c>
      <c r="F37" s="416">
        <f t="shared" si="4"/>
        <v>9113</v>
      </c>
      <c r="G37" s="498">
        <f t="shared" si="4"/>
        <v>8625</v>
      </c>
      <c r="H37" s="498">
        <f t="shared" si="4"/>
        <v>8125</v>
      </c>
      <c r="I37" s="498">
        <f t="shared" si="4"/>
        <v>7625</v>
      </c>
      <c r="J37" s="498">
        <f t="shared" si="4"/>
        <v>7125</v>
      </c>
      <c r="K37" s="498">
        <f t="shared" si="4"/>
        <v>6625</v>
      </c>
      <c r="L37" s="71"/>
      <c r="M37" s="71"/>
      <c r="N37" s="71"/>
      <c r="O37" s="71"/>
      <c r="P37" s="71"/>
      <c r="Q37" s="55"/>
      <c r="R37" s="51"/>
      <c r="S37" s="51"/>
      <c r="T37" s="51"/>
      <c r="U37" s="51"/>
      <c r="V37" s="51"/>
      <c r="W37" s="51"/>
      <c r="X37" s="51"/>
      <c r="Y37" s="51"/>
      <c r="Z37" s="51"/>
    </row>
    <row r="38" spans="1:26">
      <c r="A38" s="320" t="s">
        <v>2269</v>
      </c>
      <c r="B38" s="497">
        <f>-B37*Assumptions!B50</f>
        <v>-221.76000000000002</v>
      </c>
      <c r="C38" s="497">
        <f>-C37*Assumptions!B50</f>
        <v>-243.26750000000001</v>
      </c>
      <c r="D38" s="497">
        <f>-D37*Assumptions!B50</f>
        <v>-245.40250000000003</v>
      </c>
      <c r="E38" s="497">
        <f>-E37*Assumptions!B50</f>
        <v>-274.41750000000002</v>
      </c>
      <c r="F38" s="497">
        <f>-F37*Assumptions!B50</f>
        <v>-318.95500000000004</v>
      </c>
      <c r="G38" s="498">
        <f>-G37*Assumptions!B50</f>
        <v>-301.87500000000006</v>
      </c>
      <c r="H38" s="498">
        <f>-H37*Assumptions!B50</f>
        <v>-284.375</v>
      </c>
      <c r="I38" s="498">
        <f>-I37*Assumptions!B50</f>
        <v>-266.875</v>
      </c>
      <c r="J38" s="498">
        <f>-J37*Assumptions!B50</f>
        <v>-249.37500000000003</v>
      </c>
      <c r="K38" s="498">
        <f>-K37*Assumptions!B50</f>
        <v>-231.87500000000003</v>
      </c>
      <c r="L38" s="71"/>
      <c r="M38" s="71"/>
      <c r="N38" s="71"/>
      <c r="O38" s="71"/>
      <c r="P38" s="71"/>
      <c r="Q38" s="55"/>
      <c r="R38" s="51"/>
      <c r="S38" s="51"/>
      <c r="T38" s="51"/>
      <c r="U38" s="51"/>
      <c r="V38" s="51"/>
      <c r="W38" s="51"/>
      <c r="X38" s="51"/>
      <c r="Y38" s="51"/>
      <c r="Z38" s="51"/>
    </row>
    <row r="39" spans="1:26">
      <c r="A39" s="71"/>
      <c r="B39" s="71"/>
      <c r="C39" s="71"/>
      <c r="D39" s="71"/>
      <c r="E39" s="71"/>
      <c r="F39" s="71"/>
      <c r="G39" s="71"/>
      <c r="H39" s="71"/>
      <c r="I39" s="71"/>
      <c r="J39" s="71"/>
      <c r="K39" s="71"/>
      <c r="L39" s="71"/>
      <c r="M39" s="71"/>
      <c r="N39" s="71"/>
      <c r="O39" s="71"/>
      <c r="P39" s="71"/>
      <c r="Q39" s="55"/>
      <c r="R39" s="51"/>
      <c r="S39" s="51"/>
      <c r="T39" s="51"/>
      <c r="U39" s="51"/>
      <c r="V39" s="51"/>
      <c r="W39" s="51"/>
      <c r="X39" s="51"/>
      <c r="Y39" s="51"/>
      <c r="Z39" s="51"/>
    </row>
    <row r="40" spans="1:26">
      <c r="A40" s="71"/>
      <c r="B40" s="71"/>
      <c r="C40" s="71"/>
      <c r="D40" s="71"/>
      <c r="E40" s="71"/>
      <c r="F40" s="71"/>
      <c r="G40" s="71"/>
      <c r="H40" s="71"/>
      <c r="I40" s="71"/>
      <c r="J40" s="71"/>
      <c r="K40" s="71"/>
      <c r="L40" s="71"/>
      <c r="M40" s="71"/>
      <c r="N40" s="71"/>
      <c r="O40" s="71"/>
      <c r="P40" s="71"/>
      <c r="Q40" s="55"/>
      <c r="R40" s="51"/>
      <c r="S40" s="51"/>
      <c r="T40" s="51"/>
      <c r="U40" s="51"/>
      <c r="V40" s="51"/>
      <c r="W40" s="51"/>
      <c r="X40" s="51"/>
      <c r="Y40" s="51"/>
      <c r="Z40" s="51"/>
    </row>
    <row r="41" spans="1:26">
      <c r="A41" s="71"/>
      <c r="B41" s="71"/>
      <c r="C41" s="71"/>
      <c r="D41" s="71"/>
      <c r="E41" s="71"/>
      <c r="F41" s="71"/>
      <c r="G41" s="71"/>
      <c r="H41" s="71"/>
      <c r="I41" s="71"/>
      <c r="J41" s="71"/>
      <c r="K41" s="71"/>
      <c r="L41" s="71"/>
      <c r="M41" s="71"/>
      <c r="N41" s="71"/>
      <c r="O41" s="71"/>
      <c r="P41" s="71"/>
      <c r="Q41" s="55"/>
      <c r="R41" s="51"/>
      <c r="S41" s="51"/>
      <c r="T41" s="51"/>
      <c r="U41" s="51"/>
      <c r="V41" s="51"/>
      <c r="W41" s="51"/>
      <c r="X41" s="51"/>
      <c r="Y41" s="51"/>
      <c r="Z41" s="51"/>
    </row>
    <row r="42" spans="1:26">
      <c r="A42" s="71"/>
      <c r="B42" s="71"/>
      <c r="C42" s="71"/>
      <c r="D42" s="71"/>
      <c r="E42" s="71"/>
      <c r="F42" s="71"/>
      <c r="G42" s="71"/>
      <c r="H42" s="71"/>
      <c r="I42" s="71"/>
      <c r="J42" s="71"/>
      <c r="K42" s="71"/>
      <c r="L42" s="71"/>
      <c r="M42" s="71"/>
      <c r="N42" s="71"/>
      <c r="O42" s="71"/>
      <c r="P42" s="71"/>
      <c r="Q42" s="55"/>
      <c r="R42" s="51"/>
      <c r="S42" s="51"/>
      <c r="T42" s="51"/>
      <c r="U42" s="51"/>
      <c r="V42" s="51"/>
      <c r="W42" s="51"/>
      <c r="X42" s="51"/>
      <c r="Y42" s="51"/>
      <c r="Z42" s="51"/>
    </row>
    <row r="43" spans="1:26">
      <c r="A43" s="71"/>
      <c r="B43" s="71"/>
      <c r="C43" s="71"/>
      <c r="D43" s="71"/>
      <c r="E43" s="71"/>
      <c r="F43" s="71"/>
      <c r="G43" s="71"/>
      <c r="H43" s="71"/>
      <c r="I43" s="71"/>
      <c r="J43" s="71"/>
      <c r="K43" s="71"/>
      <c r="L43" s="71"/>
      <c r="M43" s="71"/>
      <c r="N43" s="71"/>
      <c r="O43" s="71"/>
      <c r="P43" s="71"/>
      <c r="Q43" s="55"/>
      <c r="R43" s="51"/>
      <c r="S43" s="51"/>
      <c r="T43" s="51"/>
      <c r="U43" s="51"/>
      <c r="V43" s="51"/>
      <c r="W43" s="51"/>
      <c r="X43" s="51"/>
      <c r="Y43" s="51"/>
      <c r="Z43" s="51"/>
    </row>
    <row r="44" spans="1:26">
      <c r="A44" s="71"/>
      <c r="B44" s="71"/>
      <c r="C44" s="71"/>
      <c r="D44" s="71"/>
      <c r="E44" s="71"/>
      <c r="F44" s="71"/>
      <c r="G44" s="71"/>
      <c r="H44" s="71"/>
      <c r="I44" s="71"/>
      <c r="J44" s="71"/>
      <c r="K44" s="71"/>
      <c r="L44" s="71"/>
      <c r="M44" s="71"/>
      <c r="N44" s="71"/>
      <c r="O44" s="71"/>
      <c r="P44" s="71"/>
      <c r="Q44" s="55"/>
      <c r="R44" s="51"/>
      <c r="S44" s="51"/>
      <c r="T44" s="51"/>
      <c r="U44" s="51"/>
      <c r="V44" s="51"/>
      <c r="W44" s="51"/>
      <c r="X44" s="51"/>
      <c r="Y44" s="51"/>
      <c r="Z44" s="51"/>
    </row>
    <row r="45" spans="1:26">
      <c r="A45" s="57"/>
      <c r="B45" s="57"/>
      <c r="C45" s="57"/>
      <c r="D45" s="57"/>
      <c r="E45" s="57"/>
      <c r="F45" s="57"/>
      <c r="G45" s="57"/>
      <c r="H45" s="57"/>
      <c r="I45" s="57"/>
      <c r="J45" s="57"/>
      <c r="K45" s="57"/>
      <c r="L45" s="57"/>
      <c r="M45" s="57"/>
      <c r="N45" s="57"/>
      <c r="O45" s="57"/>
      <c r="P45" s="57"/>
      <c r="Q45" s="52"/>
      <c r="R45" s="51"/>
      <c r="S45" s="51"/>
      <c r="T45" s="51"/>
      <c r="U45" s="51"/>
      <c r="V45" s="51"/>
      <c r="W45" s="51"/>
      <c r="X45" s="51"/>
      <c r="Y45" s="51"/>
      <c r="Z45" s="51"/>
    </row>
    <row r="46" spans="1:26">
      <c r="A46" s="57"/>
      <c r="B46" s="57"/>
      <c r="C46" s="57"/>
      <c r="D46" s="57"/>
      <c r="E46" s="57"/>
      <c r="F46" s="57"/>
      <c r="G46" s="57"/>
      <c r="H46" s="57"/>
      <c r="I46" s="57"/>
      <c r="J46" s="57"/>
      <c r="K46" s="57"/>
      <c r="L46" s="57"/>
      <c r="M46" s="57"/>
      <c r="N46" s="57"/>
      <c r="O46" s="57"/>
      <c r="P46" s="57"/>
      <c r="Q46" s="52"/>
      <c r="R46" s="51"/>
      <c r="S46" s="51"/>
      <c r="T46" s="51"/>
      <c r="U46" s="51"/>
      <c r="V46" s="51"/>
      <c r="W46" s="51"/>
      <c r="X46" s="51"/>
      <c r="Y46" s="51"/>
      <c r="Z46" s="51"/>
    </row>
    <row r="47" spans="1:26">
      <c r="A47" s="57"/>
      <c r="B47" s="57"/>
      <c r="C47" s="57"/>
      <c r="D47" s="57"/>
      <c r="E47" s="57"/>
      <c r="F47" s="57"/>
      <c r="G47" s="57"/>
      <c r="H47" s="57"/>
      <c r="I47" s="57"/>
      <c r="J47" s="57"/>
      <c r="K47" s="57"/>
      <c r="L47" s="57"/>
      <c r="M47" s="57"/>
      <c r="N47" s="57"/>
      <c r="O47" s="57"/>
      <c r="P47" s="57"/>
      <c r="Q47" s="52"/>
      <c r="R47" s="51"/>
      <c r="S47" s="51"/>
      <c r="T47" s="51"/>
      <c r="U47" s="51"/>
      <c r="V47" s="51"/>
      <c r="W47" s="51"/>
      <c r="X47" s="51"/>
      <c r="Y47" s="51"/>
      <c r="Z47" s="51"/>
    </row>
    <row r="48" spans="1:26">
      <c r="A48" s="57"/>
      <c r="B48" s="57"/>
      <c r="C48" s="57"/>
      <c r="D48" s="57"/>
      <c r="E48" s="57"/>
      <c r="F48" s="57"/>
      <c r="G48" s="57"/>
      <c r="H48" s="57"/>
      <c r="I48" s="57"/>
      <c r="J48" s="57"/>
      <c r="K48" s="57"/>
      <c r="L48" s="57"/>
      <c r="M48" s="57"/>
      <c r="N48" s="57"/>
      <c r="O48" s="57"/>
      <c r="P48" s="57"/>
      <c r="Q48" s="52"/>
      <c r="R48" s="51"/>
      <c r="S48" s="51"/>
      <c r="T48" s="51"/>
      <c r="U48" s="51"/>
      <c r="V48" s="51"/>
      <c r="W48" s="51"/>
      <c r="X48" s="51"/>
      <c r="Y48" s="51"/>
      <c r="Z48" s="51"/>
    </row>
    <row r="49" spans="1:26">
      <c r="A49" s="57"/>
      <c r="B49" s="57"/>
      <c r="C49" s="57"/>
      <c r="D49" s="57"/>
      <c r="E49" s="57"/>
      <c r="F49" s="57"/>
      <c r="G49" s="57"/>
      <c r="H49" s="57"/>
      <c r="I49" s="57"/>
      <c r="J49" s="57"/>
      <c r="K49" s="57"/>
      <c r="L49" s="57"/>
      <c r="M49" s="57"/>
      <c r="N49" s="57"/>
      <c r="O49" s="57"/>
      <c r="P49" s="57"/>
      <c r="Q49" s="52"/>
      <c r="R49" s="51"/>
      <c r="S49" s="51"/>
      <c r="T49" s="51"/>
      <c r="U49" s="51"/>
      <c r="V49" s="51"/>
      <c r="W49" s="51"/>
      <c r="X49" s="51"/>
      <c r="Y49" s="51"/>
      <c r="Z49" s="51"/>
    </row>
    <row r="50" spans="1:26">
      <c r="A50" s="57"/>
      <c r="B50" s="57"/>
      <c r="C50" s="57"/>
      <c r="D50" s="57"/>
      <c r="E50" s="57"/>
      <c r="F50" s="57"/>
      <c r="G50" s="57"/>
      <c r="H50" s="57"/>
      <c r="I50" s="57"/>
      <c r="J50" s="57"/>
      <c r="K50" s="57"/>
      <c r="L50" s="57"/>
      <c r="M50" s="57"/>
      <c r="N50" s="57"/>
      <c r="O50" s="57"/>
      <c r="P50" s="57"/>
      <c r="Q50" s="52"/>
      <c r="R50" s="51"/>
      <c r="S50" s="51"/>
      <c r="T50" s="51"/>
      <c r="U50" s="51"/>
      <c r="V50" s="51"/>
      <c r="W50" s="51"/>
      <c r="X50" s="51"/>
      <c r="Y50" s="51"/>
      <c r="Z50" s="51"/>
    </row>
    <row r="51" spans="1:26">
      <c r="A51" s="57"/>
      <c r="B51" s="57"/>
      <c r="C51" s="57"/>
      <c r="D51" s="57"/>
      <c r="E51" s="57"/>
      <c r="F51" s="57"/>
      <c r="G51" s="57"/>
      <c r="H51" s="57"/>
      <c r="I51" s="57"/>
      <c r="J51" s="57"/>
      <c r="K51" s="57"/>
      <c r="L51" s="57"/>
      <c r="M51" s="57"/>
      <c r="N51" s="57"/>
      <c r="O51" s="57"/>
      <c r="P51" s="57"/>
      <c r="Q51" s="52"/>
      <c r="R51" s="51"/>
      <c r="S51" s="51"/>
      <c r="T51" s="51"/>
      <c r="U51" s="51"/>
      <c r="V51" s="51"/>
      <c r="W51" s="51"/>
      <c r="X51" s="51"/>
      <c r="Y51" s="51"/>
      <c r="Z51" s="51"/>
    </row>
    <row r="52" spans="1:26">
      <c r="A52" s="57"/>
      <c r="B52" s="57"/>
      <c r="C52" s="57"/>
      <c r="D52" s="57"/>
      <c r="E52" s="57"/>
      <c r="F52" s="57"/>
      <c r="G52" s="57"/>
      <c r="H52" s="57"/>
      <c r="I52" s="57"/>
      <c r="J52" s="57"/>
      <c r="K52" s="57"/>
      <c r="L52" s="57"/>
      <c r="M52" s="57"/>
      <c r="N52" s="57"/>
      <c r="O52" s="57"/>
      <c r="P52" s="57"/>
      <c r="Q52" s="52"/>
      <c r="R52" s="51"/>
      <c r="S52" s="51"/>
      <c r="T52" s="51"/>
      <c r="U52" s="51"/>
      <c r="V52" s="51"/>
      <c r="W52" s="51"/>
      <c r="X52" s="51"/>
      <c r="Y52" s="51"/>
      <c r="Z52" s="51"/>
    </row>
    <row r="53" spans="1:26">
      <c r="A53" s="57"/>
      <c r="B53" s="57"/>
      <c r="C53" s="57"/>
      <c r="D53" s="57"/>
      <c r="E53" s="57"/>
      <c r="F53" s="57"/>
      <c r="G53" s="57"/>
      <c r="H53" s="57"/>
      <c r="I53" s="57"/>
      <c r="J53" s="57"/>
      <c r="K53" s="57"/>
      <c r="L53" s="57"/>
      <c r="M53" s="57"/>
      <c r="N53" s="57"/>
      <c r="O53" s="57"/>
      <c r="P53" s="57"/>
      <c r="Q53" s="52"/>
      <c r="R53" s="51"/>
      <c r="S53" s="51"/>
      <c r="T53" s="51"/>
      <c r="U53" s="51"/>
      <c r="V53" s="51"/>
      <c r="W53" s="51"/>
      <c r="X53" s="51"/>
      <c r="Y53" s="51"/>
      <c r="Z53" s="51"/>
    </row>
    <row r="54" spans="1:26">
      <c r="A54" s="57"/>
      <c r="B54" s="57"/>
      <c r="C54" s="57"/>
      <c r="D54" s="57"/>
      <c r="E54" s="57"/>
      <c r="F54" s="57"/>
      <c r="G54" s="57"/>
      <c r="H54" s="57"/>
      <c r="I54" s="57"/>
      <c r="J54" s="57"/>
      <c r="K54" s="57"/>
      <c r="L54" s="57"/>
      <c r="M54" s="57"/>
      <c r="N54" s="57"/>
      <c r="O54" s="57"/>
      <c r="P54" s="57"/>
      <c r="Q54" s="52"/>
      <c r="R54" s="51"/>
      <c r="S54" s="51"/>
      <c r="T54" s="51"/>
      <c r="U54" s="51"/>
      <c r="V54" s="51"/>
      <c r="W54" s="51"/>
      <c r="X54" s="51"/>
      <c r="Y54" s="51"/>
      <c r="Z54" s="51"/>
    </row>
    <row r="55" spans="1:26">
      <c r="A55" s="57"/>
      <c r="B55" s="57"/>
      <c r="C55" s="57"/>
      <c r="D55" s="57"/>
      <c r="E55" s="57"/>
      <c r="F55" s="57"/>
      <c r="G55" s="57"/>
      <c r="H55" s="57"/>
      <c r="I55" s="57"/>
      <c r="J55" s="57"/>
      <c r="K55" s="57"/>
      <c r="L55" s="57"/>
      <c r="M55" s="57"/>
      <c r="N55" s="57"/>
      <c r="O55" s="57"/>
      <c r="P55" s="57"/>
      <c r="Q55" s="52"/>
      <c r="R55" s="51"/>
      <c r="S55" s="51"/>
      <c r="T55" s="51"/>
      <c r="U55" s="51"/>
      <c r="V55" s="51"/>
      <c r="W55" s="51"/>
      <c r="X55" s="51"/>
      <c r="Y55" s="51"/>
      <c r="Z55" s="51"/>
    </row>
    <row r="56" spans="1:26">
      <c r="A56" s="57"/>
      <c r="B56" s="57"/>
      <c r="C56" s="57"/>
      <c r="D56" s="57"/>
      <c r="E56" s="57"/>
      <c r="F56" s="57"/>
      <c r="G56" s="57"/>
      <c r="H56" s="57"/>
      <c r="I56" s="57"/>
      <c r="J56" s="57"/>
      <c r="K56" s="57"/>
      <c r="L56" s="57"/>
      <c r="M56" s="57"/>
      <c r="N56" s="57"/>
      <c r="O56" s="57"/>
      <c r="P56" s="57"/>
      <c r="Q56" s="52"/>
      <c r="R56" s="51"/>
      <c r="S56" s="51"/>
      <c r="T56" s="51"/>
      <c r="U56" s="51"/>
      <c r="V56" s="51"/>
      <c r="W56" s="51"/>
      <c r="X56" s="51"/>
      <c r="Y56" s="51"/>
      <c r="Z56" s="51"/>
    </row>
    <row r="57" spans="1:26">
      <c r="A57" s="57"/>
      <c r="B57" s="57"/>
      <c r="C57" s="57"/>
      <c r="D57" s="57"/>
      <c r="E57" s="57"/>
      <c r="F57" s="57"/>
      <c r="G57" s="57"/>
      <c r="H57" s="57"/>
      <c r="I57" s="57"/>
      <c r="J57" s="57"/>
      <c r="K57" s="57"/>
      <c r="L57" s="57"/>
      <c r="M57" s="57"/>
      <c r="N57" s="57"/>
      <c r="O57" s="57"/>
      <c r="P57" s="57"/>
      <c r="Q57" s="52"/>
      <c r="R57" s="51"/>
      <c r="S57" s="51"/>
      <c r="T57" s="51"/>
      <c r="U57" s="51"/>
      <c r="V57" s="51"/>
      <c r="W57" s="51"/>
      <c r="X57" s="51"/>
      <c r="Y57" s="51"/>
      <c r="Z57" s="51"/>
    </row>
    <row r="58" spans="1:26">
      <c r="A58" s="57"/>
      <c r="B58" s="57"/>
      <c r="C58" s="57"/>
      <c r="D58" s="57"/>
      <c r="E58" s="57"/>
      <c r="F58" s="57"/>
      <c r="G58" s="57"/>
      <c r="H58" s="57"/>
      <c r="I58" s="57"/>
      <c r="J58" s="57"/>
      <c r="K58" s="57"/>
      <c r="L58" s="57"/>
      <c r="M58" s="57"/>
      <c r="N58" s="57"/>
      <c r="O58" s="57"/>
      <c r="P58" s="57"/>
      <c r="Q58" s="52"/>
      <c r="R58" s="51"/>
      <c r="S58" s="51"/>
      <c r="T58" s="51"/>
      <c r="U58" s="51"/>
      <c r="V58" s="51"/>
      <c r="W58" s="51"/>
      <c r="X58" s="51"/>
      <c r="Y58" s="51"/>
      <c r="Z58" s="51"/>
    </row>
    <row r="59" spans="1:26">
      <c r="A59" s="57"/>
      <c r="B59" s="57"/>
      <c r="C59" s="57"/>
      <c r="D59" s="57"/>
      <c r="E59" s="57"/>
      <c r="F59" s="57"/>
      <c r="G59" s="57"/>
      <c r="H59" s="57"/>
      <c r="I59" s="57"/>
      <c r="J59" s="57"/>
      <c r="K59" s="57"/>
      <c r="L59" s="57"/>
      <c r="M59" s="57"/>
      <c r="N59" s="57"/>
      <c r="O59" s="57"/>
      <c r="P59" s="57"/>
      <c r="Q59" s="52"/>
      <c r="R59" s="51"/>
      <c r="S59" s="51"/>
      <c r="T59" s="51"/>
      <c r="U59" s="51"/>
      <c r="V59" s="51"/>
      <c r="W59" s="51"/>
      <c r="X59" s="51"/>
      <c r="Y59" s="51"/>
      <c r="Z59" s="51"/>
    </row>
    <row r="60" spans="1:26">
      <c r="A60" s="57"/>
      <c r="B60" s="57"/>
      <c r="C60" s="57"/>
      <c r="D60" s="57"/>
      <c r="E60" s="57"/>
      <c r="F60" s="57"/>
      <c r="G60" s="57"/>
      <c r="H60" s="57"/>
      <c r="I60" s="57"/>
      <c r="J60" s="57"/>
      <c r="K60" s="57"/>
      <c r="L60" s="57"/>
      <c r="M60" s="57"/>
      <c r="N60" s="57"/>
      <c r="O60" s="57"/>
      <c r="P60" s="57"/>
      <c r="Q60" s="52"/>
      <c r="R60" s="51"/>
      <c r="S60" s="51"/>
      <c r="T60" s="51"/>
      <c r="U60" s="51"/>
      <c r="V60" s="51"/>
      <c r="W60" s="51"/>
      <c r="X60" s="51"/>
      <c r="Y60" s="51"/>
      <c r="Z60" s="51"/>
    </row>
    <row r="61" spans="1:26">
      <c r="A61" s="57"/>
      <c r="B61" s="57"/>
      <c r="C61" s="57"/>
      <c r="D61" s="57"/>
      <c r="E61" s="57"/>
      <c r="F61" s="57"/>
      <c r="G61" s="57"/>
      <c r="H61" s="57"/>
      <c r="I61" s="57"/>
      <c r="J61" s="57"/>
      <c r="K61" s="57"/>
      <c r="L61" s="57"/>
      <c r="M61" s="57"/>
      <c r="N61" s="57"/>
      <c r="O61" s="57"/>
      <c r="P61" s="57"/>
      <c r="Q61" s="52"/>
      <c r="R61" s="51"/>
      <c r="S61" s="51"/>
      <c r="T61" s="51"/>
      <c r="U61" s="51"/>
      <c r="V61" s="51"/>
      <c r="W61" s="51"/>
      <c r="X61" s="51"/>
      <c r="Y61" s="51"/>
      <c r="Z61" s="51"/>
    </row>
    <row r="62" spans="1:26">
      <c r="A62" s="57"/>
      <c r="B62" s="57"/>
      <c r="C62" s="57"/>
      <c r="D62" s="57"/>
      <c r="E62" s="57"/>
      <c r="F62" s="57"/>
      <c r="G62" s="57"/>
      <c r="H62" s="57"/>
      <c r="I62" s="57"/>
      <c r="J62" s="57"/>
      <c r="K62" s="57"/>
      <c r="L62" s="57"/>
      <c r="M62" s="57"/>
      <c r="N62" s="57"/>
      <c r="O62" s="57"/>
      <c r="P62" s="57"/>
      <c r="Q62" s="52"/>
      <c r="R62" s="51"/>
      <c r="S62" s="51"/>
      <c r="T62" s="51"/>
      <c r="U62" s="51"/>
      <c r="V62" s="51"/>
      <c r="W62" s="51"/>
      <c r="X62" s="51"/>
      <c r="Y62" s="51"/>
      <c r="Z62" s="51"/>
    </row>
    <row r="63" spans="1:26">
      <c r="A63" s="57"/>
      <c r="B63" s="57"/>
      <c r="C63" s="57"/>
      <c r="D63" s="57"/>
      <c r="E63" s="57"/>
      <c r="F63" s="57"/>
      <c r="G63" s="57"/>
      <c r="H63" s="57"/>
      <c r="I63" s="57"/>
      <c r="J63" s="57"/>
      <c r="K63" s="57"/>
      <c r="L63" s="57"/>
      <c r="M63" s="57"/>
      <c r="N63" s="57"/>
      <c r="O63" s="57"/>
      <c r="P63" s="57"/>
      <c r="Q63" s="52"/>
      <c r="R63" s="51"/>
      <c r="S63" s="51"/>
      <c r="T63" s="51"/>
      <c r="U63" s="51"/>
      <c r="V63" s="51"/>
      <c r="W63" s="51"/>
      <c r="X63" s="51"/>
      <c r="Y63" s="51"/>
      <c r="Z63" s="51"/>
    </row>
    <row r="64" spans="1:26">
      <c r="A64" s="57"/>
      <c r="B64" s="57"/>
      <c r="C64" s="57"/>
      <c r="D64" s="57"/>
      <c r="E64" s="57"/>
      <c r="F64" s="57"/>
      <c r="G64" s="57"/>
      <c r="H64" s="57"/>
      <c r="I64" s="57"/>
      <c r="J64" s="57"/>
      <c r="K64" s="57"/>
      <c r="L64" s="57"/>
      <c r="M64" s="57"/>
      <c r="N64" s="57"/>
      <c r="O64" s="57"/>
      <c r="P64" s="57"/>
      <c r="Q64" s="52"/>
      <c r="R64" s="51"/>
      <c r="S64" s="51"/>
      <c r="T64" s="51"/>
      <c r="U64" s="51"/>
      <c r="V64" s="51"/>
      <c r="W64" s="51"/>
      <c r="X64" s="51"/>
      <c r="Y64" s="51"/>
      <c r="Z64" s="51"/>
    </row>
    <row r="65" spans="1:26">
      <c r="A65" s="57"/>
      <c r="B65" s="57"/>
      <c r="C65" s="57"/>
      <c r="D65" s="57"/>
      <c r="E65" s="57"/>
      <c r="F65" s="57"/>
      <c r="G65" s="57"/>
      <c r="H65" s="57"/>
      <c r="I65" s="57"/>
      <c r="J65" s="57"/>
      <c r="K65" s="57"/>
      <c r="L65" s="57"/>
      <c r="M65" s="57"/>
      <c r="N65" s="57"/>
      <c r="O65" s="57"/>
      <c r="P65" s="57"/>
      <c r="Q65" s="52"/>
      <c r="R65" s="51"/>
      <c r="S65" s="51"/>
      <c r="T65" s="51"/>
      <c r="U65" s="51"/>
      <c r="V65" s="51"/>
      <c r="W65" s="51"/>
      <c r="X65" s="51"/>
      <c r="Y65" s="51"/>
      <c r="Z65" s="51"/>
    </row>
    <row r="66" spans="1:26">
      <c r="A66" s="57"/>
      <c r="B66" s="57"/>
      <c r="C66" s="57"/>
      <c r="D66" s="57"/>
      <c r="E66" s="57"/>
      <c r="F66" s="57"/>
      <c r="G66" s="57"/>
      <c r="H66" s="57"/>
      <c r="I66" s="57"/>
      <c r="J66" s="57"/>
      <c r="K66" s="57"/>
      <c r="L66" s="57"/>
      <c r="M66" s="57"/>
      <c r="N66" s="57"/>
      <c r="O66" s="57"/>
      <c r="P66" s="57"/>
      <c r="Q66" s="52"/>
      <c r="R66" s="51"/>
      <c r="S66" s="51"/>
      <c r="T66" s="51"/>
      <c r="U66" s="51"/>
      <c r="V66" s="51"/>
      <c r="W66" s="51"/>
      <c r="X66" s="51"/>
      <c r="Y66" s="51"/>
      <c r="Z66" s="51"/>
    </row>
    <row r="67" spans="1:26">
      <c r="A67" s="57"/>
      <c r="B67" s="57"/>
      <c r="C67" s="57"/>
      <c r="D67" s="57"/>
      <c r="E67" s="57"/>
      <c r="F67" s="57"/>
      <c r="G67" s="57"/>
      <c r="H67" s="57"/>
      <c r="I67" s="57"/>
      <c r="J67" s="57"/>
      <c r="K67" s="57"/>
      <c r="L67" s="57"/>
      <c r="M67" s="57"/>
      <c r="N67" s="57"/>
      <c r="O67" s="57"/>
      <c r="P67" s="57"/>
      <c r="Q67" s="52"/>
      <c r="R67" s="51"/>
      <c r="S67" s="51"/>
      <c r="T67" s="51"/>
      <c r="U67" s="51"/>
      <c r="V67" s="51"/>
      <c r="W67" s="51"/>
      <c r="X67" s="51"/>
      <c r="Y67" s="51"/>
      <c r="Z67" s="51"/>
    </row>
    <row r="68" spans="1:26">
      <c r="A68" s="57"/>
      <c r="B68" s="57"/>
      <c r="C68" s="57"/>
      <c r="D68" s="57"/>
      <c r="E68" s="57"/>
      <c r="F68" s="57"/>
      <c r="G68" s="57"/>
      <c r="H68" s="57"/>
      <c r="I68" s="57"/>
      <c r="J68" s="57"/>
      <c r="K68" s="57"/>
      <c r="L68" s="57"/>
      <c r="M68" s="57"/>
      <c r="N68" s="57"/>
      <c r="O68" s="57"/>
      <c r="P68" s="57"/>
      <c r="Q68" s="52"/>
      <c r="R68" s="51"/>
      <c r="S68" s="51"/>
      <c r="T68" s="51"/>
      <c r="U68" s="51"/>
      <c r="V68" s="51"/>
      <c r="W68" s="51"/>
      <c r="X68" s="51"/>
      <c r="Y68" s="51"/>
      <c r="Z68" s="51"/>
    </row>
    <row r="69" spans="1:26">
      <c r="A69" s="52"/>
      <c r="B69" s="52"/>
      <c r="C69" s="52"/>
      <c r="D69" s="52"/>
      <c r="E69" s="52"/>
      <c r="F69" s="52"/>
      <c r="G69" s="52"/>
      <c r="H69" s="52"/>
      <c r="I69" s="52"/>
      <c r="J69" s="52"/>
      <c r="K69" s="52"/>
      <c r="L69" s="52"/>
      <c r="M69" s="52"/>
      <c r="N69" s="52"/>
      <c r="O69" s="52"/>
      <c r="P69" s="52"/>
      <c r="Q69" s="52"/>
      <c r="R69" s="51"/>
      <c r="S69" s="51"/>
      <c r="T69" s="51"/>
      <c r="U69" s="51"/>
      <c r="V69" s="51"/>
      <c r="W69" s="51"/>
      <c r="X69" s="51"/>
      <c r="Y69" s="51"/>
      <c r="Z69" s="51"/>
    </row>
    <row r="70" spans="1:26">
      <c r="A70" s="52"/>
      <c r="B70" s="52"/>
      <c r="C70" s="52"/>
      <c r="D70" s="52"/>
      <c r="E70" s="52"/>
      <c r="F70" s="52"/>
      <c r="G70" s="52"/>
      <c r="H70" s="52"/>
      <c r="I70" s="52"/>
      <c r="J70" s="52"/>
      <c r="K70" s="52"/>
      <c r="L70" s="52"/>
      <c r="M70" s="52"/>
      <c r="N70" s="52"/>
      <c r="O70" s="52"/>
      <c r="P70" s="52"/>
      <c r="Q70" s="52"/>
      <c r="R70" s="51"/>
      <c r="S70" s="51"/>
      <c r="T70" s="51"/>
      <c r="U70" s="51"/>
      <c r="V70" s="51"/>
      <c r="W70" s="51"/>
      <c r="X70" s="51"/>
      <c r="Y70" s="51"/>
      <c r="Z70" s="51"/>
    </row>
    <row r="71" spans="1:26">
      <c r="A71" s="52"/>
      <c r="B71" s="52"/>
      <c r="C71" s="52"/>
      <c r="D71" s="52"/>
      <c r="E71" s="52"/>
      <c r="F71" s="52"/>
      <c r="G71" s="52"/>
      <c r="H71" s="52"/>
      <c r="I71" s="52"/>
      <c r="J71" s="52"/>
      <c r="K71" s="52"/>
      <c r="L71" s="52"/>
      <c r="M71" s="52"/>
      <c r="N71" s="52"/>
      <c r="O71" s="52"/>
      <c r="P71" s="52"/>
      <c r="Q71" s="52"/>
      <c r="R71" s="51"/>
      <c r="S71" s="51"/>
      <c r="T71" s="51"/>
      <c r="U71" s="51"/>
      <c r="V71" s="51"/>
      <c r="W71" s="51"/>
      <c r="X71" s="51"/>
      <c r="Y71" s="51"/>
      <c r="Z71" s="51"/>
    </row>
    <row r="72" spans="1:26">
      <c r="A72" s="52"/>
      <c r="B72" s="52"/>
      <c r="C72" s="52"/>
      <c r="D72" s="52"/>
      <c r="E72" s="52"/>
      <c r="F72" s="52"/>
      <c r="G72" s="52"/>
      <c r="H72" s="52"/>
      <c r="I72" s="52"/>
      <c r="J72" s="52"/>
      <c r="K72" s="52"/>
      <c r="L72" s="52"/>
      <c r="M72" s="52"/>
      <c r="N72" s="52"/>
      <c r="O72" s="52"/>
      <c r="P72" s="52"/>
      <c r="Q72" s="52"/>
      <c r="R72" s="51"/>
      <c r="S72" s="51"/>
      <c r="T72" s="51"/>
      <c r="U72" s="51"/>
      <c r="V72" s="51"/>
      <c r="W72" s="51"/>
      <c r="X72" s="51"/>
      <c r="Y72" s="51"/>
      <c r="Z72" s="51"/>
    </row>
    <row r="73" spans="1:26">
      <c r="A73" s="52"/>
      <c r="B73" s="52"/>
      <c r="C73" s="52"/>
      <c r="D73" s="52"/>
      <c r="E73" s="52"/>
      <c r="F73" s="52"/>
      <c r="G73" s="52"/>
      <c r="H73" s="52"/>
      <c r="I73" s="52"/>
      <c r="J73" s="52"/>
      <c r="K73" s="52"/>
      <c r="L73" s="52"/>
      <c r="M73" s="52"/>
      <c r="N73" s="52"/>
      <c r="O73" s="52"/>
      <c r="P73" s="52"/>
      <c r="Q73" s="52"/>
      <c r="R73" s="51"/>
      <c r="S73" s="51"/>
      <c r="T73" s="51"/>
      <c r="U73" s="51"/>
      <c r="V73" s="51"/>
      <c r="W73" s="51"/>
      <c r="X73" s="51"/>
      <c r="Y73" s="51"/>
      <c r="Z73" s="51"/>
    </row>
    <row r="74" spans="1:26">
      <c r="A74" s="52"/>
      <c r="B74" s="52"/>
      <c r="C74" s="52"/>
      <c r="D74" s="52"/>
      <c r="E74" s="52"/>
      <c r="F74" s="52"/>
      <c r="G74" s="52"/>
      <c r="H74" s="52"/>
      <c r="I74" s="52"/>
      <c r="J74" s="52"/>
      <c r="K74" s="52"/>
      <c r="L74" s="52"/>
      <c r="M74" s="52"/>
      <c r="N74" s="52"/>
      <c r="O74" s="52"/>
      <c r="P74" s="52"/>
      <c r="Q74" s="52"/>
      <c r="R74" s="51"/>
      <c r="S74" s="51"/>
      <c r="T74" s="51"/>
      <c r="U74" s="51"/>
      <c r="V74" s="51"/>
      <c r="W74" s="51"/>
      <c r="X74" s="51"/>
      <c r="Y74" s="51"/>
      <c r="Z74" s="51"/>
    </row>
    <row r="75" spans="1:26">
      <c r="A75" s="52"/>
      <c r="B75" s="52"/>
      <c r="C75" s="52"/>
      <c r="D75" s="52"/>
      <c r="E75" s="52"/>
      <c r="F75" s="52"/>
      <c r="G75" s="52"/>
      <c r="H75" s="52"/>
      <c r="I75" s="52"/>
      <c r="J75" s="52"/>
      <c r="K75" s="52"/>
      <c r="L75" s="52"/>
      <c r="M75" s="52"/>
      <c r="N75" s="52"/>
      <c r="O75" s="52"/>
      <c r="P75" s="52"/>
      <c r="Q75" s="52"/>
      <c r="R75" s="51"/>
      <c r="S75" s="51"/>
      <c r="T75" s="51"/>
      <c r="U75" s="51"/>
      <c r="V75" s="51"/>
      <c r="W75" s="51"/>
      <c r="X75" s="51"/>
      <c r="Y75" s="51"/>
      <c r="Z75" s="51"/>
    </row>
    <row r="76" spans="1:26">
      <c r="A76" s="52"/>
      <c r="B76" s="52"/>
      <c r="C76" s="52"/>
      <c r="D76" s="52"/>
      <c r="E76" s="52"/>
      <c r="F76" s="52"/>
      <c r="G76" s="52"/>
      <c r="H76" s="52"/>
      <c r="I76" s="52"/>
      <c r="J76" s="52"/>
      <c r="K76" s="52"/>
      <c r="L76" s="52"/>
      <c r="M76" s="52"/>
      <c r="N76" s="52"/>
      <c r="O76" s="52"/>
      <c r="P76" s="52"/>
      <c r="Q76" s="52"/>
      <c r="R76" s="51"/>
      <c r="S76" s="51"/>
      <c r="T76" s="51"/>
      <c r="U76" s="51"/>
      <c r="V76" s="51"/>
      <c r="W76" s="51"/>
      <c r="X76" s="51"/>
      <c r="Y76" s="51"/>
      <c r="Z76" s="51"/>
    </row>
    <row r="77" spans="1:26">
      <c r="A77" s="52"/>
      <c r="B77" s="52"/>
      <c r="C77" s="52"/>
      <c r="D77" s="52"/>
      <c r="E77" s="52"/>
      <c r="F77" s="52"/>
      <c r="G77" s="52"/>
      <c r="H77" s="52"/>
      <c r="I77" s="52"/>
      <c r="J77" s="52"/>
      <c r="K77" s="52"/>
      <c r="L77" s="52"/>
      <c r="M77" s="52"/>
      <c r="N77" s="52"/>
      <c r="O77" s="52"/>
      <c r="P77" s="52"/>
      <c r="Q77" s="52"/>
      <c r="R77" s="51"/>
      <c r="S77" s="51"/>
      <c r="T77" s="51"/>
      <c r="U77" s="51"/>
      <c r="V77" s="51"/>
      <c r="W77" s="51"/>
      <c r="X77" s="51"/>
      <c r="Y77" s="51"/>
      <c r="Z77" s="51"/>
    </row>
    <row r="78" spans="1:26">
      <c r="A78" s="52"/>
      <c r="B78" s="52"/>
      <c r="C78" s="52"/>
      <c r="D78" s="52"/>
      <c r="E78" s="52"/>
      <c r="F78" s="52"/>
      <c r="G78" s="52"/>
      <c r="H78" s="52"/>
      <c r="I78" s="52"/>
      <c r="J78" s="52"/>
      <c r="K78" s="52"/>
      <c r="L78" s="52"/>
      <c r="M78" s="52"/>
      <c r="N78" s="52"/>
      <c r="O78" s="52"/>
      <c r="P78" s="52"/>
      <c r="Q78" s="52"/>
      <c r="R78" s="51"/>
      <c r="S78" s="51"/>
      <c r="T78" s="51"/>
      <c r="U78" s="51"/>
      <c r="V78" s="51"/>
      <c r="W78" s="51"/>
      <c r="X78" s="51"/>
      <c r="Y78" s="51"/>
      <c r="Z78" s="51"/>
    </row>
    <row r="79" spans="1:26">
      <c r="A79" s="52"/>
      <c r="B79" s="52"/>
      <c r="C79" s="52"/>
      <c r="D79" s="52"/>
      <c r="E79" s="52"/>
      <c r="F79" s="52"/>
      <c r="G79" s="52"/>
      <c r="H79" s="52"/>
      <c r="I79" s="52"/>
      <c r="J79" s="52"/>
      <c r="K79" s="52"/>
      <c r="L79" s="52"/>
      <c r="M79" s="52"/>
      <c r="N79" s="52"/>
      <c r="O79" s="52"/>
      <c r="P79" s="52"/>
      <c r="Q79" s="52"/>
      <c r="R79" s="51"/>
      <c r="S79" s="51"/>
      <c r="T79" s="51"/>
      <c r="U79" s="51"/>
      <c r="V79" s="51"/>
      <c r="W79" s="51"/>
      <c r="X79" s="51"/>
      <c r="Y79" s="51"/>
      <c r="Z79" s="51"/>
    </row>
    <row r="80" spans="1:26">
      <c r="A80" s="52"/>
      <c r="B80" s="52"/>
      <c r="C80" s="52"/>
      <c r="D80" s="52"/>
      <c r="E80" s="52"/>
      <c r="F80" s="52"/>
      <c r="G80" s="52"/>
      <c r="H80" s="52"/>
      <c r="I80" s="52"/>
      <c r="J80" s="52"/>
      <c r="K80" s="52"/>
      <c r="L80" s="52"/>
      <c r="M80" s="52"/>
      <c r="N80" s="52"/>
      <c r="O80" s="52"/>
      <c r="P80" s="52"/>
      <c r="Q80" s="52"/>
      <c r="R80" s="51"/>
      <c r="S80" s="51"/>
      <c r="T80" s="51"/>
      <c r="U80" s="51"/>
      <c r="V80" s="51"/>
      <c r="W80" s="51"/>
      <c r="X80" s="51"/>
      <c r="Y80" s="51"/>
      <c r="Z80" s="51"/>
    </row>
    <row r="81" spans="1:26">
      <c r="A81" s="52"/>
      <c r="B81" s="52"/>
      <c r="C81" s="52"/>
      <c r="D81" s="52"/>
      <c r="E81" s="52"/>
      <c r="F81" s="52"/>
      <c r="G81" s="52"/>
      <c r="H81" s="52"/>
      <c r="I81" s="52"/>
      <c r="J81" s="52"/>
      <c r="K81" s="52"/>
      <c r="L81" s="52"/>
      <c r="M81" s="52"/>
      <c r="N81" s="52"/>
      <c r="O81" s="52"/>
      <c r="P81" s="52"/>
      <c r="Q81" s="52"/>
      <c r="R81" s="51"/>
      <c r="S81" s="51"/>
      <c r="T81" s="51"/>
      <c r="U81" s="51"/>
      <c r="V81" s="51"/>
      <c r="W81" s="51"/>
      <c r="X81" s="51"/>
      <c r="Y81" s="51"/>
      <c r="Z81" s="51"/>
    </row>
    <row r="82" spans="1:26">
      <c r="A82" s="52"/>
      <c r="B82" s="52"/>
      <c r="C82" s="52"/>
      <c r="D82" s="52"/>
      <c r="E82" s="52"/>
      <c r="F82" s="52"/>
      <c r="G82" s="52"/>
      <c r="H82" s="52"/>
      <c r="I82" s="52"/>
      <c r="J82" s="52"/>
      <c r="K82" s="52"/>
      <c r="L82" s="52"/>
      <c r="M82" s="52"/>
      <c r="N82" s="52"/>
      <c r="O82" s="52"/>
      <c r="P82" s="52"/>
      <c r="Q82" s="52"/>
      <c r="R82" s="51"/>
      <c r="S82" s="51"/>
      <c r="T82" s="51"/>
      <c r="U82" s="51"/>
      <c r="V82" s="51"/>
      <c r="W82" s="51"/>
      <c r="X82" s="51"/>
      <c r="Y82" s="51"/>
      <c r="Z82" s="51"/>
    </row>
    <row r="83" spans="1:26">
      <c r="A83" s="52"/>
      <c r="B83" s="52"/>
      <c r="C83" s="52"/>
      <c r="D83" s="52"/>
      <c r="E83" s="52"/>
      <c r="F83" s="52"/>
      <c r="G83" s="52"/>
      <c r="H83" s="52"/>
      <c r="I83" s="52"/>
      <c r="J83" s="52"/>
      <c r="K83" s="52"/>
      <c r="L83" s="52"/>
      <c r="M83" s="52"/>
      <c r="N83" s="52"/>
      <c r="O83" s="52"/>
      <c r="P83" s="52"/>
      <c r="Q83" s="52"/>
      <c r="R83" s="51"/>
      <c r="S83" s="51"/>
      <c r="T83" s="51"/>
      <c r="U83" s="51"/>
      <c r="V83" s="51"/>
      <c r="W83" s="51"/>
      <c r="X83" s="51"/>
      <c r="Y83" s="51"/>
      <c r="Z83" s="51"/>
    </row>
    <row r="84" spans="1:26">
      <c r="A84" s="52"/>
      <c r="B84" s="52"/>
      <c r="C84" s="52"/>
      <c r="D84" s="52"/>
      <c r="E84" s="52"/>
      <c r="F84" s="52"/>
      <c r="G84" s="52"/>
      <c r="H84" s="52"/>
      <c r="I84" s="52"/>
      <c r="J84" s="52"/>
      <c r="K84" s="52"/>
      <c r="L84" s="52"/>
      <c r="M84" s="52"/>
      <c r="N84" s="52"/>
      <c r="O84" s="52"/>
      <c r="P84" s="52"/>
      <c r="Q84" s="52"/>
      <c r="R84" s="51"/>
      <c r="S84" s="51"/>
      <c r="T84" s="51"/>
      <c r="U84" s="51"/>
      <c r="V84" s="51"/>
      <c r="W84" s="51"/>
      <c r="X84" s="51"/>
      <c r="Y84" s="51"/>
      <c r="Z84" s="51"/>
    </row>
    <row r="85" spans="1:26">
      <c r="A85" s="52"/>
      <c r="B85" s="52"/>
      <c r="C85" s="52"/>
      <c r="D85" s="52"/>
      <c r="E85" s="52"/>
      <c r="F85" s="52"/>
      <c r="G85" s="52"/>
      <c r="H85" s="52"/>
      <c r="I85" s="52"/>
      <c r="J85" s="52"/>
      <c r="K85" s="52"/>
      <c r="L85" s="52"/>
      <c r="M85" s="52"/>
      <c r="N85" s="52"/>
      <c r="O85" s="52"/>
      <c r="P85" s="52"/>
      <c r="Q85" s="52"/>
      <c r="R85" s="51"/>
      <c r="S85" s="51"/>
      <c r="T85" s="51"/>
      <c r="U85" s="51"/>
      <c r="V85" s="51"/>
      <c r="W85" s="51"/>
      <c r="X85" s="51"/>
      <c r="Y85" s="51"/>
      <c r="Z85" s="51"/>
    </row>
    <row r="86" spans="1:26">
      <c r="A86" s="52"/>
      <c r="B86" s="52"/>
      <c r="C86" s="52"/>
      <c r="D86" s="52"/>
      <c r="E86" s="52"/>
      <c r="F86" s="52"/>
      <c r="G86" s="52"/>
      <c r="H86" s="52"/>
      <c r="I86" s="52"/>
      <c r="J86" s="52"/>
      <c r="K86" s="52"/>
      <c r="L86" s="52"/>
      <c r="M86" s="52"/>
      <c r="N86" s="52"/>
      <c r="O86" s="52"/>
      <c r="P86" s="52"/>
      <c r="Q86" s="52"/>
      <c r="R86" s="51"/>
      <c r="S86" s="51"/>
      <c r="T86" s="51"/>
      <c r="U86" s="51"/>
      <c r="V86" s="51"/>
      <c r="W86" s="51"/>
      <c r="X86" s="51"/>
      <c r="Y86" s="51"/>
      <c r="Z86" s="51"/>
    </row>
    <row r="87" spans="1:26">
      <c r="A87" s="52"/>
      <c r="B87" s="52"/>
      <c r="C87" s="52"/>
      <c r="D87" s="52"/>
      <c r="E87" s="52"/>
      <c r="F87" s="52"/>
      <c r="G87" s="52"/>
      <c r="H87" s="52"/>
      <c r="I87" s="52"/>
      <c r="J87" s="52"/>
      <c r="K87" s="52"/>
      <c r="L87" s="52"/>
      <c r="M87" s="52"/>
      <c r="N87" s="52"/>
      <c r="O87" s="52"/>
      <c r="P87" s="52"/>
      <c r="Q87" s="52"/>
      <c r="R87" s="51"/>
      <c r="S87" s="51"/>
      <c r="T87" s="51"/>
      <c r="U87" s="51"/>
      <c r="V87" s="51"/>
      <c r="W87" s="51"/>
      <c r="X87" s="51"/>
      <c r="Y87" s="51"/>
      <c r="Z87" s="51"/>
    </row>
    <row r="88" spans="1:26">
      <c r="A88" s="52"/>
      <c r="B88" s="52"/>
      <c r="C88" s="52"/>
      <c r="D88" s="52"/>
      <c r="E88" s="52"/>
      <c r="F88" s="52"/>
      <c r="G88" s="52"/>
      <c r="H88" s="52"/>
      <c r="I88" s="52"/>
      <c r="J88" s="52"/>
      <c r="K88" s="52"/>
      <c r="L88" s="52"/>
      <c r="M88" s="52"/>
      <c r="N88" s="52"/>
      <c r="O88" s="52"/>
      <c r="P88" s="52"/>
      <c r="Q88" s="52"/>
      <c r="R88" s="51"/>
      <c r="S88" s="51"/>
      <c r="T88" s="51"/>
      <c r="U88" s="51"/>
      <c r="V88" s="51"/>
      <c r="W88" s="51"/>
      <c r="X88" s="51"/>
      <c r="Y88" s="51"/>
      <c r="Z88" s="51"/>
    </row>
    <row r="89" spans="1:26">
      <c r="A89" s="52"/>
      <c r="B89" s="52"/>
      <c r="C89" s="52"/>
      <c r="D89" s="52"/>
      <c r="E89" s="52"/>
      <c r="F89" s="52"/>
      <c r="G89" s="52"/>
      <c r="H89" s="52"/>
      <c r="I89" s="52"/>
      <c r="J89" s="52"/>
      <c r="K89" s="52"/>
      <c r="L89" s="52"/>
      <c r="M89" s="52"/>
      <c r="N89" s="52"/>
      <c r="O89" s="52"/>
      <c r="P89" s="52"/>
      <c r="Q89" s="52"/>
      <c r="R89" s="51"/>
      <c r="S89" s="51"/>
      <c r="T89" s="51"/>
      <c r="U89" s="51"/>
      <c r="V89" s="51"/>
      <c r="W89" s="51"/>
      <c r="X89" s="51"/>
      <c r="Y89" s="51"/>
      <c r="Z89" s="51"/>
    </row>
    <row r="90" spans="1:26">
      <c r="A90" s="52"/>
      <c r="B90" s="52"/>
      <c r="C90" s="52"/>
      <c r="D90" s="52"/>
      <c r="E90" s="52"/>
      <c r="F90" s="52"/>
      <c r="G90" s="52"/>
      <c r="H90" s="52"/>
      <c r="I90" s="52"/>
      <c r="J90" s="52"/>
      <c r="K90" s="52"/>
      <c r="L90" s="52"/>
      <c r="M90" s="52"/>
      <c r="N90" s="52"/>
      <c r="O90" s="52"/>
      <c r="P90" s="52"/>
      <c r="Q90" s="52"/>
      <c r="R90" s="51"/>
      <c r="S90" s="51"/>
      <c r="T90" s="51"/>
      <c r="U90" s="51"/>
      <c r="V90" s="51"/>
      <c r="W90" s="51"/>
      <c r="X90" s="51"/>
      <c r="Y90" s="51"/>
      <c r="Z90" s="51"/>
    </row>
    <row r="91" spans="1:26">
      <c r="A91" s="52"/>
      <c r="B91" s="52"/>
      <c r="C91" s="52"/>
      <c r="D91" s="52"/>
      <c r="E91" s="52"/>
      <c r="F91" s="52"/>
      <c r="G91" s="52"/>
      <c r="H91" s="52"/>
      <c r="I91" s="52"/>
      <c r="J91" s="52"/>
      <c r="K91" s="52"/>
      <c r="L91" s="52"/>
      <c r="M91" s="52"/>
      <c r="N91" s="52"/>
      <c r="O91" s="52"/>
      <c r="P91" s="52"/>
      <c r="Q91" s="52"/>
      <c r="R91" s="51"/>
      <c r="S91" s="51"/>
      <c r="T91" s="51"/>
      <c r="U91" s="51"/>
      <c r="V91" s="51"/>
      <c r="W91" s="51"/>
      <c r="X91" s="51"/>
      <c r="Y91" s="51"/>
      <c r="Z91" s="51"/>
    </row>
    <row r="92" spans="1:26">
      <c r="A92" s="52"/>
      <c r="B92" s="52"/>
      <c r="C92" s="52"/>
      <c r="D92" s="52"/>
      <c r="E92" s="52"/>
      <c r="F92" s="52"/>
      <c r="G92" s="52"/>
      <c r="H92" s="52"/>
      <c r="I92" s="52"/>
      <c r="J92" s="52"/>
      <c r="K92" s="52"/>
      <c r="L92" s="52"/>
      <c r="M92" s="52"/>
      <c r="N92" s="52"/>
      <c r="O92" s="52"/>
      <c r="P92" s="52"/>
      <c r="Q92" s="52"/>
      <c r="R92" s="51"/>
      <c r="S92" s="51"/>
      <c r="T92" s="51"/>
      <c r="U92" s="51"/>
      <c r="V92" s="51"/>
      <c r="W92" s="51"/>
      <c r="X92" s="51"/>
      <c r="Y92" s="51"/>
      <c r="Z92" s="51"/>
    </row>
    <row r="93" spans="1:26">
      <c r="A93" s="52"/>
      <c r="B93" s="52"/>
      <c r="C93" s="52"/>
      <c r="D93" s="52"/>
      <c r="E93" s="52"/>
      <c r="F93" s="52"/>
      <c r="G93" s="52"/>
      <c r="H93" s="52"/>
      <c r="I93" s="52"/>
      <c r="J93" s="52"/>
      <c r="K93" s="52"/>
      <c r="L93" s="52"/>
      <c r="M93" s="52"/>
      <c r="N93" s="52"/>
      <c r="O93" s="52"/>
      <c r="P93" s="52"/>
      <c r="Q93" s="52"/>
      <c r="R93" s="51"/>
      <c r="S93" s="51"/>
      <c r="T93" s="51"/>
      <c r="U93" s="51"/>
      <c r="V93" s="51"/>
      <c r="W93" s="51"/>
      <c r="X93" s="51"/>
      <c r="Y93" s="51"/>
      <c r="Z93" s="51"/>
    </row>
    <row r="94" spans="1:26">
      <c r="A94" s="52"/>
      <c r="B94" s="52"/>
      <c r="C94" s="52"/>
      <c r="D94" s="52"/>
      <c r="E94" s="52"/>
      <c r="F94" s="52"/>
      <c r="G94" s="52"/>
      <c r="H94" s="52"/>
      <c r="I94" s="52"/>
      <c r="J94" s="52"/>
      <c r="K94" s="52"/>
      <c r="L94" s="52"/>
      <c r="M94" s="52"/>
      <c r="N94" s="52"/>
      <c r="O94" s="52"/>
      <c r="P94" s="52"/>
      <c r="Q94" s="52"/>
      <c r="R94" s="51"/>
      <c r="S94" s="51"/>
      <c r="T94" s="51"/>
      <c r="U94" s="51"/>
      <c r="V94" s="51"/>
      <c r="W94" s="51"/>
      <c r="X94" s="51"/>
      <c r="Y94" s="51"/>
      <c r="Z94" s="51"/>
    </row>
    <row r="95" spans="1:26">
      <c r="A95" s="52"/>
      <c r="B95" s="52"/>
      <c r="C95" s="52"/>
      <c r="D95" s="52"/>
      <c r="E95" s="52"/>
      <c r="F95" s="52"/>
      <c r="G95" s="52"/>
      <c r="H95" s="52"/>
      <c r="I95" s="52"/>
      <c r="J95" s="52"/>
      <c r="K95" s="52"/>
      <c r="L95" s="52"/>
      <c r="M95" s="52"/>
      <c r="N95" s="52"/>
      <c r="O95" s="52"/>
      <c r="P95" s="52"/>
      <c r="Q95" s="52"/>
      <c r="R95" s="51"/>
      <c r="S95" s="51"/>
      <c r="T95" s="51"/>
      <c r="U95" s="51"/>
      <c r="V95" s="51"/>
      <c r="W95" s="51"/>
      <c r="X95" s="51"/>
      <c r="Y95" s="51"/>
      <c r="Z95" s="51"/>
    </row>
    <row r="96" spans="1:26">
      <c r="A96" s="52"/>
      <c r="B96" s="52"/>
      <c r="C96" s="52"/>
      <c r="D96" s="52"/>
      <c r="E96" s="52"/>
      <c r="F96" s="52"/>
      <c r="G96" s="52"/>
      <c r="H96" s="52"/>
      <c r="I96" s="52"/>
      <c r="J96" s="52"/>
      <c r="K96" s="52"/>
      <c r="L96" s="52"/>
      <c r="M96" s="52"/>
      <c r="N96" s="52"/>
      <c r="O96" s="52"/>
      <c r="P96" s="52"/>
      <c r="Q96" s="52"/>
      <c r="R96" s="51"/>
      <c r="S96" s="51"/>
      <c r="T96" s="51"/>
      <c r="U96" s="51"/>
      <c r="V96" s="51"/>
      <c r="W96" s="51"/>
      <c r="X96" s="51"/>
      <c r="Y96" s="51"/>
      <c r="Z96" s="51"/>
    </row>
    <row r="97" spans="1:26">
      <c r="A97" s="52"/>
      <c r="B97" s="52"/>
      <c r="C97" s="52"/>
      <c r="D97" s="52"/>
      <c r="E97" s="52"/>
      <c r="F97" s="52"/>
      <c r="G97" s="52"/>
      <c r="H97" s="52"/>
      <c r="I97" s="52"/>
      <c r="J97" s="52"/>
      <c r="K97" s="52"/>
      <c r="L97" s="52"/>
      <c r="M97" s="52"/>
      <c r="N97" s="52"/>
      <c r="O97" s="52"/>
      <c r="P97" s="52"/>
      <c r="Q97" s="52"/>
      <c r="R97" s="51"/>
      <c r="S97" s="51"/>
      <c r="T97" s="51"/>
      <c r="U97" s="51"/>
      <c r="V97" s="51"/>
      <c r="W97" s="51"/>
      <c r="X97" s="51"/>
      <c r="Y97" s="51"/>
      <c r="Z97" s="51"/>
    </row>
    <row r="98" spans="1:26">
      <c r="A98" s="52"/>
      <c r="B98" s="52"/>
      <c r="C98" s="52"/>
      <c r="D98" s="52"/>
      <c r="E98" s="52"/>
      <c r="F98" s="52"/>
      <c r="G98" s="52"/>
      <c r="H98" s="52"/>
      <c r="I98" s="52"/>
      <c r="J98" s="52"/>
      <c r="K98" s="52"/>
      <c r="L98" s="52"/>
      <c r="M98" s="52"/>
      <c r="N98" s="52"/>
      <c r="O98" s="52"/>
      <c r="P98" s="52"/>
      <c r="Q98" s="52"/>
      <c r="R98" s="51"/>
      <c r="S98" s="51"/>
      <c r="T98" s="51"/>
      <c r="U98" s="51"/>
      <c r="V98" s="51"/>
      <c r="W98" s="51"/>
      <c r="X98" s="51"/>
      <c r="Y98" s="51"/>
      <c r="Z98" s="51"/>
    </row>
    <row r="99" spans="1:26">
      <c r="A99" s="52"/>
      <c r="B99" s="52"/>
      <c r="C99" s="52"/>
      <c r="D99" s="52"/>
      <c r="E99" s="52"/>
      <c r="F99" s="52"/>
      <c r="G99" s="52"/>
      <c r="H99" s="52"/>
      <c r="I99" s="52"/>
      <c r="J99" s="52"/>
      <c r="K99" s="52"/>
      <c r="L99" s="52"/>
      <c r="M99" s="52"/>
      <c r="N99" s="52"/>
      <c r="O99" s="52"/>
      <c r="P99" s="52"/>
      <c r="Q99" s="52"/>
      <c r="R99" s="51"/>
      <c r="S99" s="51"/>
      <c r="T99" s="51"/>
      <c r="U99" s="51"/>
      <c r="V99" s="51"/>
      <c r="W99" s="51"/>
      <c r="X99" s="51"/>
      <c r="Y99" s="51"/>
      <c r="Z99" s="51"/>
    </row>
    <row r="100" spans="1:26">
      <c r="A100" s="52"/>
      <c r="B100" s="52"/>
      <c r="C100" s="52"/>
      <c r="D100" s="52"/>
      <c r="E100" s="52"/>
      <c r="F100" s="52"/>
      <c r="G100" s="52"/>
      <c r="H100" s="52"/>
      <c r="I100" s="52"/>
      <c r="J100" s="52"/>
      <c r="K100" s="52"/>
      <c r="L100" s="52"/>
      <c r="M100" s="52"/>
      <c r="N100" s="52"/>
      <c r="O100" s="52"/>
      <c r="P100" s="52"/>
      <c r="Q100" s="52"/>
      <c r="R100" s="51"/>
      <c r="S100" s="51"/>
      <c r="T100" s="51"/>
      <c r="U100" s="51"/>
      <c r="V100" s="51"/>
      <c r="W100" s="51"/>
      <c r="X100" s="51"/>
      <c r="Y100" s="51"/>
      <c r="Z100" s="51"/>
    </row>
  </sheetData>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96EF-2B46-4F41-8962-FBF51CF1CE27}">
  <dimension ref="A1:Z124"/>
  <sheetViews>
    <sheetView zoomScale="80" zoomScaleNormal="80" workbookViewId="0"/>
  </sheetViews>
  <sheetFormatPr defaultRowHeight="14"/>
  <cols>
    <col min="1" max="1" width="84.1640625" customWidth="1"/>
    <col min="2" max="2" width="12.1640625" customWidth="1"/>
    <col min="3" max="3" width="13.83203125" customWidth="1"/>
    <col min="4" max="4" width="14.4140625" customWidth="1"/>
    <col min="5" max="5" width="14.83203125" customWidth="1"/>
    <col min="6" max="6" width="12.83203125" customWidth="1"/>
    <col min="7" max="7" width="15.83203125" customWidth="1"/>
    <col min="8" max="8" width="13.4140625" customWidth="1"/>
    <col min="9" max="9" width="13.25" customWidth="1"/>
    <col min="10" max="10" width="12.83203125" customWidth="1"/>
    <col min="11" max="11" width="13.1640625" customWidth="1"/>
    <col min="13" max="13" width="14.1640625" customWidth="1"/>
    <col min="14" max="14" width="16.25" customWidth="1"/>
    <col min="15" max="15" width="12.4140625" customWidth="1"/>
  </cols>
  <sheetData>
    <row r="1" spans="1:26">
      <c r="A1" s="3" t="s">
        <v>29</v>
      </c>
      <c r="B1" s="3" t="s">
        <v>119</v>
      </c>
      <c r="C1" s="3" t="s">
        <v>120</v>
      </c>
      <c r="D1" s="6" t="s">
        <v>121</v>
      </c>
      <c r="E1" s="6" t="s">
        <v>122</v>
      </c>
      <c r="F1" s="6" t="s">
        <v>123</v>
      </c>
      <c r="G1" s="6" t="s">
        <v>124</v>
      </c>
      <c r="H1" s="6" t="s">
        <v>125</v>
      </c>
      <c r="I1" s="6" t="s">
        <v>126</v>
      </c>
      <c r="J1" s="6" t="s">
        <v>127</v>
      </c>
      <c r="K1" s="6" t="s">
        <v>128</v>
      </c>
      <c r="L1" s="53"/>
      <c r="M1" s="53"/>
      <c r="N1" s="53"/>
      <c r="O1" s="54"/>
      <c r="P1" s="54"/>
      <c r="Q1" s="54"/>
      <c r="R1" s="54"/>
      <c r="S1" s="54"/>
      <c r="T1" s="51"/>
      <c r="U1" s="51"/>
      <c r="V1" s="51"/>
      <c r="W1" s="51"/>
      <c r="X1" s="51"/>
      <c r="Y1" s="51"/>
      <c r="Z1" s="51"/>
    </row>
    <row r="2" spans="1:26">
      <c r="A2" s="28" t="s">
        <v>138</v>
      </c>
      <c r="B2" s="20"/>
      <c r="C2" s="20"/>
      <c r="D2" s="42" t="s">
        <v>26</v>
      </c>
      <c r="E2" s="42" t="s">
        <v>26</v>
      </c>
      <c r="F2" s="42" t="s">
        <v>26</v>
      </c>
      <c r="G2" s="72"/>
      <c r="H2" s="41"/>
      <c r="I2" s="41"/>
      <c r="J2" s="41"/>
      <c r="K2" s="41"/>
      <c r="L2" s="53"/>
      <c r="M2" s="393" t="s">
        <v>481</v>
      </c>
      <c r="N2" s="393" t="s">
        <v>483</v>
      </c>
      <c r="O2" s="54"/>
      <c r="P2" s="54"/>
      <c r="Q2" s="54"/>
      <c r="R2" s="54"/>
      <c r="S2" s="54"/>
      <c r="T2" s="51"/>
      <c r="U2" s="51"/>
      <c r="V2" s="51"/>
      <c r="W2" s="51"/>
      <c r="X2" s="51"/>
      <c r="Y2" s="51"/>
      <c r="Z2" s="51"/>
    </row>
    <row r="3" spans="1:26">
      <c r="A3" s="28" t="s">
        <v>30</v>
      </c>
      <c r="B3" s="20"/>
      <c r="C3" s="20"/>
      <c r="D3" s="42"/>
      <c r="E3" s="42"/>
      <c r="F3" s="42"/>
      <c r="G3" s="73"/>
      <c r="H3" s="73"/>
      <c r="I3" s="73"/>
      <c r="J3" s="73"/>
      <c r="K3" s="73"/>
      <c r="L3" s="53"/>
      <c r="M3" s="394" t="s">
        <v>482</v>
      </c>
      <c r="N3" s="394" t="s">
        <v>484</v>
      </c>
      <c r="O3" s="54"/>
      <c r="P3" s="54"/>
      <c r="Q3" s="54"/>
      <c r="R3" s="54"/>
      <c r="S3" s="54"/>
      <c r="T3" s="51"/>
      <c r="U3" s="51"/>
      <c r="V3" s="51"/>
      <c r="W3" s="51"/>
      <c r="X3" s="51"/>
      <c r="Y3" s="51"/>
      <c r="Z3" s="51"/>
    </row>
    <row r="4" spans="1:26">
      <c r="A4" s="28" t="s">
        <v>31</v>
      </c>
      <c r="B4" s="99">
        <v>10113</v>
      </c>
      <c r="C4" s="99">
        <v>7421</v>
      </c>
      <c r="D4" s="103">
        <v>7008</v>
      </c>
      <c r="E4" s="103">
        <v>8588</v>
      </c>
      <c r="F4" s="103">
        <v>8442</v>
      </c>
      <c r="G4" s="464">
        <f>'Cash Flow'!G59</f>
        <v>9432.3480000000018</v>
      </c>
      <c r="H4" s="464">
        <f>'Cash Flow'!H59</f>
        <v>9224.877239999998</v>
      </c>
      <c r="I4" s="464">
        <f>'Cash Flow'!I59</f>
        <v>9008.4525587999997</v>
      </c>
      <c r="J4" s="464">
        <f>'Cash Flow'!J59</f>
        <v>8786.1973852679948</v>
      </c>
      <c r="K4" s="464">
        <f>'Cash Flow'!K59</f>
        <v>8561.8127881697983</v>
      </c>
      <c r="L4" s="53"/>
      <c r="M4" s="53"/>
      <c r="N4" s="53"/>
      <c r="O4" s="54"/>
      <c r="P4" s="54"/>
      <c r="Q4" s="54"/>
      <c r="R4" s="54"/>
      <c r="S4" s="54"/>
      <c r="T4" s="51"/>
      <c r="U4" s="51"/>
      <c r="V4" s="51"/>
      <c r="W4" s="51"/>
      <c r="X4" s="51"/>
      <c r="Y4" s="51"/>
      <c r="Z4" s="51"/>
    </row>
    <row r="5" spans="1:26">
      <c r="A5" s="28" t="s">
        <v>2250</v>
      </c>
      <c r="B5" s="99">
        <v>586</v>
      </c>
      <c r="C5" s="99">
        <v>586</v>
      </c>
      <c r="D5" s="104">
        <v>589</v>
      </c>
      <c r="E5" s="104">
        <v>32</v>
      </c>
      <c r="F5" s="104">
        <v>492</v>
      </c>
      <c r="G5" s="112">
        <v>492</v>
      </c>
      <c r="H5" s="112">
        <v>492</v>
      </c>
      <c r="I5" s="112">
        <v>492</v>
      </c>
      <c r="J5" s="112">
        <v>492</v>
      </c>
      <c r="K5" s="112">
        <v>492</v>
      </c>
      <c r="L5" s="53"/>
      <c r="M5" s="53"/>
      <c r="N5" s="53"/>
      <c r="O5" s="54"/>
      <c r="P5" s="54"/>
      <c r="Q5" s="54"/>
      <c r="R5" s="54"/>
      <c r="S5" s="54"/>
      <c r="T5" s="51"/>
      <c r="U5" s="51"/>
      <c r="V5" s="51"/>
      <c r="W5" s="51"/>
      <c r="X5" s="51"/>
      <c r="Y5" s="51"/>
      <c r="Z5" s="51"/>
    </row>
    <row r="6" spans="1:26">
      <c r="A6" s="28" t="s">
        <v>33</v>
      </c>
      <c r="B6" s="99">
        <v>483</v>
      </c>
      <c r="C6" s="99">
        <v>473</v>
      </c>
      <c r="D6" s="104">
        <v>400</v>
      </c>
      <c r="E6" s="104">
        <v>1845</v>
      </c>
      <c r="F6" s="104">
        <v>1874</v>
      </c>
      <c r="G6" s="112">
        <v>1874</v>
      </c>
      <c r="H6" s="112">
        <v>1874</v>
      </c>
      <c r="I6" s="112">
        <v>1874</v>
      </c>
      <c r="J6" s="112">
        <v>1874</v>
      </c>
      <c r="K6" s="112">
        <v>1874</v>
      </c>
      <c r="L6" s="53"/>
      <c r="M6" s="53"/>
      <c r="N6" s="53"/>
      <c r="O6" s="54"/>
      <c r="P6" s="54"/>
      <c r="Q6" s="54"/>
      <c r="R6" s="54"/>
      <c r="S6" s="54"/>
      <c r="T6" s="51"/>
      <c r="U6" s="51"/>
      <c r="V6" s="51"/>
      <c r="W6" s="51"/>
      <c r="X6" s="51"/>
      <c r="Y6" s="51"/>
      <c r="Z6" s="51"/>
    </row>
    <row r="7" spans="1:26">
      <c r="A7" s="28" t="s">
        <v>34</v>
      </c>
      <c r="B7" s="99">
        <v>2646</v>
      </c>
      <c r="C7" s="99">
        <v>3006</v>
      </c>
      <c r="D7" s="104">
        <v>3425</v>
      </c>
      <c r="E7" s="104">
        <v>592</v>
      </c>
      <c r="F7" s="104">
        <v>330</v>
      </c>
      <c r="G7" s="113">
        <f>'Profit Loss'!G4*Assumptions!B27</f>
        <v>369.10036800000006</v>
      </c>
      <c r="H7" s="113">
        <f>'Profit Loss'!H4*Assumptions!B27</f>
        <v>417.08341584000004</v>
      </c>
      <c r="I7" s="113">
        <f>'Profit Loss'!I4*Assumptions!B27</f>
        <v>467.13342574080008</v>
      </c>
      <c r="J7" s="114">
        <f>'Profit Loss'!J4*Assumptions!B27</f>
        <v>518.51810257228817</v>
      </c>
      <c r="K7" s="114">
        <f>'Profit Loss'!K4*Assumptions!B27</f>
        <v>570.36991282951703</v>
      </c>
      <c r="L7" s="53"/>
      <c r="M7" s="53"/>
      <c r="N7" s="53"/>
      <c r="O7" s="54"/>
      <c r="P7" s="54"/>
      <c r="Q7" s="54"/>
      <c r="R7" s="54"/>
      <c r="S7" s="54"/>
      <c r="T7" s="51"/>
      <c r="U7" s="51"/>
      <c r="V7" s="51"/>
      <c r="W7" s="51"/>
      <c r="X7" s="51"/>
      <c r="Y7" s="51"/>
      <c r="Z7" s="51"/>
    </row>
    <row r="8" spans="1:26">
      <c r="A8" s="28" t="s">
        <v>35</v>
      </c>
      <c r="B8" s="99">
        <v>1706</v>
      </c>
      <c r="C8" s="99">
        <v>1319</v>
      </c>
      <c r="D8" s="104">
        <v>1270</v>
      </c>
      <c r="E8" s="104">
        <v>4060</v>
      </c>
      <c r="F8" s="104">
        <v>3773</v>
      </c>
      <c r="G8" s="112">
        <f>'Profit Loss'!G4*Assumptions!B28</f>
        <v>4227.3033600000008</v>
      </c>
      <c r="H8" s="112">
        <f>'Profit Loss'!H4*Assumptions!B28</f>
        <v>4776.8527968000008</v>
      </c>
      <c r="I8" s="112">
        <f>'Profit Loss'!I4*Assumptions!B28</f>
        <v>5350.075132416001</v>
      </c>
      <c r="J8" s="112">
        <f>'Profit Loss'!J4*Assumptions!B28</f>
        <v>5938.5833969817613</v>
      </c>
      <c r="K8" s="112">
        <f>'Profit Loss'!K4*Assumptions!B28</f>
        <v>6532.441736679938</v>
      </c>
      <c r="L8" s="53"/>
      <c r="M8" s="53"/>
      <c r="N8" s="53"/>
      <c r="O8" s="54"/>
      <c r="P8" s="54"/>
      <c r="Q8" s="54"/>
      <c r="R8" s="54"/>
      <c r="S8" s="54"/>
      <c r="T8" s="51"/>
      <c r="U8" s="51"/>
      <c r="V8" s="51"/>
      <c r="W8" s="51"/>
      <c r="X8" s="51"/>
      <c r="Y8" s="51"/>
      <c r="Z8" s="51"/>
    </row>
    <row r="9" spans="1:26">
      <c r="A9" s="28" t="s">
        <v>36</v>
      </c>
      <c r="B9" s="99">
        <v>1696</v>
      </c>
      <c r="C9" s="99">
        <v>1873</v>
      </c>
      <c r="D9" s="104">
        <v>1568</v>
      </c>
      <c r="E9" s="104">
        <v>1233</v>
      </c>
      <c r="F9" s="104">
        <v>1821</v>
      </c>
      <c r="G9" s="112">
        <v>1821</v>
      </c>
      <c r="H9" s="112">
        <v>1821</v>
      </c>
      <c r="I9" s="112">
        <v>1821</v>
      </c>
      <c r="J9" s="112">
        <v>1821</v>
      </c>
      <c r="K9" s="112">
        <v>1821</v>
      </c>
      <c r="L9" s="53"/>
      <c r="M9" s="53"/>
      <c r="N9" s="53"/>
      <c r="O9" s="54"/>
      <c r="P9" s="54"/>
      <c r="Q9" s="54"/>
      <c r="R9" s="54"/>
      <c r="S9" s="54"/>
      <c r="T9" s="51"/>
      <c r="U9" s="51"/>
      <c r="V9" s="51"/>
      <c r="W9" s="51"/>
      <c r="X9" s="51"/>
      <c r="Y9" s="51"/>
      <c r="Z9" s="51"/>
    </row>
    <row r="10" spans="1:26">
      <c r="A10" s="28" t="s">
        <v>37</v>
      </c>
      <c r="B10" s="99">
        <v>1883</v>
      </c>
      <c r="C10" s="99">
        <v>2271</v>
      </c>
      <c r="D10" s="104">
        <v>2346</v>
      </c>
      <c r="E10" s="104">
        <v>2611</v>
      </c>
      <c r="F10" s="104">
        <v>2992</v>
      </c>
      <c r="G10" s="112">
        <f>'Profit Loss'!G4*Assumptions!B29</f>
        <v>2523.7632000000003</v>
      </c>
      <c r="H10" s="112">
        <f>'Profit Loss'!H4*Assumptions!B29</f>
        <v>2851.8524160000002</v>
      </c>
      <c r="I10" s="463">
        <f>'Profit Loss'!I4*Assumptions!B29</f>
        <v>3194.0747059200007</v>
      </c>
      <c r="J10" s="463">
        <f>'Profit Loss'!J4*Assumptions!B29</f>
        <v>3545.422923571201</v>
      </c>
      <c r="K10" s="463">
        <f>'Profit Loss'!K4*Assumptions!B29</f>
        <v>3899.9652159283214</v>
      </c>
      <c r="L10" s="53"/>
      <c r="M10" s="53"/>
      <c r="N10" s="53"/>
      <c r="O10" s="54"/>
      <c r="P10" s="54"/>
      <c r="Q10" s="54"/>
      <c r="R10" s="54"/>
      <c r="S10" s="54"/>
      <c r="T10" s="51"/>
      <c r="U10" s="51"/>
      <c r="V10" s="51"/>
      <c r="W10" s="51"/>
      <c r="X10" s="51"/>
      <c r="Y10" s="51"/>
      <c r="Z10" s="51"/>
    </row>
    <row r="11" spans="1:26">
      <c r="A11" s="28" t="s">
        <v>38</v>
      </c>
      <c r="B11" s="462">
        <f t="shared" ref="B11:K11" si="0">SUM(B4:B10)</f>
        <v>19113</v>
      </c>
      <c r="C11" s="462">
        <f t="shared" si="0"/>
        <v>16949</v>
      </c>
      <c r="D11" s="462">
        <f t="shared" si="0"/>
        <v>16606</v>
      </c>
      <c r="E11" s="462">
        <f t="shared" si="0"/>
        <v>18961</v>
      </c>
      <c r="F11" s="462">
        <f t="shared" si="0"/>
        <v>19724</v>
      </c>
      <c r="G11" s="252">
        <f t="shared" si="0"/>
        <v>20739.514928000004</v>
      </c>
      <c r="H11" s="252">
        <f t="shared" si="0"/>
        <v>21457.665868640001</v>
      </c>
      <c r="I11" s="252">
        <f t="shared" si="0"/>
        <v>22206.735822876799</v>
      </c>
      <c r="J11" s="252">
        <f t="shared" si="0"/>
        <v>22975.721808393246</v>
      </c>
      <c r="K11" s="252">
        <f t="shared" si="0"/>
        <v>23751.589653607574</v>
      </c>
      <c r="L11" s="53"/>
      <c r="M11" s="53"/>
      <c r="N11" s="53"/>
      <c r="O11" s="54"/>
      <c r="P11" s="54"/>
      <c r="Q11" s="54"/>
      <c r="R11" s="54"/>
      <c r="S11" s="54"/>
      <c r="T11" s="51"/>
      <c r="U11" s="51"/>
      <c r="V11" s="51"/>
      <c r="W11" s="51"/>
      <c r="X11" s="51"/>
      <c r="Y11" s="51"/>
      <c r="Z11" s="51"/>
    </row>
    <row r="12" spans="1:26">
      <c r="A12" s="28" t="s">
        <v>39</v>
      </c>
      <c r="B12" s="99">
        <v>1902</v>
      </c>
      <c r="C12" s="99">
        <v>1907</v>
      </c>
      <c r="D12" s="104">
        <v>2006</v>
      </c>
      <c r="E12" s="104">
        <v>2061</v>
      </c>
      <c r="F12" s="104">
        <v>2138</v>
      </c>
      <c r="G12" s="113">
        <f>Table2[[#This Row],[2024]]*(1+4%)</f>
        <v>2223.52</v>
      </c>
      <c r="H12" s="463">
        <f>Table2[[#This Row],[2025E]]*(1+4%)</f>
        <v>2312.4607999999998</v>
      </c>
      <c r="I12" s="463">
        <f>Table2[[#This Row],[2026E]]*(1+4%)</f>
        <v>2404.9592319999997</v>
      </c>
      <c r="J12" s="463">
        <f>Table2[[#This Row],[2027E]]*(1+4%)</f>
        <v>2501.1576012799997</v>
      </c>
      <c r="K12" s="463">
        <f>Table2[[#This Row],[2028E]]*(1+4%)</f>
        <v>2601.2039053311996</v>
      </c>
      <c r="L12" s="53"/>
      <c r="M12" s="53"/>
      <c r="N12" s="53"/>
      <c r="O12" s="54"/>
      <c r="P12" s="54"/>
      <c r="Q12" s="54"/>
      <c r="R12" s="54"/>
      <c r="S12" s="54"/>
      <c r="T12" s="51"/>
      <c r="U12" s="51"/>
      <c r="V12" s="51"/>
      <c r="W12" s="51"/>
      <c r="X12" s="51"/>
      <c r="Y12" s="51"/>
      <c r="Z12" s="51"/>
    </row>
    <row r="13" spans="1:26">
      <c r="A13" s="28" t="s">
        <v>40</v>
      </c>
      <c r="B13" s="99">
        <v>491</v>
      </c>
      <c r="C13" s="99">
        <v>486</v>
      </c>
      <c r="D13" s="104">
        <v>1151</v>
      </c>
      <c r="E13" s="104">
        <v>1355</v>
      </c>
      <c r="F13" s="104">
        <v>1614</v>
      </c>
      <c r="G13" s="112">
        <v>1614</v>
      </c>
      <c r="H13" s="112">
        <v>1614</v>
      </c>
      <c r="I13" s="112">
        <v>1614</v>
      </c>
      <c r="J13" s="112">
        <v>1614</v>
      </c>
      <c r="K13" s="112">
        <v>1614</v>
      </c>
      <c r="L13" s="53"/>
      <c r="M13" s="53"/>
      <c r="N13" s="53"/>
      <c r="O13" s="54"/>
      <c r="P13" s="54"/>
      <c r="Q13" s="54"/>
      <c r="R13" s="54"/>
      <c r="S13" s="54"/>
      <c r="T13" s="51"/>
      <c r="U13" s="51"/>
      <c r="V13" s="51"/>
      <c r="W13" s="51"/>
      <c r="X13" s="51"/>
      <c r="Y13" s="51"/>
      <c r="Z13" s="51"/>
    </row>
    <row r="14" spans="1:26">
      <c r="A14" s="28" t="s">
        <v>41</v>
      </c>
      <c r="B14" s="99">
        <v>4960</v>
      </c>
      <c r="C14" s="99">
        <v>7662</v>
      </c>
      <c r="D14" s="104">
        <v>7522</v>
      </c>
      <c r="E14" s="104">
        <v>7660</v>
      </c>
      <c r="F14" s="104">
        <v>9193</v>
      </c>
      <c r="G14" s="112">
        <v>9193</v>
      </c>
      <c r="H14" s="112">
        <v>9193</v>
      </c>
      <c r="I14" s="112">
        <v>9193</v>
      </c>
      <c r="J14" s="112">
        <v>9193</v>
      </c>
      <c r="K14" s="112">
        <v>9193</v>
      </c>
      <c r="L14" s="53"/>
      <c r="M14" s="53"/>
      <c r="N14" s="53"/>
      <c r="O14" s="54"/>
      <c r="P14" s="54"/>
      <c r="Q14" s="54"/>
      <c r="R14" s="54"/>
      <c r="S14" s="54"/>
      <c r="T14" s="51"/>
      <c r="U14" s="51"/>
      <c r="V14" s="51"/>
      <c r="W14" s="51"/>
      <c r="X14" s="51"/>
      <c r="Y14" s="51"/>
      <c r="Z14" s="51"/>
    </row>
    <row r="15" spans="1:26">
      <c r="A15" s="28" t="s">
        <v>42</v>
      </c>
      <c r="B15" s="99">
        <v>1753</v>
      </c>
      <c r="C15" s="99">
        <v>3671</v>
      </c>
      <c r="D15" s="104">
        <v>3859</v>
      </c>
      <c r="E15" s="104">
        <v>4086</v>
      </c>
      <c r="F15" s="104">
        <v>5453</v>
      </c>
      <c r="G15" s="113">
        <f>Table2[[#This Row],[2024]]*(1+3%)</f>
        <v>5616.59</v>
      </c>
      <c r="H15" s="463">
        <f>Table2[[#This Row],[2025E]]*(1+3%)</f>
        <v>5785.0877</v>
      </c>
      <c r="I15" s="463">
        <f>Table2[[#This Row],[2026E]]*(1+3%)</f>
        <v>5958.6403310000005</v>
      </c>
      <c r="J15" s="463">
        <f>Table2[[#This Row],[2027E]]*(1+3%)</f>
        <v>6137.3995409300005</v>
      </c>
      <c r="K15" s="463">
        <f>Table2[[#This Row],[2028E]]*(1+3%)</f>
        <v>6321.5215271579009</v>
      </c>
      <c r="L15" s="53"/>
      <c r="M15" s="53"/>
      <c r="N15" s="53"/>
      <c r="O15" s="54"/>
      <c r="P15" s="54"/>
      <c r="Q15" s="54"/>
      <c r="R15" s="54"/>
      <c r="S15" s="54"/>
      <c r="T15" s="51"/>
      <c r="U15" s="51"/>
      <c r="V15" s="51"/>
      <c r="W15" s="51"/>
      <c r="X15" s="51"/>
      <c r="Y15" s="51"/>
      <c r="Z15" s="51"/>
    </row>
    <row r="16" spans="1:26">
      <c r="A16" s="28" t="s">
        <v>43</v>
      </c>
      <c r="B16" s="99">
        <v>5365</v>
      </c>
      <c r="C16" s="99">
        <v>6994</v>
      </c>
      <c r="D16" s="104">
        <v>7580</v>
      </c>
      <c r="E16" s="104">
        <v>8325</v>
      </c>
      <c r="F16" s="104">
        <v>9959</v>
      </c>
      <c r="G16" s="113">
        <f>'Profit Loss'!G4*Assumptions!H5</f>
        <v>3785.6448000000009</v>
      </c>
      <c r="H16" s="113">
        <f>'Profit Loss'!H4*Assumptions!I5</f>
        <v>4634.2601760000007</v>
      </c>
      <c r="I16" s="113">
        <f>'Profit Loss'!I4*Assumptions!J5</f>
        <v>4791.1120588800013</v>
      </c>
      <c r="J16" s="113">
        <f>'Profit Loss'!J4*Assumptions!K5</f>
        <v>4874.9565199104009</v>
      </c>
      <c r="K16" s="113">
        <f>'Profit Loss'!K4*Assumptions!L5</f>
        <v>4874.9565199104018</v>
      </c>
      <c r="L16" s="53"/>
      <c r="M16" s="53"/>
      <c r="N16" s="53"/>
      <c r="O16" s="54"/>
      <c r="P16" s="54"/>
      <c r="Q16" s="54"/>
      <c r="R16" s="54"/>
      <c r="S16" s="54"/>
      <c r="T16" s="51"/>
      <c r="U16" s="51"/>
      <c r="V16" s="51"/>
      <c r="W16" s="51"/>
      <c r="X16" s="51"/>
      <c r="Y16" s="51"/>
      <c r="Z16" s="51"/>
    </row>
    <row r="17" spans="1:26">
      <c r="A17" s="19" t="s">
        <v>44</v>
      </c>
      <c r="B17" s="234">
        <v>33584</v>
      </c>
      <c r="C17" s="234">
        <v>37669</v>
      </c>
      <c r="D17" s="234">
        <v>38724</v>
      </c>
      <c r="E17" s="234">
        <v>42448</v>
      </c>
      <c r="F17" s="234">
        <v>48081</v>
      </c>
      <c r="G17" s="234">
        <f>G30+G40</f>
        <v>53097.338920000009</v>
      </c>
      <c r="H17" s="234">
        <f t="shared" ref="H17:K17" si="1">H30+H40</f>
        <v>57260.76218528</v>
      </c>
      <c r="I17" s="234">
        <f t="shared" si="1"/>
        <v>61537.220058534404</v>
      </c>
      <c r="J17" s="234">
        <f t="shared" si="1"/>
        <v>65986.569783414277</v>
      </c>
      <c r="K17" s="234">
        <f t="shared" si="1"/>
        <v>70521.242230636315</v>
      </c>
      <c r="L17" s="53"/>
      <c r="M17" s="53"/>
      <c r="N17" s="53"/>
      <c r="O17" s="54"/>
      <c r="P17" s="54"/>
      <c r="Q17" s="54"/>
      <c r="R17" s="54"/>
      <c r="S17" s="54"/>
      <c r="T17" s="51"/>
      <c r="U17" s="51"/>
      <c r="V17" s="51"/>
      <c r="W17" s="51"/>
      <c r="X17" s="51"/>
      <c r="Y17" s="51"/>
      <c r="Z17" s="51"/>
    </row>
    <row r="18" spans="1:26">
      <c r="A18" s="28" t="s">
        <v>45</v>
      </c>
      <c r="B18" s="99"/>
      <c r="C18" s="99"/>
      <c r="D18" s="102" t="s">
        <v>26</v>
      </c>
      <c r="E18" s="102" t="s">
        <v>26</v>
      </c>
      <c r="F18" s="102" t="s">
        <v>26</v>
      </c>
      <c r="G18" s="113"/>
      <c r="H18" s="115"/>
      <c r="I18" s="115"/>
      <c r="J18" s="115"/>
      <c r="K18" s="115"/>
      <c r="L18" s="53"/>
      <c r="M18" s="53"/>
      <c r="N18" s="53"/>
      <c r="O18" s="54"/>
      <c r="P18" s="54"/>
      <c r="Q18" s="54"/>
      <c r="R18" s="54"/>
      <c r="S18" s="54"/>
      <c r="T18" s="51"/>
      <c r="U18" s="51"/>
      <c r="V18" s="51"/>
      <c r="W18" s="51"/>
      <c r="X18" s="51"/>
      <c r="Y18" s="51"/>
      <c r="Z18" s="51"/>
    </row>
    <row r="19" spans="1:26">
      <c r="A19" s="28" t="s">
        <v>46</v>
      </c>
      <c r="B19" s="99">
        <v>527</v>
      </c>
      <c r="C19" s="99">
        <v>738</v>
      </c>
      <c r="D19" s="104">
        <v>926</v>
      </c>
      <c r="E19" s="104">
        <v>834</v>
      </c>
      <c r="F19" s="104">
        <v>929</v>
      </c>
      <c r="G19" s="113">
        <f>'Profit Loss'!G4*3.3%</f>
        <v>1041.0523200000002</v>
      </c>
      <c r="H19" s="113">
        <f>'Profit Loss'!H4*3.3%</f>
        <v>1176.3891216000002</v>
      </c>
      <c r="I19" s="113">
        <f>'Profit Loss'!I4*3.3%</f>
        <v>1317.5558161920003</v>
      </c>
      <c r="J19" s="113">
        <f>'Profit Loss'!J4*3.3%</f>
        <v>1462.4869559731203</v>
      </c>
      <c r="K19" s="113">
        <f>'Profit Loss'!K4*3.3%</f>
        <v>1608.7356515704325</v>
      </c>
      <c r="L19" s="53"/>
      <c r="M19" s="53"/>
      <c r="N19" s="53"/>
      <c r="O19" s="54"/>
      <c r="P19" s="54"/>
      <c r="Q19" s="54"/>
      <c r="R19" s="54"/>
      <c r="S19" s="54"/>
      <c r="T19" s="51"/>
      <c r="U19" s="51"/>
      <c r="V19" s="51"/>
      <c r="W19" s="51"/>
      <c r="X19" s="51"/>
      <c r="Y19" s="51"/>
      <c r="Z19" s="51"/>
    </row>
    <row r="20" spans="1:26">
      <c r="A20" s="28" t="s">
        <v>47</v>
      </c>
      <c r="B20" s="99">
        <v>1475</v>
      </c>
      <c r="C20" s="99">
        <v>913</v>
      </c>
      <c r="D20" s="104">
        <v>1111</v>
      </c>
      <c r="E20" s="104">
        <v>1399</v>
      </c>
      <c r="F20" s="104">
        <v>2316</v>
      </c>
      <c r="G20" s="113">
        <f>'Profit Loss'!G4*8.2%</f>
        <v>2586.8572800000002</v>
      </c>
      <c r="H20" s="113">
        <f>'Profit Loss'!H4*8.2%</f>
        <v>2923.1487263999998</v>
      </c>
      <c r="I20" s="113">
        <f>'Profit Loss'!I4*8.2%</f>
        <v>3273.9265735680001</v>
      </c>
      <c r="J20" s="113">
        <f>'Profit Loss'!J4*8.2%</f>
        <v>3634.0584966604802</v>
      </c>
      <c r="K20" s="113">
        <f>'Profit Loss'!K4*8.2%</f>
        <v>3997.4643463265288</v>
      </c>
      <c r="L20" s="53"/>
      <c r="M20" s="53"/>
      <c r="N20" s="53"/>
      <c r="O20" s="54"/>
      <c r="P20" s="54"/>
      <c r="Q20" s="54"/>
      <c r="R20" s="54"/>
      <c r="S20" s="54"/>
      <c r="T20" s="51"/>
      <c r="U20" s="51"/>
      <c r="V20" s="51"/>
      <c r="W20" s="51"/>
      <c r="X20" s="51"/>
      <c r="Y20" s="51"/>
      <c r="Z20" s="51"/>
    </row>
    <row r="21" spans="1:26">
      <c r="A21" s="28" t="s">
        <v>36</v>
      </c>
      <c r="B21" s="99">
        <v>1696</v>
      </c>
      <c r="C21" s="99">
        <v>1873</v>
      </c>
      <c r="D21" s="104">
        <v>1568</v>
      </c>
      <c r="E21" s="104">
        <v>1845</v>
      </c>
      <c r="F21" s="104">
        <v>1874</v>
      </c>
      <c r="G21" s="112">
        <v>1874</v>
      </c>
      <c r="H21" s="112">
        <v>1874</v>
      </c>
      <c r="I21" s="112">
        <v>1874</v>
      </c>
      <c r="J21" s="112">
        <v>1874</v>
      </c>
      <c r="K21" s="112">
        <v>1874</v>
      </c>
      <c r="L21" s="53"/>
      <c r="M21" s="53"/>
      <c r="N21" s="53"/>
      <c r="O21" s="54"/>
      <c r="P21" s="54"/>
      <c r="Q21" s="54"/>
      <c r="R21" s="54"/>
      <c r="S21" s="54"/>
      <c r="T21" s="51"/>
      <c r="U21" s="51"/>
      <c r="V21" s="51"/>
      <c r="W21" s="51"/>
      <c r="X21" s="51"/>
      <c r="Y21" s="51"/>
      <c r="Z21" s="51"/>
    </row>
    <row r="22" spans="1:26">
      <c r="A22" s="28" t="s">
        <v>48</v>
      </c>
      <c r="B22" s="99">
        <v>842</v>
      </c>
      <c r="C22" s="99">
        <v>840</v>
      </c>
      <c r="D22" s="104">
        <v>1094</v>
      </c>
      <c r="E22" s="104">
        <v>723</v>
      </c>
      <c r="F22" s="104">
        <v>930</v>
      </c>
      <c r="G22" s="112">
        <v>930</v>
      </c>
      <c r="H22" s="112">
        <v>930</v>
      </c>
      <c r="I22" s="112">
        <v>930</v>
      </c>
      <c r="J22" s="112">
        <v>930</v>
      </c>
      <c r="K22" s="112">
        <v>930</v>
      </c>
      <c r="L22" s="53"/>
      <c r="M22" s="53"/>
      <c r="N22" s="53"/>
      <c r="O22" s="54"/>
      <c r="P22" s="54"/>
      <c r="Q22" s="54"/>
      <c r="R22" s="54"/>
      <c r="S22" s="54"/>
      <c r="T22" s="51"/>
      <c r="U22" s="51"/>
      <c r="V22" s="51"/>
      <c r="W22" s="51"/>
      <c r="X22" s="51"/>
      <c r="Y22" s="51"/>
      <c r="Z22" s="51"/>
    </row>
    <row r="23" spans="1:26">
      <c r="A23" s="28" t="s">
        <v>49</v>
      </c>
      <c r="B23" s="99">
        <v>5430</v>
      </c>
      <c r="C23" s="99">
        <v>6642</v>
      </c>
      <c r="D23" s="104">
        <v>7801</v>
      </c>
      <c r="E23" s="104">
        <v>8517</v>
      </c>
      <c r="F23" s="104">
        <v>10393</v>
      </c>
      <c r="G23" s="113">
        <f>'Profit Loss'!G4*36.9%</f>
        <v>11640.857760000001</v>
      </c>
      <c r="H23" s="463">
        <f>'Profit Loss'!H4*36.9%</f>
        <v>13154.1692688</v>
      </c>
      <c r="I23" s="463">
        <f>'Profit Loss'!I4*36.9%</f>
        <v>14732.669581056003</v>
      </c>
      <c r="J23" s="463">
        <f>'Profit Loss'!J4*36.9%</f>
        <v>16353.263234972164</v>
      </c>
      <c r="K23" s="113">
        <f>'Profit Loss'!K4*36.9%</f>
        <v>17988.589558469383</v>
      </c>
      <c r="L23" s="53"/>
      <c r="M23" s="53"/>
      <c r="N23" s="53"/>
      <c r="O23" s="54"/>
      <c r="P23" s="54"/>
      <c r="Q23" s="54"/>
      <c r="R23" s="54"/>
      <c r="S23" s="54"/>
      <c r="T23" s="51"/>
      <c r="U23" s="51"/>
      <c r="V23" s="51"/>
      <c r="W23" s="51"/>
      <c r="X23" s="51"/>
      <c r="Y23" s="51"/>
      <c r="Z23" s="51"/>
    </row>
    <row r="24" spans="1:26">
      <c r="A24" s="28" t="s">
        <v>50</v>
      </c>
      <c r="B24" s="99">
        <v>649</v>
      </c>
      <c r="C24" s="99">
        <v>792</v>
      </c>
      <c r="D24" s="104">
        <v>274</v>
      </c>
      <c r="E24" s="104">
        <v>1337</v>
      </c>
      <c r="F24" s="104">
        <v>750</v>
      </c>
      <c r="G24" s="112">
        <v>750</v>
      </c>
      <c r="H24" s="112">
        <v>750</v>
      </c>
      <c r="I24" s="112">
        <v>750</v>
      </c>
      <c r="J24" s="112">
        <v>750</v>
      </c>
      <c r="K24" s="112">
        <v>750</v>
      </c>
      <c r="L24" s="53"/>
      <c r="M24" s="53"/>
      <c r="N24" s="53"/>
      <c r="O24" s="54"/>
      <c r="P24" s="54"/>
      <c r="Q24" s="54"/>
      <c r="R24" s="54"/>
      <c r="S24" s="54"/>
      <c r="T24" s="51"/>
      <c r="U24" s="51"/>
      <c r="V24" s="51"/>
      <c r="W24" s="51"/>
      <c r="X24" s="51"/>
      <c r="Y24" s="51"/>
      <c r="Z24" s="51"/>
    </row>
    <row r="25" spans="1:26">
      <c r="A25" s="28" t="s">
        <v>51</v>
      </c>
      <c r="B25" s="99">
        <v>1228</v>
      </c>
      <c r="C25" s="99">
        <v>1364</v>
      </c>
      <c r="D25" s="104">
        <v>1397</v>
      </c>
      <c r="E25" s="104">
        <v>1609</v>
      </c>
      <c r="F25" s="104">
        <v>2028</v>
      </c>
      <c r="G25" s="113">
        <f>'Profit Loss'!G4*7.2%</f>
        <v>2271.3868800000005</v>
      </c>
      <c r="H25" s="113">
        <f>'Profit Loss'!H4*7.2%</f>
        <v>2566.6671744000005</v>
      </c>
      <c r="I25" s="113">
        <f>'Profit Loss'!I4*7.2%</f>
        <v>2874.667235328001</v>
      </c>
      <c r="J25" s="113">
        <f>'Profit Loss'!J4*7.2%</f>
        <v>3190.8806312140809</v>
      </c>
      <c r="K25" s="113">
        <f>'Profit Loss'!K4*7.2%</f>
        <v>3509.9686943354895</v>
      </c>
      <c r="L25" s="53"/>
      <c r="M25" s="53"/>
      <c r="N25" s="53"/>
      <c r="O25" s="54"/>
      <c r="P25" s="54"/>
      <c r="Q25" s="54"/>
      <c r="R25" s="54"/>
      <c r="S25" s="54"/>
      <c r="T25" s="51"/>
      <c r="U25" s="51"/>
      <c r="V25" s="51"/>
      <c r="W25" s="51"/>
      <c r="X25" s="51"/>
      <c r="Y25" s="51"/>
      <c r="Z25" s="51"/>
    </row>
    <row r="26" spans="1:26">
      <c r="A26" s="28" t="s">
        <v>52</v>
      </c>
      <c r="B26" s="99">
        <v>11847</v>
      </c>
      <c r="C26" s="99">
        <v>13162</v>
      </c>
      <c r="D26" s="104">
        <v>14171</v>
      </c>
      <c r="E26" s="104">
        <v>16264</v>
      </c>
      <c r="F26" s="104">
        <v>19220</v>
      </c>
      <c r="G26" s="112">
        <f>SUM(G19:G25)</f>
        <v>21094.154240000003</v>
      </c>
      <c r="H26" s="112">
        <f>SUM(H19:H25)</f>
        <v>23374.374291200002</v>
      </c>
      <c r="I26" s="112">
        <f>SUM(I19:I25)</f>
        <v>25752.819206144006</v>
      </c>
      <c r="J26" s="112">
        <f>SUM(J19:J25)</f>
        <v>28194.689318819845</v>
      </c>
      <c r="K26" s="112">
        <f>SUM(K19:K25)</f>
        <v>30658.758250701834</v>
      </c>
      <c r="L26" s="53"/>
      <c r="M26" s="53"/>
      <c r="N26" s="53"/>
      <c r="O26" s="54"/>
      <c r="P26" s="54"/>
      <c r="Q26" s="54"/>
      <c r="R26" s="54"/>
      <c r="S26" s="54"/>
      <c r="T26" s="51"/>
      <c r="U26" s="51"/>
      <c r="V26" s="51"/>
      <c r="W26" s="51"/>
      <c r="X26" s="51"/>
      <c r="Y26" s="51"/>
      <c r="Z26" s="51"/>
    </row>
    <row r="27" spans="1:26">
      <c r="A27" s="28" t="s">
        <v>53</v>
      </c>
      <c r="B27" s="99">
        <v>12023</v>
      </c>
      <c r="C27" s="135">
        <v>13109</v>
      </c>
      <c r="D27" s="135">
        <v>13749</v>
      </c>
      <c r="E27" s="135">
        <v>14344</v>
      </c>
      <c r="F27" s="135">
        <v>17476</v>
      </c>
      <c r="G27" s="136">
        <v>16500</v>
      </c>
      <c r="H27" s="136">
        <v>15500</v>
      </c>
      <c r="I27" s="136">
        <v>14500</v>
      </c>
      <c r="J27" s="136">
        <v>13500</v>
      </c>
      <c r="K27" s="136">
        <v>12500</v>
      </c>
      <c r="L27" s="53"/>
      <c r="M27" s="53"/>
      <c r="N27" s="53"/>
      <c r="O27" s="54"/>
      <c r="P27" s="54"/>
      <c r="Q27" s="54"/>
      <c r="R27" s="54"/>
      <c r="S27" s="54"/>
      <c r="T27" s="51"/>
      <c r="U27" s="51"/>
      <c r="V27" s="51"/>
      <c r="W27" s="51"/>
      <c r="X27" s="51"/>
      <c r="Y27" s="51"/>
      <c r="Z27" s="51"/>
    </row>
    <row r="28" spans="1:26">
      <c r="A28" s="28" t="s">
        <v>40</v>
      </c>
      <c r="B28" s="99">
        <v>86</v>
      </c>
      <c r="C28" s="99">
        <v>395</v>
      </c>
      <c r="D28" s="104">
        <v>393</v>
      </c>
      <c r="E28" s="104">
        <v>369</v>
      </c>
      <c r="F28" s="104">
        <v>317</v>
      </c>
      <c r="G28" s="112">
        <v>317</v>
      </c>
      <c r="H28" s="112">
        <v>317</v>
      </c>
      <c r="I28" s="112">
        <v>317</v>
      </c>
      <c r="J28" s="112">
        <v>317</v>
      </c>
      <c r="K28" s="112">
        <v>317</v>
      </c>
      <c r="L28" s="53"/>
      <c r="M28" s="53"/>
      <c r="N28" s="53"/>
      <c r="O28" s="54"/>
      <c r="P28" s="54"/>
      <c r="Q28" s="54"/>
      <c r="R28" s="54"/>
      <c r="S28" s="54"/>
      <c r="T28" s="51"/>
      <c r="U28" s="51"/>
      <c r="V28" s="51"/>
      <c r="W28" s="51"/>
      <c r="X28" s="51"/>
      <c r="Y28" s="51"/>
      <c r="Z28" s="51"/>
    </row>
    <row r="29" spans="1:26">
      <c r="A29" s="28" t="s">
        <v>54</v>
      </c>
      <c r="B29" s="99">
        <v>3111</v>
      </c>
      <c r="C29" s="99">
        <v>3591</v>
      </c>
      <c r="D29" s="104">
        <v>4034</v>
      </c>
      <c r="E29" s="104">
        <v>4474</v>
      </c>
      <c r="F29" s="104">
        <v>4553</v>
      </c>
      <c r="G29" s="113">
        <f>Table2[[#This Row],[2024]]*(1+Assumptions!B4)</f>
        <v>5099.3600000000006</v>
      </c>
      <c r="H29" s="113">
        <f>Table2[[#This Row],[2025E]]*(1+Assumptions!B5)</f>
        <v>5762.2768000000005</v>
      </c>
      <c r="I29" s="113">
        <f>Table2[[#This Row],[2026E]]*(1+Assumptions!B6)</f>
        <v>6453.7500160000009</v>
      </c>
      <c r="J29" s="114">
        <f>Table2[[#This Row],[2027E]]*(1+Assumptions!B7)</f>
        <v>7163.6625177600017</v>
      </c>
      <c r="K29" s="114">
        <f>Table2[[#This Row],[2028E]]*(1+Assumptions!B8)</f>
        <v>7880.0287695360021</v>
      </c>
      <c r="L29" s="53"/>
      <c r="M29" s="53"/>
      <c r="N29" s="53"/>
      <c r="O29" s="54"/>
      <c r="P29" s="54"/>
      <c r="Q29" s="54"/>
      <c r="R29" s="54"/>
      <c r="S29" s="54"/>
      <c r="T29" s="51"/>
      <c r="U29" s="51"/>
      <c r="V29" s="51"/>
      <c r="W29" s="51"/>
      <c r="X29" s="51"/>
      <c r="Y29" s="51"/>
      <c r="Z29" s="51"/>
    </row>
    <row r="30" spans="1:26">
      <c r="A30" s="19" t="s">
        <v>55</v>
      </c>
      <c r="B30" s="22">
        <v>27067</v>
      </c>
      <c r="C30" s="22">
        <v>30257</v>
      </c>
      <c r="D30" s="116">
        <v>32347</v>
      </c>
      <c r="E30" s="116">
        <v>35451</v>
      </c>
      <c r="F30" s="116">
        <v>41566</v>
      </c>
      <c r="G30" s="117">
        <f>G26+G27+G28+G29</f>
        <v>43010.514240000004</v>
      </c>
      <c r="H30" s="117">
        <f>H26+H27+H28+H29</f>
        <v>44953.651091200001</v>
      </c>
      <c r="I30" s="117">
        <f>I26+I27+I28+I29</f>
        <v>47023.569222144004</v>
      </c>
      <c r="J30" s="117">
        <f>J26+J27+J28+J29</f>
        <v>49175.351836579845</v>
      </c>
      <c r="K30" s="117">
        <f>K26+K27+K28+K29</f>
        <v>51355.78702023784</v>
      </c>
      <c r="L30" s="53"/>
      <c r="M30" s="53"/>
      <c r="N30" s="53"/>
      <c r="O30" s="54"/>
      <c r="P30" s="54"/>
      <c r="Q30" s="54"/>
      <c r="R30" s="54"/>
      <c r="S30" s="54"/>
      <c r="T30" s="51"/>
      <c r="U30" s="51"/>
      <c r="V30" s="51"/>
      <c r="W30" s="51"/>
      <c r="X30" s="51"/>
      <c r="Y30" s="51"/>
      <c r="Z30" s="51"/>
    </row>
    <row r="31" spans="1:26">
      <c r="A31" s="28" t="s">
        <v>56</v>
      </c>
      <c r="B31" s="99" t="s">
        <v>70</v>
      </c>
      <c r="C31" s="99" t="s">
        <v>70</v>
      </c>
      <c r="D31" s="102" t="s">
        <v>70</v>
      </c>
      <c r="E31" s="102" t="s">
        <v>70</v>
      </c>
      <c r="F31" s="102" t="s">
        <v>70</v>
      </c>
      <c r="G31" s="113"/>
      <c r="H31" s="115"/>
      <c r="I31" s="115"/>
      <c r="J31" s="115"/>
      <c r="K31" s="115"/>
      <c r="L31" s="53"/>
      <c r="M31" s="53"/>
      <c r="N31" s="53"/>
      <c r="O31" s="54"/>
      <c r="P31" s="54"/>
      <c r="Q31" s="54"/>
      <c r="R31" s="54"/>
      <c r="S31" s="54"/>
      <c r="T31" s="51"/>
      <c r="U31" s="51"/>
      <c r="V31" s="51"/>
      <c r="W31" s="51"/>
      <c r="X31" s="51"/>
      <c r="Y31" s="51"/>
      <c r="Z31" s="51"/>
    </row>
    <row r="32" spans="1:26">
      <c r="A32" s="28" t="s">
        <v>57</v>
      </c>
      <c r="B32" s="99">
        <v>29</v>
      </c>
      <c r="C32" s="99">
        <v>29</v>
      </c>
      <c r="D32" s="104">
        <v>21</v>
      </c>
      <c r="E32" s="104">
        <v>22</v>
      </c>
      <c r="F32" s="104">
        <v>0</v>
      </c>
      <c r="G32" s="113">
        <v>0</v>
      </c>
      <c r="H32" s="115">
        <v>0</v>
      </c>
      <c r="I32" s="115">
        <v>0</v>
      </c>
      <c r="J32" s="115">
        <v>0</v>
      </c>
      <c r="K32" s="115">
        <v>0</v>
      </c>
      <c r="L32" s="53"/>
      <c r="M32" s="53"/>
      <c r="N32" s="53"/>
      <c r="O32" s="54"/>
      <c r="P32" s="54"/>
      <c r="Q32" s="54"/>
      <c r="R32" s="54"/>
      <c r="S32" s="54"/>
      <c r="T32" s="51"/>
      <c r="U32" s="51"/>
      <c r="V32" s="51"/>
      <c r="W32" s="51"/>
      <c r="X32" s="51"/>
      <c r="Y32" s="51"/>
      <c r="Z32" s="51"/>
    </row>
    <row r="33" spans="1:26">
      <c r="A33" s="28" t="s">
        <v>58</v>
      </c>
      <c r="B33" s="99"/>
      <c r="C33" s="99"/>
      <c r="D33" s="102" t="s">
        <v>26</v>
      </c>
      <c r="E33" s="102" t="s">
        <v>26</v>
      </c>
      <c r="F33" s="102" t="s">
        <v>26</v>
      </c>
      <c r="G33" s="113"/>
      <c r="H33" s="115"/>
      <c r="I33" s="115"/>
      <c r="J33" s="115"/>
      <c r="K33" s="115"/>
      <c r="L33" s="53"/>
      <c r="M33" s="53"/>
      <c r="N33" s="53"/>
      <c r="O33" s="54"/>
      <c r="P33" s="54"/>
      <c r="Q33" s="54"/>
      <c r="R33" s="54"/>
      <c r="S33" s="54"/>
      <c r="T33" s="51"/>
      <c r="U33" s="51"/>
      <c r="V33" s="51"/>
      <c r="W33" s="51"/>
      <c r="X33" s="51"/>
      <c r="Y33" s="51"/>
      <c r="Z33" s="51"/>
    </row>
    <row r="34" spans="1:26">
      <c r="A34" s="28" t="s">
        <v>59</v>
      </c>
      <c r="B34" s="99">
        <v>4982</v>
      </c>
      <c r="C34" s="99">
        <v>5061</v>
      </c>
      <c r="D34" s="104">
        <v>5298</v>
      </c>
      <c r="E34" s="104">
        <v>5893</v>
      </c>
      <c r="F34" s="104">
        <v>6442</v>
      </c>
      <c r="G34" s="112">
        <v>6442</v>
      </c>
      <c r="H34" s="112">
        <v>6442</v>
      </c>
      <c r="I34" s="112">
        <v>6442</v>
      </c>
      <c r="J34" s="112">
        <v>6442</v>
      </c>
      <c r="K34" s="112">
        <v>6442</v>
      </c>
      <c r="L34" s="53"/>
      <c r="M34" s="53"/>
      <c r="N34" s="53"/>
      <c r="O34" s="54"/>
      <c r="P34" s="54"/>
      <c r="Q34" s="54"/>
      <c r="R34" s="54"/>
      <c r="S34" s="54"/>
      <c r="T34" s="51"/>
      <c r="U34" s="51"/>
      <c r="V34" s="51"/>
      <c r="W34" s="51"/>
      <c r="X34" s="51"/>
      <c r="Y34" s="51"/>
      <c r="Z34" s="51"/>
    </row>
    <row r="35" spans="1:26">
      <c r="A35" s="28" t="s">
        <v>60</v>
      </c>
      <c r="B35" s="99">
        <v>-36658</v>
      </c>
      <c r="C35" s="99">
        <v>-42588</v>
      </c>
      <c r="D35" s="104">
        <v>-51354</v>
      </c>
      <c r="E35" s="104">
        <v>-60429</v>
      </c>
      <c r="F35" s="104">
        <v>-71431</v>
      </c>
      <c r="G35" s="113">
        <f>Table2[[#This Row],[2024]]+('Cash Flow'!G41)</f>
        <v>-78083.952596000003</v>
      </c>
      <c r="H35" s="113">
        <f>Table2[[#This Row],[2024]]+('Cash Flow'!H41)</f>
        <v>-77417.866671776006</v>
      </c>
      <c r="I35" s="113">
        <f>Table2[[#This Row],[2024]]+('Cash Flow'!I41)</f>
        <v>-76755.904749082882</v>
      </c>
      <c r="J35" s="113">
        <f>Table2[[#This Row],[2024]]+('Cash Flow'!J41)</f>
        <v>-76066.634615949675</v>
      </c>
      <c r="K35" s="113">
        <f>Table2[[#This Row],[2024]]+('Cash Flow'!K41)</f>
        <v>-75360.363436880463</v>
      </c>
      <c r="L35" s="53"/>
      <c r="M35" s="53"/>
      <c r="N35" s="53"/>
      <c r="O35" s="54"/>
      <c r="P35" s="54"/>
      <c r="Q35" s="54"/>
      <c r="R35" s="54"/>
      <c r="S35" s="54"/>
      <c r="T35" s="51"/>
      <c r="U35" s="51"/>
      <c r="V35" s="51"/>
      <c r="W35" s="51"/>
      <c r="X35" s="51"/>
      <c r="Y35" s="51"/>
      <c r="Z35" s="51"/>
    </row>
    <row r="36" spans="1:26">
      <c r="A36" s="28" t="s">
        <v>61</v>
      </c>
      <c r="B36" s="99">
        <v>38747</v>
      </c>
      <c r="C36" s="99">
        <v>45648</v>
      </c>
      <c r="D36" s="104">
        <v>53607</v>
      </c>
      <c r="E36" s="104">
        <v>62564</v>
      </c>
      <c r="F36" s="104">
        <v>72907</v>
      </c>
      <c r="G36" s="113">
        <f>Table2[[#This Row],[2024]]+'Profit Loss'!G20+'Cash Flow'!G42</f>
        <v>83131.777276000008</v>
      </c>
      <c r="H36" s="113">
        <f>Table2[[#This Row],[2024]]+'Profit Loss'!H20+'Cash Flow'!H42</f>
        <v>84685.977765856005</v>
      </c>
      <c r="I36" s="113">
        <f>Table2[[#This Row],[2024]]+'Profit Loss'!I20+'Cash Flow'!I42</f>
        <v>86230.555585473281</v>
      </c>
      <c r="J36" s="113">
        <f>Table2[[#This Row],[2024]]+'Profit Loss'!J20+'Cash Flow'!J42</f>
        <v>87838.852562784115</v>
      </c>
      <c r="K36" s="113">
        <f>Table2[[#This Row],[2024]]+'Profit Loss'!K20+'Cash Flow'!K42</f>
        <v>89486.818647278938</v>
      </c>
      <c r="L36" s="53"/>
      <c r="M36" s="53"/>
      <c r="N36" s="53"/>
      <c r="O36" s="54"/>
      <c r="P36" s="54"/>
      <c r="Q36" s="54"/>
      <c r="R36" s="54"/>
      <c r="S36" s="54"/>
      <c r="T36" s="51"/>
      <c r="U36" s="51"/>
      <c r="V36" s="51"/>
      <c r="W36" s="51"/>
      <c r="X36" s="51"/>
      <c r="Y36" s="51"/>
      <c r="Z36" s="51"/>
    </row>
    <row r="37" spans="1:26">
      <c r="A37" s="28" t="s">
        <v>62</v>
      </c>
      <c r="B37" s="99">
        <v>-680</v>
      </c>
      <c r="C37" s="99">
        <v>-809</v>
      </c>
      <c r="D37" s="104">
        <v>-1253</v>
      </c>
      <c r="E37" s="104">
        <v>-1099</v>
      </c>
      <c r="F37" s="104">
        <v>-1433</v>
      </c>
      <c r="G37" s="112">
        <v>-1433</v>
      </c>
      <c r="H37" s="112">
        <v>-1433</v>
      </c>
      <c r="I37" s="112">
        <v>-1433</v>
      </c>
      <c r="J37" s="112">
        <v>-1433</v>
      </c>
      <c r="K37" s="112">
        <v>-1433</v>
      </c>
      <c r="L37" s="53"/>
      <c r="M37" s="53"/>
      <c r="N37" s="53"/>
      <c r="O37" s="54"/>
      <c r="P37" s="54"/>
      <c r="Q37" s="54"/>
      <c r="R37" s="54"/>
      <c r="S37" s="54"/>
      <c r="T37" s="51"/>
      <c r="U37" s="51"/>
      <c r="V37" s="51"/>
      <c r="W37" s="51"/>
      <c r="X37" s="51"/>
      <c r="Y37" s="51"/>
      <c r="Z37" s="51"/>
    </row>
    <row r="38" spans="1:26">
      <c r="A38" s="28" t="s">
        <v>63</v>
      </c>
      <c r="B38" s="99">
        <v>6391</v>
      </c>
      <c r="C38" s="99">
        <v>7312</v>
      </c>
      <c r="D38" s="104">
        <v>6298</v>
      </c>
      <c r="E38" s="104">
        <v>6929</v>
      </c>
      <c r="F38" s="104">
        <v>6485</v>
      </c>
      <c r="G38" s="463">
        <f>G34+G36+G35+G37</f>
        <v>10056.824680000005</v>
      </c>
      <c r="H38" s="463">
        <f>H34+H36+H35+H37</f>
        <v>12277.111094079999</v>
      </c>
      <c r="I38" s="463">
        <f>I34+I36+I35+I37</f>
        <v>14483.650836390399</v>
      </c>
      <c r="J38" s="463">
        <f>J34+J36+J35+J37</f>
        <v>16781.21794683444</v>
      </c>
      <c r="K38" s="463">
        <f>K34+K36+K35+K37</f>
        <v>19135.455210398475</v>
      </c>
      <c r="L38" s="53"/>
      <c r="M38" s="53"/>
      <c r="N38" s="53"/>
      <c r="O38" s="54"/>
      <c r="P38" s="54"/>
      <c r="Q38" s="54"/>
      <c r="R38" s="54"/>
      <c r="S38" s="54"/>
      <c r="T38" s="51"/>
      <c r="U38" s="51"/>
      <c r="V38" s="51"/>
      <c r="W38" s="51"/>
      <c r="X38" s="51"/>
      <c r="Y38" s="51"/>
      <c r="Z38" s="51"/>
    </row>
    <row r="39" spans="1:26">
      <c r="A39" s="28" t="s">
        <v>64</v>
      </c>
      <c r="B39" s="99">
        <v>97</v>
      </c>
      <c r="C39" s="99">
        <v>71</v>
      </c>
      <c r="D39" s="104">
        <v>58</v>
      </c>
      <c r="E39" s="104">
        <v>46</v>
      </c>
      <c r="F39" s="104">
        <v>30</v>
      </c>
      <c r="G39" s="112">
        <v>30</v>
      </c>
      <c r="H39" s="112">
        <v>30</v>
      </c>
      <c r="I39" s="112">
        <v>30</v>
      </c>
      <c r="J39" s="112">
        <v>30</v>
      </c>
      <c r="K39" s="112">
        <v>30</v>
      </c>
      <c r="L39" s="53"/>
      <c r="M39" s="53"/>
      <c r="N39" s="53"/>
      <c r="O39" s="54"/>
      <c r="P39" s="54"/>
      <c r="Q39" s="54"/>
      <c r="R39" s="54"/>
      <c r="S39" s="54"/>
      <c r="T39" s="51"/>
      <c r="U39" s="51"/>
      <c r="V39" s="51"/>
      <c r="W39" s="51"/>
      <c r="X39" s="51"/>
      <c r="Y39" s="51"/>
      <c r="Z39" s="51"/>
    </row>
    <row r="40" spans="1:26">
      <c r="A40" s="19" t="s">
        <v>65</v>
      </c>
      <c r="B40" s="117">
        <f>B38+B39</f>
        <v>6488</v>
      </c>
      <c r="C40" s="117">
        <f t="shared" ref="C40:K40" si="2">C38+C39</f>
        <v>7383</v>
      </c>
      <c r="D40" s="117">
        <f t="shared" si="2"/>
        <v>6356</v>
      </c>
      <c r="E40" s="117">
        <f t="shared" si="2"/>
        <v>6975</v>
      </c>
      <c r="F40" s="117">
        <f t="shared" si="2"/>
        <v>6515</v>
      </c>
      <c r="G40" s="117">
        <f t="shared" si="2"/>
        <v>10086.824680000005</v>
      </c>
      <c r="H40" s="117">
        <f t="shared" si="2"/>
        <v>12307.111094079999</v>
      </c>
      <c r="I40" s="117">
        <f t="shared" si="2"/>
        <v>14513.650836390399</v>
      </c>
      <c r="J40" s="117">
        <f t="shared" si="2"/>
        <v>16811.21794683444</v>
      </c>
      <c r="K40" s="117">
        <f t="shared" si="2"/>
        <v>19165.455210398475</v>
      </c>
      <c r="L40" s="53"/>
      <c r="M40" s="53"/>
      <c r="N40" s="53"/>
      <c r="O40" s="54"/>
      <c r="P40" s="54"/>
      <c r="Q40" s="54"/>
      <c r="R40" s="54"/>
      <c r="S40" s="54"/>
      <c r="T40" s="51"/>
      <c r="U40" s="51"/>
      <c r="V40" s="51"/>
      <c r="W40" s="51"/>
      <c r="X40" s="51"/>
      <c r="Y40" s="51"/>
      <c r="Z40" s="51"/>
    </row>
    <row r="41" spans="1:26">
      <c r="A41" s="28" t="s">
        <v>66</v>
      </c>
      <c r="B41" s="99">
        <v>33584</v>
      </c>
      <c r="C41" s="99">
        <v>37669</v>
      </c>
      <c r="D41" s="104">
        <v>38724</v>
      </c>
      <c r="E41" s="104">
        <v>42448</v>
      </c>
      <c r="F41" s="104">
        <v>48081</v>
      </c>
      <c r="G41" s="113">
        <f>G30+G40</f>
        <v>53097.338920000009</v>
      </c>
      <c r="H41" s="113">
        <f>H30+H40</f>
        <v>57260.76218528</v>
      </c>
      <c r="I41" s="113">
        <f>I30+I40</f>
        <v>61537.220058534404</v>
      </c>
      <c r="J41" s="113">
        <f>J30+J40</f>
        <v>65986.569783414277</v>
      </c>
      <c r="K41" s="113">
        <f>K30+K40</f>
        <v>70521.242230636315</v>
      </c>
      <c r="L41" s="53"/>
      <c r="M41" s="53"/>
      <c r="N41" s="53"/>
      <c r="O41" s="54"/>
      <c r="P41" s="54"/>
      <c r="Q41" s="54"/>
      <c r="R41" s="54"/>
      <c r="S41" s="54"/>
      <c r="T41" s="51"/>
      <c r="U41" s="51"/>
      <c r="V41" s="51"/>
      <c r="W41" s="51"/>
      <c r="X41" s="51"/>
      <c r="Y41" s="51"/>
      <c r="Z41" s="51"/>
    </row>
    <row r="42" spans="1:26">
      <c r="A42" s="28" t="s">
        <v>67</v>
      </c>
      <c r="B42" s="99"/>
      <c r="C42" s="99"/>
      <c r="D42" s="102" t="s">
        <v>26</v>
      </c>
      <c r="E42" s="102" t="s">
        <v>26</v>
      </c>
      <c r="F42" s="102" t="s">
        <v>26</v>
      </c>
      <c r="G42" s="113"/>
      <c r="H42" s="115"/>
      <c r="I42" s="115"/>
      <c r="J42" s="115"/>
      <c r="K42" s="115"/>
      <c r="L42" s="53"/>
      <c r="M42" s="53"/>
      <c r="N42" s="53"/>
      <c r="O42" s="54"/>
      <c r="P42" s="54"/>
      <c r="Q42" s="54"/>
      <c r="R42" s="54"/>
      <c r="S42" s="54"/>
      <c r="T42" s="51"/>
      <c r="U42" s="51"/>
      <c r="V42" s="51"/>
      <c r="W42" s="51"/>
      <c r="X42" s="51"/>
      <c r="Y42" s="51"/>
      <c r="Z42" s="51"/>
    </row>
    <row r="43" spans="1:26">
      <c r="A43" s="28" t="s">
        <v>58</v>
      </c>
      <c r="B43" s="99"/>
      <c r="C43" s="99"/>
      <c r="D43" s="102" t="s">
        <v>26</v>
      </c>
      <c r="E43" s="102" t="s">
        <v>26</v>
      </c>
      <c r="F43" s="102" t="s">
        <v>26</v>
      </c>
      <c r="G43" s="113"/>
      <c r="H43" s="115"/>
      <c r="I43" s="115"/>
      <c r="J43" s="115"/>
      <c r="K43" s="115"/>
      <c r="L43" s="53"/>
      <c r="M43" s="53"/>
      <c r="N43" s="53"/>
      <c r="O43" s="54"/>
      <c r="P43" s="54"/>
      <c r="Q43" s="54"/>
      <c r="R43" s="54"/>
      <c r="S43" s="54"/>
      <c r="T43" s="51"/>
      <c r="U43" s="51"/>
      <c r="V43" s="51"/>
      <c r="W43" s="51"/>
      <c r="X43" s="51"/>
      <c r="Y43" s="51"/>
      <c r="Z43" s="51"/>
    </row>
    <row r="44" spans="1:26">
      <c r="A44" s="28" t="s">
        <v>68</v>
      </c>
      <c r="B44" s="99">
        <v>0</v>
      </c>
      <c r="C44" s="99">
        <v>0</v>
      </c>
      <c r="D44" s="104">
        <v>0</v>
      </c>
      <c r="E44" s="104">
        <v>0</v>
      </c>
      <c r="F44" s="104">
        <v>0</v>
      </c>
      <c r="G44" s="113">
        <v>0</v>
      </c>
      <c r="H44" s="115">
        <v>0</v>
      </c>
      <c r="I44" s="115">
        <v>0</v>
      </c>
      <c r="J44" s="115">
        <v>0</v>
      </c>
      <c r="K44" s="115">
        <v>0</v>
      </c>
      <c r="L44" s="53"/>
      <c r="M44" s="53"/>
      <c r="N44" s="53"/>
      <c r="O44" s="54"/>
      <c r="P44" s="54"/>
      <c r="Q44" s="54"/>
      <c r="R44" s="54"/>
      <c r="S44" s="54"/>
      <c r="T44" s="51"/>
      <c r="U44" s="51"/>
      <c r="V44" s="51"/>
      <c r="W44" s="51"/>
      <c r="X44" s="51"/>
      <c r="Y44" s="51"/>
      <c r="Z44" s="51"/>
    </row>
    <row r="45" spans="1:26">
      <c r="A45" s="28" t="s">
        <v>69</v>
      </c>
      <c r="B45" s="99"/>
      <c r="C45" s="99"/>
      <c r="D45" s="102" t="s">
        <v>26</v>
      </c>
      <c r="E45" s="102" t="s">
        <v>26</v>
      </c>
      <c r="F45" s="102" t="s">
        <v>26</v>
      </c>
      <c r="G45" s="113"/>
      <c r="H45" s="115"/>
      <c r="I45" s="115"/>
      <c r="J45" s="115"/>
      <c r="K45" s="115"/>
      <c r="L45" s="53"/>
      <c r="M45" s="53"/>
      <c r="N45" s="53"/>
      <c r="O45" s="54"/>
      <c r="P45" s="54"/>
      <c r="Q45" s="54"/>
      <c r="R45" s="54"/>
      <c r="S45" s="54"/>
      <c r="T45" s="51"/>
      <c r="U45" s="51"/>
      <c r="V45" s="51"/>
      <c r="W45" s="51"/>
      <c r="X45" s="51"/>
      <c r="Y45" s="51"/>
      <c r="Z45" s="51"/>
    </row>
    <row r="46" spans="1:26">
      <c r="A46" s="28" t="s">
        <v>58</v>
      </c>
      <c r="B46" s="99"/>
      <c r="C46" s="99"/>
      <c r="D46" s="102" t="s">
        <v>26</v>
      </c>
      <c r="E46" s="102" t="s">
        <v>26</v>
      </c>
      <c r="F46" s="102" t="s">
        <v>26</v>
      </c>
      <c r="G46" s="113"/>
      <c r="H46" s="115"/>
      <c r="I46" s="115"/>
      <c r="J46" s="115"/>
      <c r="K46" s="115"/>
      <c r="L46" s="53"/>
      <c r="M46" s="53"/>
      <c r="N46" s="53"/>
      <c r="O46" s="54"/>
      <c r="P46" s="54"/>
      <c r="Q46" s="54"/>
      <c r="R46" s="54"/>
      <c r="S46" s="54"/>
      <c r="T46" s="51"/>
      <c r="U46" s="51"/>
      <c r="V46" s="51"/>
      <c r="W46" s="51"/>
      <c r="X46" s="51"/>
      <c r="Y46" s="51"/>
      <c r="Z46" s="51"/>
    </row>
    <row r="47" spans="1:26">
      <c r="A47" s="28" t="s">
        <v>762</v>
      </c>
      <c r="B47" s="462">
        <f>'Profit Loss'!B11*(1-0.25)</f>
        <v>6060.75</v>
      </c>
      <c r="C47" s="462">
        <f>'Profit Loss'!C11*(1-0.25)</f>
        <v>7561.5</v>
      </c>
      <c r="D47" s="99">
        <f>'Profit Loss'!D11*(1-0.25)</f>
        <v>9198</v>
      </c>
      <c r="E47" s="99">
        <f>'Profit Loss'!E11*(1-0.25)</f>
        <v>10506</v>
      </c>
      <c r="F47" s="462">
        <f>'Profit Loss'!F11*(1-0.25)</f>
        <v>11686.5</v>
      </c>
      <c r="G47" s="252">
        <f>'Profit Loss'!G11*(1-0.25)</f>
        <v>13013.154000000002</v>
      </c>
      <c r="H47" s="252">
        <f>'Profit Loss'!H11*(1-0.25)</f>
        <v>14972.225183999999</v>
      </c>
      <c r="I47" s="252">
        <f>'Profit Loss'!I11*(1-0.25)</f>
        <v>16918.614457920001</v>
      </c>
      <c r="J47" s="252">
        <f>'Profit Loss'!J11*(1-0.25)</f>
        <v>18945.853747833604</v>
      </c>
      <c r="K47" s="252">
        <f>'Profit Loss'!K11*(1-0.25)</f>
        <v>21023.249992113604</v>
      </c>
      <c r="L47" s="53"/>
      <c r="M47" s="53"/>
      <c r="N47" s="53"/>
      <c r="O47" s="54"/>
      <c r="P47" s="54"/>
      <c r="Q47" s="54"/>
      <c r="R47" s="54"/>
      <c r="S47" s="54"/>
      <c r="T47" s="51"/>
      <c r="U47" s="51"/>
      <c r="V47" s="51"/>
      <c r="W47" s="51"/>
      <c r="X47" s="51"/>
      <c r="Y47" s="51"/>
      <c r="Z47" s="51"/>
    </row>
    <row r="48" spans="1:26">
      <c r="A48" s="28" t="s">
        <v>1456</v>
      </c>
      <c r="B48" s="135">
        <f t="shared" ref="B48:K48" si="3">B50+B12+B15+B16</f>
        <v>16286</v>
      </c>
      <c r="C48" s="135">
        <f t="shared" si="3"/>
        <v>16359</v>
      </c>
      <c r="D48" s="135">
        <f t="shared" si="3"/>
        <v>15880</v>
      </c>
      <c r="E48" s="135">
        <f t="shared" si="3"/>
        <v>17169</v>
      </c>
      <c r="F48" s="135">
        <f t="shared" si="3"/>
        <v>18054</v>
      </c>
      <c r="G48" s="136">
        <f t="shared" si="3"/>
        <v>11271.115488000003</v>
      </c>
      <c r="H48" s="136">
        <f t="shared" si="3"/>
        <v>10815.10025344</v>
      </c>
      <c r="I48" s="136">
        <f t="shared" si="3"/>
        <v>9608.6282386127932</v>
      </c>
      <c r="J48" s="136">
        <f t="shared" si="3"/>
        <v>8294.5461516938012</v>
      </c>
      <c r="K48" s="136">
        <f t="shared" si="3"/>
        <v>6890.5133553052428</v>
      </c>
      <c r="L48" s="53"/>
      <c r="M48" s="53"/>
      <c r="N48" s="53"/>
      <c r="O48" s="54"/>
      <c r="P48" s="54"/>
      <c r="Q48" s="54"/>
      <c r="R48" s="54"/>
      <c r="S48" s="54"/>
      <c r="T48" s="51"/>
      <c r="U48" s="51"/>
      <c r="V48" s="51"/>
      <c r="W48" s="51"/>
      <c r="X48" s="51"/>
      <c r="Y48" s="51"/>
      <c r="Z48" s="51"/>
    </row>
    <row r="49" spans="1:26">
      <c r="A49" s="28" t="s">
        <v>1454</v>
      </c>
      <c r="B49" s="134">
        <f>B47/B48</f>
        <v>0.37214478693356257</v>
      </c>
      <c r="C49" s="134">
        <f>C47/C48</f>
        <v>0.46222262974509443</v>
      </c>
      <c r="D49" s="134">
        <f>D47/D48</f>
        <v>0.57921914357682625</v>
      </c>
      <c r="E49" s="134">
        <f>E47/E48</f>
        <v>0.61191682683907045</v>
      </c>
      <c r="F49" s="134">
        <f>F47/F48</f>
        <v>0.6473080757726819</v>
      </c>
      <c r="G49" s="131">
        <f>MIN(G47/G48,C63)</f>
        <v>0.76</v>
      </c>
      <c r="H49" s="131">
        <f>MIN(H47/H48,C64)</f>
        <v>0.78</v>
      </c>
      <c r="I49" s="131">
        <f>MIN(I47/I48,C65)</f>
        <v>0.76</v>
      </c>
      <c r="J49" s="131">
        <f>MIN(J47/J48,C66)</f>
        <v>0.72</v>
      </c>
      <c r="K49" s="131">
        <f>MIN(K47/K48,C67)</f>
        <v>0.7</v>
      </c>
      <c r="L49" s="53"/>
      <c r="M49" s="53"/>
      <c r="N49" s="53"/>
      <c r="O49" s="54"/>
      <c r="P49" s="54"/>
      <c r="Q49" s="54"/>
      <c r="R49" s="54"/>
      <c r="S49" s="54"/>
      <c r="T49" s="51"/>
      <c r="U49" s="51"/>
      <c r="V49" s="51"/>
      <c r="W49" s="51"/>
      <c r="X49" s="51"/>
      <c r="Y49" s="51"/>
      <c r="Z49" s="51"/>
    </row>
    <row r="50" spans="1:26">
      <c r="A50" s="28" t="s">
        <v>1638</v>
      </c>
      <c r="B50" s="462">
        <f t="shared" ref="B50:K50" si="4">B11-B26</f>
        <v>7266</v>
      </c>
      <c r="C50" s="462">
        <f t="shared" si="4"/>
        <v>3787</v>
      </c>
      <c r="D50" s="462">
        <f t="shared" si="4"/>
        <v>2435</v>
      </c>
      <c r="E50" s="462">
        <f t="shared" si="4"/>
        <v>2697</v>
      </c>
      <c r="F50" s="462">
        <f t="shared" si="4"/>
        <v>504</v>
      </c>
      <c r="G50" s="252">
        <f t="shared" si="4"/>
        <v>-354.63931199999934</v>
      </c>
      <c r="H50" s="252">
        <f t="shared" si="4"/>
        <v>-1916.7084225600011</v>
      </c>
      <c r="I50" s="252">
        <f t="shared" si="4"/>
        <v>-3546.083383267207</v>
      </c>
      <c r="J50" s="252">
        <f t="shared" si="4"/>
        <v>-5218.9675104265989</v>
      </c>
      <c r="K50" s="252">
        <f t="shared" si="4"/>
        <v>-6907.1685970942599</v>
      </c>
      <c r="L50" s="53"/>
      <c r="M50" s="53"/>
      <c r="N50" s="53"/>
      <c r="O50" s="54"/>
      <c r="P50" s="54"/>
      <c r="Q50" s="54"/>
      <c r="R50" s="54"/>
      <c r="S50" s="54"/>
      <c r="T50" s="51"/>
      <c r="U50" s="51"/>
      <c r="V50" s="51"/>
      <c r="W50" s="51"/>
      <c r="X50" s="51"/>
      <c r="Y50" s="51"/>
      <c r="Z50" s="51"/>
    </row>
    <row r="51" spans="1:26">
      <c r="A51" s="28" t="s">
        <v>204</v>
      </c>
      <c r="B51" s="462">
        <f>B50</f>
        <v>7266</v>
      </c>
      <c r="C51" s="462">
        <f t="shared" ref="C51:K51" si="5">-B50-(C50)</f>
        <v>-11053</v>
      </c>
      <c r="D51" s="462">
        <f t="shared" si="5"/>
        <v>-6222</v>
      </c>
      <c r="E51" s="462">
        <f t="shared" si="5"/>
        <v>-5132</v>
      </c>
      <c r="F51" s="462">
        <f t="shared" si="5"/>
        <v>-3201</v>
      </c>
      <c r="G51" s="252">
        <f t="shared" si="5"/>
        <v>-149.36068800000066</v>
      </c>
      <c r="H51" s="252">
        <f t="shared" si="5"/>
        <v>2271.3477345600004</v>
      </c>
      <c r="I51" s="252">
        <f t="shared" si="5"/>
        <v>5462.791805827208</v>
      </c>
      <c r="J51" s="252">
        <f t="shared" si="5"/>
        <v>8765.0508936938058</v>
      </c>
      <c r="K51" s="252">
        <f t="shared" si="5"/>
        <v>12126.136107520859</v>
      </c>
      <c r="L51" s="53"/>
      <c r="M51" s="53"/>
      <c r="N51" s="53"/>
      <c r="O51" s="54"/>
      <c r="P51" s="54"/>
      <c r="Q51" s="54"/>
      <c r="R51" s="54"/>
      <c r="S51" s="54"/>
      <c r="T51" s="51"/>
      <c r="U51" s="51"/>
      <c r="V51" s="51"/>
      <c r="W51" s="51"/>
      <c r="X51" s="51"/>
      <c r="Y51" s="51"/>
      <c r="Z51" s="51"/>
    </row>
    <row r="52" spans="1:26">
      <c r="A52" s="28" t="s">
        <v>68</v>
      </c>
      <c r="B52" s="99">
        <v>0</v>
      </c>
      <c r="C52" s="99">
        <v>0</v>
      </c>
      <c r="D52" s="103">
        <v>0</v>
      </c>
      <c r="E52" s="103">
        <v>0</v>
      </c>
      <c r="F52" s="103">
        <v>0</v>
      </c>
      <c r="G52" s="113">
        <v>0</v>
      </c>
      <c r="H52" s="115">
        <v>0</v>
      </c>
      <c r="I52" s="115">
        <v>0</v>
      </c>
      <c r="J52" s="115">
        <v>0</v>
      </c>
      <c r="K52" s="115">
        <v>0</v>
      </c>
      <c r="L52" s="53"/>
      <c r="M52" s="53"/>
      <c r="N52" s="53"/>
      <c r="O52" s="54"/>
      <c r="P52" s="54"/>
      <c r="Q52" s="54"/>
      <c r="R52" s="54"/>
      <c r="S52" s="54"/>
      <c r="T52" s="51"/>
      <c r="U52" s="51"/>
      <c r="V52" s="51"/>
      <c r="W52" s="51"/>
      <c r="X52" s="51"/>
      <c r="Y52" s="51"/>
      <c r="Z52" s="51"/>
    </row>
    <row r="53" spans="1:26">
      <c r="A53" s="61" t="s">
        <v>273</v>
      </c>
      <c r="B53" s="280">
        <f t="shared" ref="B53:K53" si="6">B17-B30+B40</f>
        <v>13005</v>
      </c>
      <c r="C53" s="280">
        <f t="shared" si="6"/>
        <v>14795</v>
      </c>
      <c r="D53" s="280">
        <f t="shared" si="6"/>
        <v>12733</v>
      </c>
      <c r="E53" s="280">
        <f t="shared" si="6"/>
        <v>13972</v>
      </c>
      <c r="F53" s="280">
        <f t="shared" si="6"/>
        <v>13030</v>
      </c>
      <c r="G53" s="280">
        <f t="shared" si="6"/>
        <v>20173.64936000001</v>
      </c>
      <c r="H53" s="280">
        <f t="shared" si="6"/>
        <v>24614.222188159998</v>
      </c>
      <c r="I53" s="280">
        <f t="shared" si="6"/>
        <v>29027.301672780799</v>
      </c>
      <c r="J53" s="280">
        <f t="shared" si="6"/>
        <v>33622.435893668873</v>
      </c>
      <c r="K53" s="280">
        <f t="shared" si="6"/>
        <v>38330.91042079695</v>
      </c>
      <c r="L53" s="53"/>
      <c r="M53" s="53"/>
      <c r="N53" s="53"/>
      <c r="O53" s="54"/>
      <c r="P53" s="54"/>
      <c r="Q53" s="54"/>
      <c r="R53" s="54"/>
      <c r="S53" s="54"/>
      <c r="T53" s="51"/>
      <c r="U53" s="51"/>
      <c r="V53" s="51"/>
      <c r="W53" s="51"/>
      <c r="X53" s="51"/>
      <c r="Y53" s="51"/>
      <c r="Z53" s="51"/>
    </row>
    <row r="54" spans="1:26">
      <c r="A54" s="64" t="s">
        <v>2237</v>
      </c>
      <c r="B54" s="64"/>
      <c r="C54" s="64"/>
      <c r="D54" s="64"/>
      <c r="E54" s="53"/>
      <c r="F54" s="53"/>
      <c r="G54" s="53"/>
      <c r="H54" s="53"/>
      <c r="I54" s="53"/>
      <c r="J54" s="53"/>
      <c r="K54" s="53"/>
      <c r="L54" s="53"/>
      <c r="M54" s="53"/>
      <c r="N54" s="53"/>
      <c r="O54" s="54"/>
      <c r="P54" s="54"/>
      <c r="Q54" s="54"/>
      <c r="R54" s="54"/>
      <c r="S54" s="54"/>
      <c r="T54" s="51"/>
      <c r="U54" s="51"/>
      <c r="V54" s="51"/>
      <c r="W54" s="51"/>
      <c r="X54" s="51"/>
      <c r="Y54" s="51"/>
      <c r="Z54" s="51"/>
    </row>
    <row r="55" spans="1:26">
      <c r="A55" s="64" t="s">
        <v>2238</v>
      </c>
      <c r="B55" s="53"/>
      <c r="C55" s="53"/>
      <c r="D55" s="53"/>
      <c r="E55" s="53"/>
      <c r="F55" s="53"/>
      <c r="G55" s="53"/>
      <c r="H55" s="53"/>
      <c r="I55" s="53"/>
      <c r="J55" s="53"/>
      <c r="K55" s="53"/>
      <c r="L55" s="54"/>
      <c r="M55" s="54"/>
      <c r="N55" s="54"/>
      <c r="O55" s="54"/>
      <c r="P55" s="54"/>
      <c r="Q55" s="54"/>
      <c r="R55" s="54"/>
      <c r="S55" s="54"/>
      <c r="T55" s="51"/>
      <c r="U55" s="51"/>
      <c r="V55" s="51"/>
      <c r="W55" s="51"/>
      <c r="X55" s="51"/>
      <c r="Y55" s="51"/>
      <c r="Z55" s="51"/>
    </row>
    <row r="56" spans="1:26">
      <c r="A56" s="64" t="s">
        <v>2239</v>
      </c>
      <c r="B56" s="64"/>
      <c r="C56" s="64"/>
      <c r="D56" s="64"/>
      <c r="E56" s="64"/>
      <c r="F56" s="64"/>
      <c r="G56" s="64"/>
      <c r="H56" s="64"/>
      <c r="I56" s="64"/>
      <c r="J56" s="64"/>
      <c r="K56" s="64"/>
      <c r="L56" s="385"/>
      <c r="M56" s="385"/>
      <c r="N56" s="385"/>
      <c r="O56" s="385"/>
      <c r="P56" s="54"/>
      <c r="Q56" s="54"/>
      <c r="R56" s="54"/>
      <c r="S56" s="54"/>
      <c r="T56" s="51"/>
      <c r="U56" s="51"/>
      <c r="V56" s="51"/>
      <c r="W56" s="51"/>
      <c r="X56" s="51"/>
      <c r="Y56" s="51"/>
      <c r="Z56" s="51"/>
    </row>
    <row r="57" spans="1:26">
      <c r="A57" s="64" t="s">
        <v>2305</v>
      </c>
      <c r="B57" s="53"/>
      <c r="C57" s="53"/>
      <c r="D57" s="53"/>
      <c r="E57" s="53"/>
      <c r="F57" s="53"/>
      <c r="G57" s="53"/>
      <c r="H57" s="53"/>
      <c r="I57" s="53"/>
      <c r="J57" s="53"/>
      <c r="K57" s="53"/>
      <c r="L57" s="54"/>
      <c r="M57" s="54"/>
      <c r="N57" s="54"/>
      <c r="O57" s="54"/>
      <c r="P57" s="54"/>
      <c r="Q57" s="54"/>
      <c r="R57" s="54"/>
      <c r="S57" s="54"/>
      <c r="T57" s="51"/>
      <c r="U57" s="51"/>
      <c r="V57" s="51"/>
      <c r="W57" s="51"/>
      <c r="X57" s="51"/>
      <c r="Y57" s="51"/>
      <c r="Z57" s="51"/>
    </row>
    <row r="58" spans="1:26">
      <c r="A58" s="64" t="s">
        <v>2313</v>
      </c>
      <c r="B58" s="64"/>
      <c r="C58" s="64"/>
      <c r="D58" s="64"/>
      <c r="E58" s="64"/>
      <c r="F58" s="64"/>
      <c r="G58" s="53"/>
      <c r="H58" s="53"/>
      <c r="I58" s="53"/>
      <c r="J58" s="53"/>
      <c r="K58" s="53"/>
      <c r="L58" s="54"/>
      <c r="M58" s="54"/>
      <c r="N58" s="54"/>
      <c r="O58" s="54"/>
      <c r="P58" s="54"/>
      <c r="Q58" s="54"/>
      <c r="R58" s="54"/>
      <c r="S58" s="54"/>
      <c r="T58" s="51"/>
      <c r="U58" s="51"/>
      <c r="V58" s="51"/>
      <c r="W58" s="51"/>
      <c r="X58" s="51"/>
      <c r="Y58" s="51"/>
      <c r="Z58" s="51"/>
    </row>
    <row r="59" spans="1:26">
      <c r="A59" s="63" t="s">
        <v>2314</v>
      </c>
      <c r="B59" s="510"/>
      <c r="C59" s="511"/>
      <c r="D59" s="511"/>
      <c r="E59" s="503"/>
      <c r="F59" s="503"/>
      <c r="G59" s="503"/>
      <c r="H59" s="503"/>
      <c r="I59" s="503"/>
      <c r="J59" s="503"/>
      <c r="K59" s="503"/>
      <c r="L59" s="54"/>
      <c r="M59" s="54"/>
      <c r="N59" s="54"/>
      <c r="O59" s="54"/>
      <c r="P59" s="54"/>
      <c r="Q59" s="54"/>
      <c r="R59" s="54"/>
      <c r="S59" s="54"/>
      <c r="T59" s="51"/>
      <c r="U59" s="51"/>
      <c r="V59" s="51"/>
      <c r="W59" s="51"/>
      <c r="X59" s="51"/>
      <c r="Y59" s="51"/>
      <c r="Z59" s="51"/>
    </row>
    <row r="60" spans="1:26">
      <c r="A60" s="50"/>
      <c r="B60" s="504"/>
      <c r="C60" s="504"/>
      <c r="D60" s="504"/>
      <c r="E60" s="504"/>
      <c r="F60" s="504"/>
      <c r="G60" s="504"/>
      <c r="H60" s="504"/>
      <c r="I60" s="504"/>
      <c r="J60" s="504"/>
      <c r="K60" s="504"/>
      <c r="L60" s="54"/>
      <c r="M60" s="54"/>
      <c r="N60" s="54"/>
      <c r="O60" s="54"/>
      <c r="P60" s="54"/>
      <c r="Q60" s="54"/>
      <c r="R60" s="54"/>
      <c r="S60" s="54"/>
      <c r="T60" s="51"/>
      <c r="U60" s="51"/>
      <c r="V60" s="51"/>
      <c r="W60" s="51"/>
      <c r="X60" s="51"/>
      <c r="Y60" s="51"/>
      <c r="Z60" s="51"/>
    </row>
    <row r="61" spans="1:26">
      <c r="A61" s="50"/>
      <c r="B61" s="509"/>
      <c r="C61" s="503"/>
      <c r="D61" s="503"/>
      <c r="E61" s="503"/>
      <c r="F61" s="503"/>
      <c r="G61" s="503"/>
      <c r="H61" s="503"/>
      <c r="I61" s="503"/>
      <c r="J61" s="503"/>
      <c r="K61" s="503"/>
      <c r="L61" s="52"/>
      <c r="M61" s="52"/>
      <c r="N61" s="52"/>
      <c r="O61" s="52"/>
      <c r="P61" s="52"/>
      <c r="Q61" s="52"/>
      <c r="R61" s="52"/>
      <c r="S61" s="52"/>
      <c r="T61" s="52"/>
      <c r="U61" s="52"/>
      <c r="V61" s="52"/>
      <c r="W61" s="52"/>
      <c r="X61" s="52"/>
      <c r="Y61" s="52"/>
      <c r="Z61" s="52"/>
    </row>
    <row r="62" spans="1:26">
      <c r="A62" s="250" t="s">
        <v>2311</v>
      </c>
      <c r="B62" s="250" t="s">
        <v>2309</v>
      </c>
      <c r="C62" s="250" t="s">
        <v>2310</v>
      </c>
      <c r="D62" s="54"/>
      <c r="E62" s="250" t="s">
        <v>1469</v>
      </c>
      <c r="F62" s="250" t="s">
        <v>117</v>
      </c>
      <c r="G62" s="54"/>
      <c r="H62" s="54"/>
      <c r="I62" s="54"/>
      <c r="J62" s="54"/>
      <c r="K62" s="54"/>
      <c r="L62" s="52"/>
      <c r="M62" s="52"/>
      <c r="N62" s="52"/>
      <c r="O62" s="52"/>
      <c r="P62" s="52"/>
      <c r="Q62" s="52"/>
      <c r="R62" s="52"/>
      <c r="S62" s="52"/>
      <c r="T62" s="52"/>
      <c r="U62" s="52"/>
      <c r="V62" s="52"/>
      <c r="W62" s="52"/>
      <c r="X62" s="52"/>
      <c r="Y62" s="52"/>
      <c r="Z62" s="52"/>
    </row>
    <row r="63" spans="1:26">
      <c r="A63" s="250">
        <v>2025</v>
      </c>
      <c r="B63" s="506">
        <v>0.76</v>
      </c>
      <c r="C63" s="506">
        <v>0.76</v>
      </c>
      <c r="D63" s="54"/>
      <c r="E63" s="28" t="s">
        <v>1454</v>
      </c>
      <c r="F63" s="395">
        <v>0.7</v>
      </c>
      <c r="G63" s="54"/>
      <c r="H63" s="54"/>
      <c r="I63" s="54"/>
      <c r="J63" s="54"/>
      <c r="K63" s="54"/>
      <c r="L63" s="52"/>
      <c r="M63" s="52"/>
      <c r="N63" s="52"/>
      <c r="O63" s="52"/>
      <c r="P63" s="52"/>
      <c r="Q63" s="52"/>
      <c r="R63" s="52"/>
      <c r="S63" s="52"/>
      <c r="T63" s="52"/>
      <c r="U63" s="52"/>
      <c r="V63" s="52"/>
      <c r="W63" s="52"/>
      <c r="X63" s="52"/>
      <c r="Y63" s="52"/>
      <c r="Z63" s="52"/>
    </row>
    <row r="64" spans="1:26">
      <c r="A64" s="28">
        <v>2026</v>
      </c>
      <c r="B64" s="395">
        <v>0.81</v>
      </c>
      <c r="C64" s="395">
        <v>0.78</v>
      </c>
      <c r="D64" s="54"/>
      <c r="E64" s="28" t="s">
        <v>198</v>
      </c>
      <c r="F64" s="395">
        <v>0.09</v>
      </c>
      <c r="G64" s="54"/>
      <c r="H64" s="54"/>
      <c r="I64" s="54"/>
      <c r="J64" s="54"/>
      <c r="K64" s="54"/>
      <c r="L64" s="52"/>
      <c r="M64" s="52"/>
      <c r="N64" s="52"/>
      <c r="O64" s="52"/>
      <c r="P64" s="52"/>
      <c r="Q64" s="52"/>
      <c r="R64" s="52"/>
      <c r="S64" s="52"/>
      <c r="T64" s="52"/>
      <c r="U64" s="52"/>
      <c r="V64" s="52"/>
      <c r="W64" s="52"/>
      <c r="X64" s="52"/>
      <c r="Y64" s="52"/>
      <c r="Z64" s="52"/>
    </row>
    <row r="65" spans="1:26">
      <c r="A65" s="28">
        <v>2027</v>
      </c>
      <c r="B65" s="395">
        <v>0.85</v>
      </c>
      <c r="C65" s="395">
        <v>0.76</v>
      </c>
      <c r="D65" s="54"/>
      <c r="E65" s="28" t="s">
        <v>2312</v>
      </c>
      <c r="F65" s="395">
        <v>0.61</v>
      </c>
      <c r="G65" s="54"/>
      <c r="H65" s="54"/>
      <c r="I65" s="54"/>
      <c r="J65" s="54"/>
      <c r="K65" s="54"/>
      <c r="L65" s="52"/>
      <c r="M65" s="52"/>
      <c r="N65" s="52"/>
      <c r="O65" s="52"/>
      <c r="P65" s="52"/>
      <c r="Q65" s="52"/>
      <c r="R65" s="52"/>
      <c r="S65" s="52"/>
      <c r="T65" s="52"/>
      <c r="U65" s="52"/>
      <c r="V65" s="52"/>
      <c r="W65" s="52"/>
      <c r="X65" s="52"/>
      <c r="Y65" s="52"/>
      <c r="Z65" s="52"/>
    </row>
    <row r="66" spans="1:26">
      <c r="A66" s="327">
        <v>2028</v>
      </c>
      <c r="B66" s="505">
        <v>0.88</v>
      </c>
      <c r="C66" s="505">
        <v>0.72</v>
      </c>
      <c r="D66" s="52"/>
      <c r="E66" s="52"/>
      <c r="F66" s="52"/>
      <c r="G66" s="52"/>
      <c r="H66" s="52"/>
      <c r="I66" s="52"/>
      <c r="J66" s="52"/>
      <c r="K66" s="52"/>
      <c r="L66" s="52"/>
      <c r="M66" s="52"/>
      <c r="N66" s="52"/>
      <c r="O66" s="52"/>
      <c r="P66" s="52"/>
      <c r="Q66" s="52"/>
      <c r="R66" s="52"/>
      <c r="S66" s="52"/>
      <c r="T66" s="52"/>
      <c r="U66" s="52"/>
      <c r="V66" s="52"/>
      <c r="W66" s="52"/>
      <c r="X66" s="52"/>
      <c r="Y66" s="52"/>
      <c r="Z66" s="52"/>
    </row>
    <row r="67" spans="1:26">
      <c r="A67" s="327">
        <v>2029</v>
      </c>
      <c r="B67" s="505">
        <v>0.91</v>
      </c>
      <c r="C67" s="505">
        <v>0.7</v>
      </c>
      <c r="D67" s="52"/>
      <c r="E67" s="27" t="s">
        <v>988</v>
      </c>
      <c r="F67" s="27" t="s">
        <v>117</v>
      </c>
      <c r="G67" s="52"/>
      <c r="H67" s="52"/>
      <c r="I67" s="52"/>
      <c r="J67" s="52"/>
      <c r="K67" s="52"/>
      <c r="L67" s="52"/>
      <c r="M67" s="52"/>
      <c r="N67" s="52"/>
      <c r="O67" s="52"/>
      <c r="P67" s="52"/>
      <c r="Q67" s="52"/>
      <c r="R67" s="52"/>
      <c r="S67" s="52"/>
      <c r="T67" s="52"/>
      <c r="U67" s="52"/>
      <c r="V67" s="52"/>
      <c r="W67" s="52"/>
      <c r="X67" s="52"/>
      <c r="Y67" s="52"/>
      <c r="Z67" s="52"/>
    </row>
    <row r="68" spans="1:26">
      <c r="A68" s="63" t="s">
        <v>2315</v>
      </c>
      <c r="B68" s="52"/>
      <c r="C68" s="52"/>
      <c r="D68" s="52"/>
      <c r="E68" s="320" t="s">
        <v>495</v>
      </c>
      <c r="F68" s="512" t="s">
        <v>1532</v>
      </c>
      <c r="G68" s="52"/>
      <c r="H68" s="52"/>
      <c r="I68" s="52"/>
      <c r="J68" s="52"/>
      <c r="K68" s="52"/>
      <c r="L68" s="52"/>
      <c r="M68" s="52"/>
      <c r="N68" s="52"/>
      <c r="O68" s="52"/>
      <c r="P68" s="52"/>
      <c r="Q68" s="52"/>
      <c r="R68" s="52"/>
      <c r="S68" s="52"/>
      <c r="T68" s="52"/>
      <c r="U68" s="52"/>
      <c r="V68" s="52"/>
      <c r="W68" s="52"/>
      <c r="X68" s="52"/>
      <c r="Y68" s="52"/>
      <c r="Z68" s="52"/>
    </row>
    <row r="69" spans="1:26">
      <c r="A69" s="63" t="s">
        <v>2316</v>
      </c>
      <c r="B69" s="52"/>
      <c r="C69" s="52"/>
      <c r="D69" s="52"/>
      <c r="E69" s="320" t="s">
        <v>1605</v>
      </c>
      <c r="F69" s="512" t="s">
        <v>1536</v>
      </c>
      <c r="G69" s="52"/>
      <c r="H69" s="52"/>
      <c r="I69" s="52"/>
      <c r="J69" s="52"/>
      <c r="K69" s="52"/>
      <c r="L69" s="52"/>
      <c r="M69" s="52"/>
      <c r="N69" s="52"/>
      <c r="O69" s="52"/>
      <c r="P69" s="52"/>
      <c r="Q69" s="52"/>
      <c r="R69" s="52"/>
      <c r="S69" s="52"/>
      <c r="T69" s="52"/>
      <c r="U69" s="52"/>
      <c r="V69" s="52"/>
      <c r="W69" s="52"/>
      <c r="X69" s="52"/>
      <c r="Y69" s="52"/>
      <c r="Z69" s="52"/>
    </row>
    <row r="70" spans="1:26">
      <c r="A70" s="63" t="s">
        <v>2317</v>
      </c>
      <c r="B70" s="52"/>
      <c r="C70" s="52"/>
      <c r="D70" s="52"/>
      <c r="E70" s="320" t="s">
        <v>1454</v>
      </c>
      <c r="F70" s="330">
        <v>0.7</v>
      </c>
      <c r="G70" s="52"/>
      <c r="H70" s="52"/>
      <c r="I70" s="52"/>
      <c r="J70" s="52"/>
      <c r="K70" s="52"/>
      <c r="L70" s="52"/>
      <c r="M70" s="52"/>
      <c r="N70" s="52"/>
      <c r="O70" s="52"/>
      <c r="P70" s="52"/>
      <c r="Q70" s="52"/>
      <c r="R70" s="52"/>
      <c r="S70" s="52"/>
      <c r="T70" s="52"/>
      <c r="U70" s="52"/>
      <c r="V70" s="52"/>
      <c r="W70" s="52"/>
      <c r="X70" s="52"/>
      <c r="Y70" s="52"/>
      <c r="Z70" s="52"/>
    </row>
    <row r="71" spans="1:26">
      <c r="A71" s="63" t="s">
        <v>2318</v>
      </c>
      <c r="B71" s="52"/>
      <c r="C71" s="52"/>
      <c r="D71" s="52"/>
      <c r="E71" s="320" t="s">
        <v>198</v>
      </c>
      <c r="F71" s="330">
        <v>0.09</v>
      </c>
      <c r="G71" s="52"/>
      <c r="H71" s="52"/>
      <c r="I71" s="52"/>
      <c r="J71" s="52"/>
      <c r="K71" s="52"/>
      <c r="L71" s="52"/>
      <c r="M71" s="52"/>
      <c r="N71" s="52"/>
      <c r="O71" s="52"/>
      <c r="P71" s="52"/>
      <c r="Q71" s="52"/>
      <c r="R71" s="52"/>
      <c r="S71" s="52"/>
      <c r="T71" s="52"/>
      <c r="U71" s="52"/>
      <c r="V71" s="52"/>
      <c r="W71" s="52"/>
      <c r="X71" s="52"/>
      <c r="Y71" s="52"/>
      <c r="Z71" s="52"/>
    </row>
    <row r="72" spans="1:26">
      <c r="A72" s="63" t="s">
        <v>2319</v>
      </c>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c r="A121" s="52"/>
      <c r="B121" s="52"/>
      <c r="C121" s="52"/>
      <c r="D121" s="52"/>
      <c r="E121" s="52"/>
      <c r="F121" s="52"/>
      <c r="G121" s="52"/>
      <c r="H121" s="52"/>
      <c r="I121" s="52"/>
      <c r="J121" s="52"/>
      <c r="K121" s="52"/>
    </row>
    <row r="122" spans="1:26">
      <c r="A122" s="52"/>
      <c r="B122" s="52"/>
      <c r="C122" s="52"/>
      <c r="D122" s="52"/>
      <c r="E122" s="52"/>
      <c r="F122" s="52"/>
      <c r="G122" s="52"/>
      <c r="H122" s="52"/>
      <c r="I122" s="52"/>
      <c r="J122" s="52"/>
      <c r="K122" s="52"/>
    </row>
    <row r="123" spans="1:26">
      <c r="A123" s="52"/>
      <c r="B123" s="52"/>
      <c r="C123" s="52"/>
      <c r="D123" s="52"/>
      <c r="E123" s="52"/>
      <c r="F123" s="52"/>
      <c r="G123" s="52"/>
      <c r="H123" s="52"/>
      <c r="I123" s="52"/>
      <c r="J123" s="52"/>
      <c r="K123" s="52"/>
    </row>
    <row r="124" spans="1:26">
      <c r="A124" s="52"/>
      <c r="B124" s="52"/>
      <c r="C124" s="52"/>
      <c r="D124" s="52"/>
      <c r="E124" s="52"/>
      <c r="F124" s="52"/>
      <c r="G124" s="52"/>
      <c r="H124" s="52"/>
      <c r="I124" s="52"/>
      <c r="J124" s="52"/>
      <c r="K124" s="52"/>
    </row>
  </sheetData>
  <pageMargins left="0.7" right="0.7" top="0.75" bottom="0.75" header="0.3" footer="0.3"/>
  <pageSetup orientation="portrait" r:id="rId1"/>
  <ignoredErrors>
    <ignoredError sqref="G27" calculatedColumn="1"/>
  </ignoredErrors>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69CF8-DEBB-4F35-9681-454DD4993223}">
  <dimension ref="A1:XFD125"/>
  <sheetViews>
    <sheetView zoomScale="80" zoomScaleNormal="80" workbookViewId="0"/>
  </sheetViews>
  <sheetFormatPr defaultRowHeight="14"/>
  <cols>
    <col min="1" max="1" width="105.25" customWidth="1"/>
    <col min="2" max="2" width="13.75" customWidth="1"/>
    <col min="3" max="3" width="14.4140625" customWidth="1"/>
    <col min="4" max="4" width="12.1640625" customWidth="1"/>
    <col min="5" max="5" width="13.25" customWidth="1"/>
    <col min="6" max="6" width="15.4140625" customWidth="1"/>
    <col min="7" max="7" width="14.83203125" customWidth="1"/>
    <col min="8" max="8" width="11.4140625" customWidth="1"/>
    <col min="9" max="9" width="13" customWidth="1"/>
    <col min="10" max="10" width="13.25" customWidth="1"/>
    <col min="11" max="11" width="17.25" customWidth="1"/>
    <col min="13" max="13" width="16" customWidth="1"/>
    <col min="14" max="14" width="15.1640625" customWidth="1"/>
  </cols>
  <sheetData>
    <row r="1" spans="1:26" ht="15.75" customHeight="1">
      <c r="A1" s="7" t="s">
        <v>71</v>
      </c>
      <c r="B1" s="4" t="s">
        <v>119</v>
      </c>
      <c r="C1" s="4" t="s">
        <v>120</v>
      </c>
      <c r="D1" s="4" t="s">
        <v>121</v>
      </c>
      <c r="E1" s="4" t="s">
        <v>122</v>
      </c>
      <c r="F1" s="4" t="s">
        <v>123</v>
      </c>
      <c r="G1" s="4" t="s">
        <v>124</v>
      </c>
      <c r="H1" s="4" t="s">
        <v>125</v>
      </c>
      <c r="I1" s="4" t="s">
        <v>126</v>
      </c>
      <c r="J1" s="4" t="s">
        <v>127</v>
      </c>
      <c r="K1" s="4" t="s">
        <v>128</v>
      </c>
      <c r="L1" s="53"/>
      <c r="M1" s="53"/>
      <c r="N1" s="53"/>
      <c r="O1" s="71"/>
      <c r="P1" s="55"/>
      <c r="Q1" s="55"/>
      <c r="R1" s="55"/>
      <c r="S1" s="52"/>
      <c r="T1" s="52"/>
      <c r="U1" s="52"/>
      <c r="V1" s="52"/>
      <c r="W1" s="52"/>
      <c r="X1" s="52"/>
      <c r="Y1" s="52"/>
      <c r="Z1" s="52"/>
    </row>
    <row r="2" spans="1:26" ht="17.25" customHeight="1">
      <c r="A2" s="28" t="s">
        <v>116</v>
      </c>
      <c r="B2" s="21"/>
      <c r="C2" s="21"/>
      <c r="D2" s="42"/>
      <c r="E2" s="21"/>
      <c r="F2" s="21"/>
      <c r="G2" s="74"/>
      <c r="H2" s="74"/>
      <c r="I2" s="74"/>
      <c r="J2" s="74"/>
      <c r="K2" s="74"/>
      <c r="L2" s="53"/>
      <c r="M2" s="393" t="s">
        <v>481</v>
      </c>
      <c r="N2" s="393" t="s">
        <v>483</v>
      </c>
      <c r="O2" s="71"/>
      <c r="P2" s="55"/>
      <c r="Q2" s="55"/>
      <c r="R2" s="55"/>
      <c r="S2" s="52"/>
      <c r="T2" s="52"/>
      <c r="U2" s="52"/>
      <c r="V2" s="52"/>
      <c r="W2" s="52"/>
      <c r="X2" s="52"/>
      <c r="Y2" s="52"/>
      <c r="Z2" s="52"/>
    </row>
    <row r="3" spans="1:26">
      <c r="A3" s="40" t="s">
        <v>72</v>
      </c>
      <c r="B3" s="42" t="s">
        <v>26</v>
      </c>
      <c r="C3" s="42" t="s">
        <v>26</v>
      </c>
      <c r="D3" s="70" t="s">
        <v>26</v>
      </c>
      <c r="E3" s="20"/>
      <c r="F3" s="42"/>
      <c r="G3" s="74"/>
      <c r="H3" s="74"/>
      <c r="I3" s="74"/>
      <c r="J3" s="74"/>
      <c r="K3" s="74"/>
      <c r="L3" s="53"/>
      <c r="M3" s="394" t="s">
        <v>482</v>
      </c>
      <c r="N3" s="394" t="s">
        <v>484</v>
      </c>
      <c r="O3" s="71"/>
      <c r="P3" s="55"/>
      <c r="Q3" s="55"/>
      <c r="R3" s="55"/>
      <c r="S3" s="52"/>
      <c r="T3" s="52"/>
      <c r="U3" s="52"/>
      <c r="V3" s="52"/>
      <c r="W3" s="52"/>
      <c r="X3" s="52"/>
      <c r="Y3" s="52"/>
      <c r="Z3" s="52"/>
    </row>
    <row r="4" spans="1:26">
      <c r="A4" s="40" t="s">
        <v>73</v>
      </c>
      <c r="B4" s="103">
        <v>6411</v>
      </c>
      <c r="C4" s="103">
        <v>8687</v>
      </c>
      <c r="D4" s="102">
        <v>9930</v>
      </c>
      <c r="E4" s="103">
        <v>11195</v>
      </c>
      <c r="F4" s="103">
        <v>12874</v>
      </c>
      <c r="G4" s="112">
        <f>'Profit Loss'!G20</f>
        <v>14606.824680000003</v>
      </c>
      <c r="H4" s="112">
        <f>'Profit Loss'!H20</f>
        <v>16827.111094079999</v>
      </c>
      <c r="I4" s="112">
        <f>'Profit Loss'!I20</f>
        <v>19033.650836390399</v>
      </c>
      <c r="J4" s="112">
        <f>'Profit Loss'!J20</f>
        <v>21331.217946834437</v>
      </c>
      <c r="K4" s="112">
        <f>'Profit Loss'!K20</f>
        <v>23685.455210398472</v>
      </c>
      <c r="L4" s="53"/>
      <c r="M4" s="53"/>
      <c r="N4" s="53"/>
      <c r="O4" s="71"/>
      <c r="P4" s="55"/>
      <c r="Q4" s="55"/>
      <c r="R4" s="55"/>
      <c r="S4" s="52"/>
      <c r="T4" s="52"/>
      <c r="U4" s="52"/>
      <c r="V4" s="52"/>
      <c r="W4" s="52"/>
      <c r="X4" s="52"/>
      <c r="Y4" s="52"/>
      <c r="Z4" s="52"/>
    </row>
    <row r="5" spans="1:26" ht="19.5" customHeight="1">
      <c r="A5" s="40" t="s">
        <v>74</v>
      </c>
      <c r="B5" s="102" t="s">
        <v>26</v>
      </c>
      <c r="C5" s="102" t="s">
        <v>26</v>
      </c>
      <c r="D5" s="104" t="s">
        <v>26</v>
      </c>
      <c r="E5" s="99"/>
      <c r="F5" s="102"/>
      <c r="G5" s="112"/>
      <c r="H5" s="112"/>
      <c r="I5" s="112"/>
      <c r="J5" s="112"/>
      <c r="K5" s="112"/>
      <c r="L5" s="53"/>
      <c r="M5" s="53"/>
      <c r="N5" s="53"/>
      <c r="O5" s="71"/>
      <c r="P5" s="55"/>
      <c r="Q5" s="55"/>
      <c r="R5" s="55"/>
      <c r="S5" s="52"/>
      <c r="T5" s="52"/>
      <c r="U5" s="52"/>
      <c r="V5" s="52"/>
      <c r="W5" s="52"/>
      <c r="X5" s="52"/>
      <c r="Y5" s="52"/>
      <c r="Z5" s="52"/>
    </row>
    <row r="6" spans="1:26">
      <c r="A6" s="40" t="s">
        <v>75</v>
      </c>
      <c r="B6" s="104">
        <v>1072</v>
      </c>
      <c r="C6" s="104">
        <v>1371</v>
      </c>
      <c r="D6" s="104">
        <v>1586</v>
      </c>
      <c r="E6" s="104">
        <v>1622</v>
      </c>
      <c r="F6" s="104">
        <v>1830</v>
      </c>
      <c r="G6" s="112">
        <f>Table3[[#This Row],[2024]]*1.05</f>
        <v>1921.5</v>
      </c>
      <c r="H6" s="112">
        <f>Table3[[#This Row],[2025E]]*1.05</f>
        <v>2017.575</v>
      </c>
      <c r="I6" s="112">
        <f>Table3[[#This Row],[2026E]]*1.05</f>
        <v>2118.4537500000001</v>
      </c>
      <c r="J6" s="112">
        <f>Table3[[#This Row],[2027E]]*1.05</f>
        <v>2224.3764375000001</v>
      </c>
      <c r="K6" s="112">
        <f>Table3[[#This Row],[2028E]]*1.05</f>
        <v>2335.5952593750003</v>
      </c>
      <c r="L6" s="53"/>
      <c r="M6" s="53"/>
      <c r="N6" s="53"/>
      <c r="O6" s="71"/>
      <c r="P6" s="55"/>
      <c r="Q6" s="55"/>
      <c r="R6" s="55"/>
      <c r="S6" s="52"/>
      <c r="T6" s="52"/>
      <c r="U6" s="52"/>
      <c r="V6" s="52"/>
      <c r="W6" s="52"/>
      <c r="X6" s="52"/>
      <c r="Y6" s="52"/>
      <c r="Z6" s="52"/>
    </row>
    <row r="7" spans="1:26">
      <c r="A7" s="40" t="s">
        <v>7</v>
      </c>
      <c r="B7" s="104">
        <v>580</v>
      </c>
      <c r="C7" s="104">
        <v>726</v>
      </c>
      <c r="D7" s="104">
        <v>750</v>
      </c>
      <c r="E7" s="104">
        <v>799</v>
      </c>
      <c r="F7" s="104">
        <v>897</v>
      </c>
      <c r="G7" s="112">
        <f>'Profit Loss'!G8</f>
        <v>946.41120000000012</v>
      </c>
      <c r="H7" s="112">
        <f>'Profit Loss'!H8</f>
        <v>1033.7965007999999</v>
      </c>
      <c r="I7" s="112">
        <f>'Profit Loss'!I8</f>
        <v>1117.926147072</v>
      </c>
      <c r="J7" s="112">
        <f>'Profit Loss'!J8</f>
        <v>1196.5802367052804</v>
      </c>
      <c r="K7" s="112">
        <f>'Profit Loss'!K8</f>
        <v>1267.4886951767044</v>
      </c>
      <c r="L7" s="53"/>
      <c r="M7" s="53"/>
      <c r="N7" s="53"/>
      <c r="O7" s="71"/>
      <c r="P7" s="55"/>
      <c r="Q7" s="55"/>
      <c r="R7" s="55"/>
      <c r="S7" s="52"/>
      <c r="T7" s="52"/>
      <c r="U7" s="52"/>
      <c r="V7" s="52"/>
      <c r="W7" s="52"/>
      <c r="X7" s="52"/>
      <c r="Y7" s="52"/>
      <c r="Z7" s="52"/>
    </row>
    <row r="8" spans="1:26">
      <c r="A8" s="40" t="s">
        <v>76</v>
      </c>
      <c r="B8" s="104">
        <v>-30</v>
      </c>
      <c r="C8" s="104">
        <v>-645</v>
      </c>
      <c r="D8" s="104">
        <v>145</v>
      </c>
      <c r="E8" s="104">
        <v>61</v>
      </c>
      <c r="F8" s="104">
        <v>29</v>
      </c>
      <c r="G8" s="112">
        <v>29</v>
      </c>
      <c r="H8" s="112">
        <v>29</v>
      </c>
      <c r="I8" s="112">
        <v>29</v>
      </c>
      <c r="J8" s="112">
        <v>29</v>
      </c>
      <c r="K8" s="112">
        <v>29</v>
      </c>
      <c r="L8" s="53"/>
      <c r="M8" s="53"/>
      <c r="N8" s="53"/>
      <c r="O8" s="71"/>
      <c r="P8" s="55"/>
      <c r="Q8" s="55"/>
      <c r="R8" s="55"/>
      <c r="S8" s="52"/>
      <c r="T8" s="52"/>
      <c r="U8" s="52"/>
      <c r="V8" s="52"/>
      <c r="W8" s="52"/>
      <c r="X8" s="52"/>
      <c r="Y8" s="52"/>
      <c r="Z8" s="52"/>
    </row>
    <row r="9" spans="1:26">
      <c r="A9" s="40" t="s">
        <v>77</v>
      </c>
      <c r="B9" s="104">
        <v>254</v>
      </c>
      <c r="C9" s="104">
        <v>273</v>
      </c>
      <c r="D9" s="104">
        <v>295</v>
      </c>
      <c r="E9" s="104">
        <v>460</v>
      </c>
      <c r="F9" s="104">
        <v>526</v>
      </c>
      <c r="G9" s="112">
        <f>Table3[[#This Row],[2024]]*1.06</f>
        <v>557.56000000000006</v>
      </c>
      <c r="H9" s="112">
        <f>Table3[[#This Row],[2025E]]*1.06</f>
        <v>591.01360000000011</v>
      </c>
      <c r="I9" s="112">
        <f>Table3[[#This Row],[2026E]]*1.06</f>
        <v>626.47441600000013</v>
      </c>
      <c r="J9" s="112">
        <f>Table3[[#This Row],[2027E]]*1.06</f>
        <v>664.06288096000014</v>
      </c>
      <c r="K9" s="112">
        <f>Table3[[#This Row],[2028E]]*1.06</f>
        <v>703.90665381760016</v>
      </c>
      <c r="L9" s="53"/>
      <c r="M9" s="53"/>
      <c r="N9" s="53"/>
      <c r="O9" s="71"/>
      <c r="P9" s="55"/>
      <c r="Q9" s="55"/>
      <c r="R9" s="55"/>
      <c r="S9" s="52"/>
      <c r="T9" s="52"/>
      <c r="U9" s="52"/>
      <c r="V9" s="52"/>
      <c r="W9" s="52"/>
      <c r="X9" s="52"/>
      <c r="Y9" s="52"/>
      <c r="Z9" s="52"/>
    </row>
    <row r="10" spans="1:26">
      <c r="A10" s="40" t="s">
        <v>40</v>
      </c>
      <c r="B10" s="104">
        <v>73</v>
      </c>
      <c r="C10" s="104">
        <v>-69</v>
      </c>
      <c r="D10" s="104">
        <v>-651</v>
      </c>
      <c r="E10" s="104">
        <v>-236</v>
      </c>
      <c r="F10" s="104">
        <v>-527</v>
      </c>
      <c r="G10" s="112">
        <f>Table3[[#This Row],[2024]]*1.03</f>
        <v>-542.81000000000006</v>
      </c>
      <c r="H10" s="112">
        <f>Table3[[#This Row],[2025E]]*1.03</f>
        <v>-559.09430000000009</v>
      </c>
      <c r="I10" s="112">
        <f>Table3[[#This Row],[2026E]]*1.03</f>
        <v>-575.86712900000009</v>
      </c>
      <c r="J10" s="112">
        <f>Table3[[#This Row],[2027E]]*1.03</f>
        <v>-593.14314287000013</v>
      </c>
      <c r="K10" s="112">
        <f>Table3[[#This Row],[2028E]]*1.03</f>
        <v>-610.93743715610015</v>
      </c>
      <c r="L10" s="53"/>
      <c r="M10" s="53"/>
      <c r="N10" s="53"/>
      <c r="O10" s="71"/>
      <c r="P10" s="55"/>
      <c r="Q10" s="55"/>
      <c r="R10" s="55"/>
      <c r="S10" s="52"/>
      <c r="T10" s="52"/>
      <c r="U10" s="52"/>
      <c r="V10" s="52"/>
      <c r="W10" s="52"/>
      <c r="X10" s="52"/>
      <c r="Y10" s="52"/>
      <c r="Z10" s="52"/>
    </row>
    <row r="11" spans="1:26">
      <c r="A11" s="40" t="s">
        <v>78</v>
      </c>
      <c r="B11" s="104">
        <v>14</v>
      </c>
      <c r="C11" s="104">
        <v>36</v>
      </c>
      <c r="D11" s="102">
        <v>44</v>
      </c>
      <c r="E11" s="104">
        <v>22</v>
      </c>
      <c r="F11" s="104">
        <v>191</v>
      </c>
      <c r="G11" s="112">
        <f>Table3[[#This Row],[2024]]*1.03</f>
        <v>196.73000000000002</v>
      </c>
      <c r="H11" s="112">
        <f>Table3[[#This Row],[2025E]]*1.03</f>
        <v>202.63190000000003</v>
      </c>
      <c r="I11" s="112">
        <f>Table3[[#This Row],[2026E]]*1.03</f>
        <v>208.71085700000003</v>
      </c>
      <c r="J11" s="112">
        <f>Table3[[#This Row],[2027E]]*1.03</f>
        <v>214.97218271000003</v>
      </c>
      <c r="K11" s="112">
        <f>Table3[[#This Row],[2028E]]*1.03</f>
        <v>221.42134819130004</v>
      </c>
      <c r="L11" s="53"/>
      <c r="M11" s="53"/>
      <c r="N11" s="53"/>
      <c r="O11" s="71"/>
      <c r="P11" s="55"/>
      <c r="Q11" s="55"/>
      <c r="R11" s="55"/>
      <c r="S11" s="52"/>
      <c r="T11" s="52"/>
      <c r="U11" s="52"/>
      <c r="V11" s="52"/>
      <c r="W11" s="52"/>
      <c r="X11" s="52"/>
      <c r="Y11" s="52"/>
      <c r="Z11" s="52"/>
    </row>
    <row r="12" spans="1:26">
      <c r="A12" s="40" t="s">
        <v>79</v>
      </c>
      <c r="B12" s="102" t="s">
        <v>26</v>
      </c>
      <c r="C12" s="102" t="s">
        <v>26</v>
      </c>
      <c r="D12" s="104" t="s">
        <v>26</v>
      </c>
      <c r="E12" s="99"/>
      <c r="F12" s="102"/>
      <c r="G12" s="112"/>
      <c r="H12" s="112"/>
      <c r="I12" s="112"/>
      <c r="J12" s="112"/>
      <c r="K12" s="112"/>
      <c r="L12" s="53"/>
      <c r="M12" s="53"/>
      <c r="N12" s="53"/>
      <c r="O12" s="71"/>
      <c r="P12" s="55"/>
      <c r="Q12" s="55"/>
      <c r="R12" s="55"/>
      <c r="S12" s="52"/>
      <c r="T12" s="52"/>
      <c r="U12" s="52"/>
      <c r="V12" s="52"/>
      <c r="W12" s="52"/>
      <c r="X12" s="52"/>
      <c r="Y12" s="52"/>
      <c r="Z12" s="52"/>
    </row>
    <row r="13" spans="1:26">
      <c r="A13" s="40" t="s">
        <v>34</v>
      </c>
      <c r="B13" s="104">
        <v>-86</v>
      </c>
      <c r="C13" s="104">
        <v>-397</v>
      </c>
      <c r="D13" s="104">
        <v>-481</v>
      </c>
      <c r="E13" s="104">
        <v>-546</v>
      </c>
      <c r="F13" s="104">
        <v>186</v>
      </c>
      <c r="G13" s="112">
        <f>Balance_Sheet!F7-Balance_Sheet!G7</f>
        <v>-39.10036800000006</v>
      </c>
      <c r="H13" s="112">
        <f>Balance_Sheet!G7-Balance_Sheet!H7</f>
        <v>-47.983047839999983</v>
      </c>
      <c r="I13" s="112">
        <f>Balance_Sheet!H7-Balance_Sheet!I7</f>
        <v>-50.050009900800035</v>
      </c>
      <c r="J13" s="112">
        <f>Balance_Sheet!I7-Balance_Sheet!J7</f>
        <v>-51.384676831488093</v>
      </c>
      <c r="K13" s="112">
        <f>Balance_Sheet!J7-Balance_Sheet!K7</f>
        <v>-51.851810257228863</v>
      </c>
      <c r="L13" s="53"/>
      <c r="M13" s="53"/>
      <c r="N13" s="53"/>
      <c r="O13" s="71"/>
      <c r="P13" s="55"/>
      <c r="Q13" s="55"/>
      <c r="R13" s="55"/>
      <c r="S13" s="52"/>
      <c r="T13" s="52"/>
      <c r="U13" s="52"/>
      <c r="V13" s="52"/>
      <c r="W13" s="52"/>
      <c r="X13" s="52"/>
      <c r="Y13" s="52"/>
      <c r="Z13" s="52"/>
    </row>
    <row r="14" spans="1:26">
      <c r="A14" s="40" t="s">
        <v>80</v>
      </c>
      <c r="B14" s="104">
        <v>-2</v>
      </c>
      <c r="C14" s="104">
        <v>-87</v>
      </c>
      <c r="D14" s="104">
        <v>12</v>
      </c>
      <c r="E14" s="104">
        <v>-171</v>
      </c>
      <c r="F14" s="104">
        <v>-165</v>
      </c>
      <c r="G14" s="112">
        <v>-165</v>
      </c>
      <c r="H14" s="112">
        <v>-165</v>
      </c>
      <c r="I14" s="112">
        <v>-165</v>
      </c>
      <c r="J14" s="112">
        <v>-165</v>
      </c>
      <c r="K14" s="112">
        <v>-165</v>
      </c>
      <c r="L14" s="53"/>
      <c r="M14" s="53"/>
      <c r="N14" s="53"/>
      <c r="O14" s="71"/>
      <c r="P14" s="55"/>
      <c r="Q14" s="55"/>
      <c r="R14" s="55"/>
      <c r="S14" s="52"/>
      <c r="T14" s="52"/>
      <c r="U14" s="52"/>
      <c r="V14" s="52"/>
      <c r="W14" s="52"/>
      <c r="X14" s="52"/>
      <c r="Y14" s="52"/>
      <c r="Z14" s="52"/>
    </row>
    <row r="15" spans="1:26">
      <c r="A15" s="40" t="s">
        <v>35</v>
      </c>
      <c r="B15" s="104">
        <v>1288</v>
      </c>
      <c r="C15" s="104">
        <v>390</v>
      </c>
      <c r="D15" s="104">
        <v>48</v>
      </c>
      <c r="E15" s="104">
        <v>40</v>
      </c>
      <c r="F15" s="104">
        <v>-593</v>
      </c>
      <c r="G15" s="112">
        <f>Balance_Sheet!F8-Balance_Sheet!G8</f>
        <v>-454.30336000000079</v>
      </c>
      <c r="H15" s="112">
        <f>Balance_Sheet!G8-Balance_Sheet!H8</f>
        <v>-549.54943679999997</v>
      </c>
      <c r="I15" s="112">
        <f>Balance_Sheet!H8-Balance_Sheet!I8</f>
        <v>-573.22233561600024</v>
      </c>
      <c r="J15" s="112">
        <f>Balance_Sheet!I8-Balance_Sheet!J8</f>
        <v>-588.50826456576033</v>
      </c>
      <c r="K15" s="112">
        <f>Balance_Sheet!J8-Balance_Sheet!K8</f>
        <v>-593.85833969817668</v>
      </c>
      <c r="L15" s="53"/>
      <c r="M15" s="53"/>
      <c r="N15" s="53"/>
      <c r="O15" s="71"/>
      <c r="P15" s="55"/>
      <c r="Q15" s="55"/>
      <c r="R15" s="55"/>
      <c r="S15" s="52"/>
      <c r="T15" s="52"/>
      <c r="U15" s="52"/>
      <c r="V15" s="52"/>
      <c r="W15" s="52"/>
      <c r="X15" s="52"/>
      <c r="Y15" s="52"/>
      <c r="Z15" s="52"/>
    </row>
    <row r="16" spans="1:26">
      <c r="A16" s="40" t="s">
        <v>81</v>
      </c>
      <c r="B16" s="104">
        <v>-1552</v>
      </c>
      <c r="C16" s="104">
        <v>-2087</v>
      </c>
      <c r="D16" s="104">
        <v>-2175</v>
      </c>
      <c r="E16" s="104">
        <v>-2438</v>
      </c>
      <c r="F16" s="104">
        <v>-3225</v>
      </c>
      <c r="G16" s="112">
        <f>Balance_Sheet!F10-Balance_Sheet!G10</f>
        <v>468.23679999999968</v>
      </c>
      <c r="H16" s="112">
        <f>Balance_Sheet!G10-Balance_Sheet!H10</f>
        <v>-328.08921599999985</v>
      </c>
      <c r="I16" s="112">
        <f>Balance_Sheet!H10-Balance_Sheet!I10</f>
        <v>-342.22228992000055</v>
      </c>
      <c r="J16" s="112">
        <f>Balance_Sheet!I10-Balance_Sheet!J10</f>
        <v>-351.34821765120023</v>
      </c>
      <c r="K16" s="112">
        <f>Balance_Sheet!J10-Balance_Sheet!K10</f>
        <v>-354.54229235712046</v>
      </c>
      <c r="L16" s="53"/>
      <c r="M16" s="53"/>
      <c r="N16" s="53"/>
      <c r="O16" s="71"/>
      <c r="P16" s="55"/>
      <c r="Q16" s="55"/>
      <c r="R16" s="55"/>
      <c r="S16" s="52"/>
      <c r="T16" s="52"/>
      <c r="U16" s="52"/>
      <c r="V16" s="52"/>
      <c r="W16" s="52"/>
      <c r="X16" s="52"/>
      <c r="Y16" s="52"/>
      <c r="Z16" s="52"/>
    </row>
    <row r="17" spans="1:26">
      <c r="A17" s="40" t="s">
        <v>82</v>
      </c>
      <c r="B17" s="104">
        <v>-73</v>
      </c>
      <c r="C17" s="104">
        <v>-1</v>
      </c>
      <c r="D17" s="104">
        <v>240</v>
      </c>
      <c r="E17" s="104">
        <v>-375</v>
      </c>
      <c r="F17" s="104">
        <v>205</v>
      </c>
      <c r="G17" s="112">
        <v>205</v>
      </c>
      <c r="H17" s="112">
        <v>205</v>
      </c>
      <c r="I17" s="112">
        <v>205</v>
      </c>
      <c r="J17" s="112">
        <v>205</v>
      </c>
      <c r="K17" s="112">
        <v>205</v>
      </c>
      <c r="L17" s="53"/>
      <c r="M17" s="53"/>
      <c r="N17" s="53"/>
      <c r="O17" s="71"/>
      <c r="P17" s="55"/>
      <c r="Q17" s="55"/>
      <c r="R17" s="55"/>
      <c r="S17" s="52"/>
      <c r="T17" s="52"/>
      <c r="U17" s="52"/>
      <c r="V17" s="52"/>
      <c r="W17" s="52"/>
      <c r="X17" s="52"/>
      <c r="Y17" s="52"/>
      <c r="Z17" s="52"/>
    </row>
    <row r="18" spans="1:26">
      <c r="A18" s="40" t="s">
        <v>36</v>
      </c>
      <c r="B18" s="104">
        <v>326</v>
      </c>
      <c r="C18" s="104">
        <v>177</v>
      </c>
      <c r="D18" s="104">
        <v>-305</v>
      </c>
      <c r="E18" s="104">
        <v>277</v>
      </c>
      <c r="F18" s="104">
        <v>29</v>
      </c>
      <c r="G18" s="112">
        <v>29</v>
      </c>
      <c r="H18" s="112">
        <v>29</v>
      </c>
      <c r="I18" s="112">
        <v>29</v>
      </c>
      <c r="J18" s="112">
        <v>29</v>
      </c>
      <c r="K18" s="112">
        <v>29</v>
      </c>
      <c r="L18" s="53"/>
      <c r="M18" s="53"/>
      <c r="N18" s="53"/>
      <c r="O18" s="71"/>
      <c r="P18" s="55"/>
      <c r="Q18" s="55"/>
      <c r="R18" s="55"/>
      <c r="S18" s="52"/>
      <c r="T18" s="52"/>
      <c r="U18" s="52"/>
      <c r="V18" s="52"/>
      <c r="W18" s="52"/>
      <c r="X18" s="52"/>
      <c r="Y18" s="52"/>
      <c r="Z18" s="52"/>
    </row>
    <row r="19" spans="1:26">
      <c r="A19" s="40" t="s">
        <v>46</v>
      </c>
      <c r="B19" s="104">
        <v>26</v>
      </c>
      <c r="C19" s="104">
        <v>100</v>
      </c>
      <c r="D19" s="104">
        <v>190</v>
      </c>
      <c r="E19" s="104">
        <v>-99</v>
      </c>
      <c r="F19" s="104">
        <v>75</v>
      </c>
      <c r="G19" s="112">
        <f>Balance_Sheet!G19-Balance_Sheet!F19</f>
        <v>112.05232000000024</v>
      </c>
      <c r="H19" s="112">
        <f>Balance_Sheet!H19-Balance_Sheet!G19</f>
        <v>135.33680159999994</v>
      </c>
      <c r="I19" s="112">
        <f>Balance_Sheet!I19-Balance_Sheet!H19</f>
        <v>141.16669459200011</v>
      </c>
      <c r="J19" s="112">
        <f>Balance_Sheet!J19-Balance_Sheet!I19</f>
        <v>144.93113978112001</v>
      </c>
      <c r="K19" s="112">
        <f>Balance_Sheet!K19-Balance_Sheet!J19</f>
        <v>146.24869559731223</v>
      </c>
      <c r="L19" s="53"/>
      <c r="M19" s="53"/>
      <c r="N19" s="53"/>
      <c r="O19" s="71"/>
      <c r="P19" s="55"/>
      <c r="Q19" s="55"/>
      <c r="R19" s="55"/>
      <c r="S19" s="52"/>
      <c r="T19" s="52"/>
      <c r="U19" s="52"/>
      <c r="V19" s="52"/>
      <c r="W19" s="52"/>
      <c r="X19" s="52"/>
      <c r="Y19" s="52"/>
      <c r="Z19" s="52"/>
    </row>
    <row r="20" spans="1:26">
      <c r="A20" s="40" t="s">
        <v>47</v>
      </c>
      <c r="B20" s="104">
        <v>-1242</v>
      </c>
      <c r="C20" s="104">
        <v>-568</v>
      </c>
      <c r="D20" s="104">
        <v>201</v>
      </c>
      <c r="E20" s="104">
        <v>282</v>
      </c>
      <c r="F20" s="104">
        <v>922</v>
      </c>
      <c r="G20" s="112">
        <f>Balance_Sheet!G20-Balance_Sheet!F20</f>
        <v>270.85728000000017</v>
      </c>
      <c r="H20" s="112">
        <f>Balance_Sheet!H20-Balance_Sheet!G20</f>
        <v>336.29144639999959</v>
      </c>
      <c r="I20" s="112">
        <f>Balance_Sheet!I20-Balance_Sheet!H20</f>
        <v>350.77784716800033</v>
      </c>
      <c r="J20" s="112">
        <f>Balance_Sheet!J20-Balance_Sheet!I20</f>
        <v>360.13192309248006</v>
      </c>
      <c r="K20" s="112">
        <f>Balance_Sheet!K20-Balance_Sheet!J20</f>
        <v>363.40584966604865</v>
      </c>
      <c r="L20" s="53"/>
      <c r="M20" s="53"/>
      <c r="N20" s="53"/>
      <c r="O20" s="71"/>
      <c r="P20" s="55"/>
      <c r="Q20" s="55"/>
      <c r="R20" s="55"/>
      <c r="S20" s="52"/>
      <c r="T20" s="52"/>
      <c r="U20" s="52"/>
      <c r="V20" s="52"/>
      <c r="W20" s="52"/>
      <c r="X20" s="52"/>
      <c r="Y20" s="52"/>
      <c r="Z20" s="52"/>
    </row>
    <row r="21" spans="1:26">
      <c r="A21" s="40" t="s">
        <v>49</v>
      </c>
      <c r="B21" s="104">
        <v>-114</v>
      </c>
      <c r="C21" s="104">
        <v>1355</v>
      </c>
      <c r="D21" s="104">
        <v>1188</v>
      </c>
      <c r="E21" s="104">
        <v>571</v>
      </c>
      <c r="F21" s="104">
        <v>1587</v>
      </c>
      <c r="G21" s="112">
        <f>Balance_Sheet!G23-Balance_Sheet!F23</f>
        <v>1247.8577600000008</v>
      </c>
      <c r="H21" s="112">
        <f>Balance_Sheet!H23-Balance_Sheet!G23</f>
        <v>1513.3115087999995</v>
      </c>
      <c r="I21" s="112">
        <f>Balance_Sheet!I23-Balance_Sheet!H23</f>
        <v>1578.5003122560029</v>
      </c>
      <c r="J21" s="112">
        <f>Balance_Sheet!J23-Balance_Sheet!I23</f>
        <v>1620.5936539161612</v>
      </c>
      <c r="K21" s="112">
        <f>Balance_Sheet!K23-Balance_Sheet!J23</f>
        <v>1635.3263234972183</v>
      </c>
      <c r="L21" s="53"/>
      <c r="M21" s="53"/>
      <c r="N21" s="53"/>
      <c r="O21" s="71"/>
      <c r="P21" s="55"/>
      <c r="Q21" s="55"/>
      <c r="R21" s="55"/>
      <c r="S21" s="52"/>
      <c r="T21" s="52"/>
      <c r="U21" s="52"/>
      <c r="V21" s="52"/>
      <c r="W21" s="52"/>
      <c r="X21" s="52"/>
      <c r="Y21" s="52"/>
      <c r="Z21" s="52"/>
    </row>
    <row r="22" spans="1:26">
      <c r="A22" s="40" t="s">
        <v>83</v>
      </c>
      <c r="B22" s="104">
        <v>-37</v>
      </c>
      <c r="C22" s="104">
        <v>-52</v>
      </c>
      <c r="D22" s="104">
        <v>-121</v>
      </c>
      <c r="E22" s="104">
        <v>-129</v>
      </c>
      <c r="F22" s="104">
        <v>-163</v>
      </c>
      <c r="G22" s="112">
        <v>-163</v>
      </c>
      <c r="H22" s="112">
        <v>-163</v>
      </c>
      <c r="I22" s="112">
        <v>-163</v>
      </c>
      <c r="J22" s="112">
        <v>-163</v>
      </c>
      <c r="K22" s="112">
        <v>-163</v>
      </c>
      <c r="L22" s="53"/>
      <c r="M22" s="53"/>
      <c r="N22" s="53"/>
      <c r="O22" s="71"/>
      <c r="P22" s="55"/>
      <c r="Q22" s="55"/>
      <c r="R22" s="55"/>
      <c r="S22" s="52"/>
      <c r="T22" s="52"/>
      <c r="U22" s="52"/>
      <c r="V22" s="52"/>
      <c r="W22" s="52"/>
      <c r="X22" s="52"/>
      <c r="Y22" s="52"/>
      <c r="Z22" s="52"/>
    </row>
    <row r="23" spans="1:26">
      <c r="A23" s="40" t="s">
        <v>1639</v>
      </c>
      <c r="B23" s="104">
        <f t="shared" ref="B23:K23" si="0">(B13+B16+B15)-(B19+B21+B20)</f>
        <v>980</v>
      </c>
      <c r="C23" s="104">
        <f t="shared" si="0"/>
        <v>-2981</v>
      </c>
      <c r="D23" s="104">
        <f t="shared" si="0"/>
        <v>-4187</v>
      </c>
      <c r="E23" s="104">
        <f t="shared" si="0"/>
        <v>-3698</v>
      </c>
      <c r="F23" s="104">
        <f t="shared" si="0"/>
        <v>-6216</v>
      </c>
      <c r="G23" s="112">
        <f t="shared" si="0"/>
        <v>-1655.9342880000024</v>
      </c>
      <c r="H23" s="112">
        <f t="shared" si="0"/>
        <v>-2910.5614574399988</v>
      </c>
      <c r="I23" s="112">
        <f t="shared" si="0"/>
        <v>-3035.9394894528041</v>
      </c>
      <c r="J23" s="112">
        <f t="shared" si="0"/>
        <v>-3116.89787583821</v>
      </c>
      <c r="K23" s="112">
        <f t="shared" si="0"/>
        <v>-3145.2333110731051</v>
      </c>
      <c r="L23" s="53"/>
      <c r="M23" s="53"/>
      <c r="N23" s="53"/>
      <c r="O23" s="71"/>
      <c r="P23" s="55"/>
      <c r="Q23" s="55"/>
      <c r="R23" s="55"/>
      <c r="S23" s="52"/>
      <c r="T23" s="52"/>
      <c r="U23" s="52"/>
      <c r="V23" s="52"/>
      <c r="W23" s="52"/>
      <c r="X23" s="52"/>
      <c r="Y23" s="52"/>
      <c r="Z23" s="52"/>
    </row>
    <row r="24" spans="1:26">
      <c r="A24" s="40" t="s">
        <v>84</v>
      </c>
      <c r="B24" s="104">
        <v>316</v>
      </c>
      <c r="C24" s="104">
        <v>254</v>
      </c>
      <c r="D24" s="104">
        <v>299</v>
      </c>
      <c r="E24" s="104">
        <v>645</v>
      </c>
      <c r="F24" s="104">
        <v>102</v>
      </c>
      <c r="G24" s="112">
        <f>-(Balance_Sheet!K16-Balance_Sheet!J16)+(Balance_Sheet!K29-Balance_Sheet!J29)</f>
        <v>716.36625177599944</v>
      </c>
      <c r="H24" s="112">
        <f>-(Balance_Sheet!K16-Balance_Sheet!J16)+(Balance_Sheet!K29-Balance_Sheet!J29)</f>
        <v>716.36625177599944</v>
      </c>
      <c r="I24" s="112">
        <f>-(Balance_Sheet!K16-Balance_Sheet!J16)+(Balance_Sheet!K29-Balance_Sheet!J29)</f>
        <v>716.36625177599944</v>
      </c>
      <c r="J24" s="112">
        <f>-(Balance_Sheet!K16-Balance_Sheet!J16)+(Balance_Sheet!K29-Balance_Sheet!J29)</f>
        <v>716.36625177599944</v>
      </c>
      <c r="K24" s="112">
        <f>-(Balance_Sheet!K16-Balance_Sheet!J16)+(Balance_Sheet!K29-Balance_Sheet!J29)</f>
        <v>716.36625177599944</v>
      </c>
      <c r="L24" s="53"/>
      <c r="M24" s="53"/>
      <c r="N24" s="53"/>
      <c r="O24" s="71"/>
      <c r="P24" s="55"/>
      <c r="Q24" s="55"/>
      <c r="R24" s="55"/>
      <c r="S24" s="52"/>
      <c r="T24" s="52"/>
      <c r="U24" s="52"/>
      <c r="V24" s="52"/>
      <c r="W24" s="52"/>
      <c r="X24" s="52"/>
      <c r="Y24" s="52"/>
      <c r="Z24" s="52"/>
    </row>
    <row r="25" spans="1:26">
      <c r="A25" s="85" t="s">
        <v>85</v>
      </c>
      <c r="B25" s="116">
        <v>7224</v>
      </c>
      <c r="C25" s="116">
        <v>9463</v>
      </c>
      <c r="D25" s="118">
        <v>11195</v>
      </c>
      <c r="E25" s="116">
        <v>11980</v>
      </c>
      <c r="F25" s="116">
        <v>14780</v>
      </c>
      <c r="G25" s="116">
        <f>SUM(G4:G24)</f>
        <v>18287.248275775997</v>
      </c>
      <c r="H25" s="116">
        <f>SUM(H4:H24)</f>
        <v>18913.156645375995</v>
      </c>
      <c r="I25" s="116">
        <f>SUM(I4:I24)</f>
        <v>21249.7258583648</v>
      </c>
      <c r="J25" s="116">
        <f>SUM(J4:J24)</f>
        <v>23706.950475518817</v>
      </c>
      <c r="K25" s="116">
        <f>SUM(K4:K24)</f>
        <v>26253.791096953923</v>
      </c>
      <c r="L25" s="53"/>
      <c r="M25" s="53"/>
      <c r="N25" s="53"/>
      <c r="O25" s="71"/>
      <c r="P25" s="55"/>
      <c r="Q25" s="55"/>
      <c r="R25" s="55"/>
      <c r="S25" s="52"/>
      <c r="T25" s="52"/>
      <c r="U25" s="52"/>
      <c r="V25" s="52"/>
      <c r="W25" s="52"/>
      <c r="X25" s="52"/>
      <c r="Y25" s="52"/>
      <c r="Z25" s="52"/>
    </row>
    <row r="26" spans="1:26">
      <c r="A26" s="40" t="s">
        <v>86</v>
      </c>
      <c r="B26" s="102" t="s">
        <v>26</v>
      </c>
      <c r="C26" s="102" t="s">
        <v>26</v>
      </c>
      <c r="D26" s="104" t="s">
        <v>26</v>
      </c>
      <c r="E26" s="99"/>
      <c r="F26" s="102"/>
      <c r="G26" s="112"/>
      <c r="H26" s="112"/>
      <c r="I26" s="112"/>
      <c r="J26" s="112"/>
      <c r="K26" s="112"/>
      <c r="L26" s="53"/>
      <c r="M26" s="53"/>
      <c r="N26" s="53"/>
      <c r="O26" s="71"/>
      <c r="P26" s="55"/>
      <c r="Q26" s="55"/>
      <c r="R26" s="55"/>
      <c r="S26" s="52"/>
      <c r="T26" s="52"/>
      <c r="U26" s="52"/>
      <c r="V26" s="52"/>
      <c r="W26" s="52"/>
      <c r="X26" s="52"/>
      <c r="Y26" s="52"/>
      <c r="Z26" s="52"/>
    </row>
    <row r="27" spans="1:26">
      <c r="A27" s="40" t="s">
        <v>87</v>
      </c>
      <c r="B27" s="104">
        <v>-220</v>
      </c>
      <c r="C27" s="104">
        <v>-389</v>
      </c>
      <c r="D27" s="104">
        <v>-267</v>
      </c>
      <c r="E27" s="104">
        <v>-300</v>
      </c>
      <c r="F27" s="104">
        <v>-508</v>
      </c>
      <c r="G27" s="112">
        <f>Table3[[#This Row],[2024]]*1.05</f>
        <v>-533.4</v>
      </c>
      <c r="H27" s="112">
        <f>Table3[[#This Row],[2025E]]*1.05</f>
        <v>-560.07000000000005</v>
      </c>
      <c r="I27" s="112">
        <f>Table3[[#This Row],[2026E]]*1.05</f>
        <v>-588.07350000000008</v>
      </c>
      <c r="J27" s="112">
        <f>Table3[[#This Row],[2027E]]*1.05</f>
        <v>-617.4771750000001</v>
      </c>
      <c r="K27" s="112">
        <f>Table3[[#This Row],[2028E]]*1.05</f>
        <v>-648.35103375000017</v>
      </c>
      <c r="L27" s="53"/>
      <c r="M27" s="53"/>
      <c r="N27" s="53"/>
      <c r="O27" s="71"/>
      <c r="P27" s="55"/>
      <c r="Q27" s="55"/>
      <c r="R27" s="55"/>
      <c r="S27" s="52"/>
      <c r="T27" s="52"/>
      <c r="U27" s="52"/>
      <c r="V27" s="52"/>
      <c r="W27" s="52"/>
      <c r="X27" s="52"/>
      <c r="Y27" s="52"/>
      <c r="Z27" s="52"/>
    </row>
    <row r="28" spans="1:26">
      <c r="A28" s="40" t="s">
        <v>88</v>
      </c>
      <c r="B28" s="104">
        <v>-198</v>
      </c>
      <c r="C28" s="104">
        <v>-294</v>
      </c>
      <c r="D28" s="104">
        <v>-239</v>
      </c>
      <c r="E28" s="104">
        <v>-347</v>
      </c>
      <c r="F28" s="104">
        <v>-108</v>
      </c>
      <c r="G28" s="112">
        <f>Table3[[#This Row],[2024]]*1.05</f>
        <v>-113.4</v>
      </c>
      <c r="H28" s="112">
        <f>Table3[[#This Row],[2025E]]*1.05</f>
        <v>-119.07000000000001</v>
      </c>
      <c r="I28" s="112">
        <f>Table3[[#This Row],[2026E]]*1.05</f>
        <v>-125.02350000000001</v>
      </c>
      <c r="J28" s="112">
        <f>Table3[[#This Row],[2027E]]*1.05</f>
        <v>-131.27467500000003</v>
      </c>
      <c r="K28" s="112">
        <f>Table3[[#This Row],[2028E]]*1.05</f>
        <v>-137.83840875000004</v>
      </c>
      <c r="L28" s="53"/>
      <c r="M28" s="53"/>
      <c r="N28" s="53"/>
      <c r="O28" s="71"/>
      <c r="P28" s="55"/>
      <c r="Q28" s="55"/>
      <c r="R28" s="55"/>
      <c r="S28" s="52"/>
      <c r="T28" s="52"/>
      <c r="U28" s="52"/>
      <c r="V28" s="52"/>
      <c r="W28" s="52"/>
      <c r="X28" s="52"/>
      <c r="Y28" s="52"/>
      <c r="Z28" s="52"/>
    </row>
    <row r="29" spans="1:26">
      <c r="A29" s="40" t="s">
        <v>89</v>
      </c>
      <c r="B29" s="104">
        <v>361</v>
      </c>
      <c r="C29" s="104">
        <v>83</v>
      </c>
      <c r="D29" s="104">
        <v>54</v>
      </c>
      <c r="E29" s="104">
        <v>87</v>
      </c>
      <c r="F29" s="104">
        <v>199</v>
      </c>
      <c r="G29" s="112">
        <f>Table3[[#This Row],[2024]]*1.05</f>
        <v>208.95000000000002</v>
      </c>
      <c r="H29" s="112">
        <f>Table3[[#This Row],[2025E]]*1.05</f>
        <v>219.39750000000004</v>
      </c>
      <c r="I29" s="112">
        <f>Table3[[#This Row],[2026E]]*1.05</f>
        <v>230.36737500000004</v>
      </c>
      <c r="J29" s="112">
        <f>Table3[[#This Row],[2027E]]*1.05</f>
        <v>241.88574375000005</v>
      </c>
      <c r="K29" s="112">
        <f>Table3[[#This Row],[2028E]]*1.05</f>
        <v>253.98003093750006</v>
      </c>
      <c r="L29" s="53"/>
      <c r="M29" s="53"/>
      <c r="N29" s="53"/>
      <c r="O29" s="71"/>
      <c r="P29" s="55"/>
      <c r="Q29" s="55"/>
      <c r="R29" s="55"/>
      <c r="S29" s="52"/>
      <c r="T29" s="52"/>
      <c r="U29" s="52"/>
      <c r="V29" s="52"/>
      <c r="W29" s="52"/>
      <c r="X29" s="52"/>
      <c r="Y29" s="52"/>
      <c r="Z29" s="52"/>
    </row>
    <row r="30" spans="1:26">
      <c r="A30" s="40" t="s">
        <v>90</v>
      </c>
      <c r="B30" s="104">
        <v>140</v>
      </c>
      <c r="C30" s="104">
        <v>291</v>
      </c>
      <c r="D30" s="104">
        <v>211</v>
      </c>
      <c r="E30" s="104">
        <v>191</v>
      </c>
      <c r="F30" s="104">
        <v>262</v>
      </c>
      <c r="G30" s="112">
        <f>Table3[[#This Row],[2024]]*1.05</f>
        <v>275.10000000000002</v>
      </c>
      <c r="H30" s="112">
        <f>Table3[[#This Row],[2025E]]*1.05</f>
        <v>288.85500000000002</v>
      </c>
      <c r="I30" s="112">
        <f>Table3[[#This Row],[2026E]]*1.05</f>
        <v>303.29775000000001</v>
      </c>
      <c r="J30" s="112">
        <f>Table3[[#This Row],[2027E]]*1.05</f>
        <v>318.46263750000003</v>
      </c>
      <c r="K30" s="112">
        <f>Table3[[#This Row],[2028E]]*1.05</f>
        <v>334.38576937500005</v>
      </c>
      <c r="L30" s="53"/>
      <c r="M30" s="53"/>
      <c r="N30" s="53"/>
      <c r="O30" s="71"/>
      <c r="P30" s="55"/>
      <c r="Q30" s="55"/>
      <c r="R30" s="55"/>
      <c r="S30" s="52"/>
      <c r="T30" s="52"/>
      <c r="U30" s="52"/>
      <c r="V30" s="52"/>
      <c r="W30" s="52"/>
      <c r="X30" s="52"/>
      <c r="Y30" s="52"/>
      <c r="Z30" s="52"/>
    </row>
    <row r="31" spans="1:26">
      <c r="A31" s="40" t="s">
        <v>91</v>
      </c>
      <c r="B31" s="104">
        <v>121</v>
      </c>
      <c r="C31" s="104">
        <v>296</v>
      </c>
      <c r="D31" s="104">
        <v>265</v>
      </c>
      <c r="E31" s="104">
        <v>157</v>
      </c>
      <c r="F31" s="104">
        <v>378</v>
      </c>
      <c r="G31" s="112">
        <f>Table3[[#This Row],[2024]]*1.05</f>
        <v>396.90000000000003</v>
      </c>
      <c r="H31" s="112">
        <f>Table3[[#This Row],[2025E]]*1.05</f>
        <v>416.74500000000006</v>
      </c>
      <c r="I31" s="112">
        <f>Table3[[#This Row],[2026E]]*1.05</f>
        <v>437.5822500000001</v>
      </c>
      <c r="J31" s="112">
        <f>Table3[[#This Row],[2027E]]*1.05</f>
        <v>459.46136250000012</v>
      </c>
      <c r="K31" s="112">
        <f>Table3[[#This Row],[2028E]]*1.05</f>
        <v>482.43443062500018</v>
      </c>
      <c r="L31" s="53"/>
      <c r="M31" s="53"/>
      <c r="N31" s="53"/>
      <c r="O31" s="71"/>
      <c r="P31" s="55"/>
      <c r="Q31" s="55"/>
      <c r="R31" s="55"/>
      <c r="S31" s="52"/>
      <c r="T31" s="52"/>
      <c r="U31" s="52"/>
      <c r="V31" s="52"/>
      <c r="W31" s="52"/>
      <c r="X31" s="52"/>
      <c r="Y31" s="52"/>
      <c r="Z31" s="52"/>
    </row>
    <row r="32" spans="1:26">
      <c r="A32" s="40" t="s">
        <v>92</v>
      </c>
      <c r="B32" s="104">
        <v>-339</v>
      </c>
      <c r="C32" s="104">
        <v>-407</v>
      </c>
      <c r="D32" s="104">
        <v>-442</v>
      </c>
      <c r="E32" s="104">
        <v>-371</v>
      </c>
      <c r="F32" s="104">
        <v>-474</v>
      </c>
      <c r="G32" s="112">
        <f>Table3[[#This Row],[2024]]*1.05</f>
        <v>-497.70000000000005</v>
      </c>
      <c r="H32" s="112">
        <f>Table3[[#This Row],[2025E]]*1.05</f>
        <v>-522.58500000000004</v>
      </c>
      <c r="I32" s="112">
        <f>Table3[[#This Row],[2026E]]*1.05</f>
        <v>-548.71425000000011</v>
      </c>
      <c r="J32" s="112">
        <f>Table3[[#This Row],[2027E]]*1.05</f>
        <v>-576.14996250000013</v>
      </c>
      <c r="K32" s="112">
        <f>Table3[[#This Row],[2028E]]*1.05</f>
        <v>-604.95746062500018</v>
      </c>
      <c r="L32" s="53"/>
      <c r="M32" s="53"/>
      <c r="N32" s="53"/>
      <c r="O32" s="71"/>
      <c r="P32" s="55"/>
      <c r="Q32" s="55"/>
      <c r="R32" s="55"/>
      <c r="S32" s="52"/>
      <c r="T32" s="52"/>
      <c r="U32" s="52"/>
      <c r="V32" s="52"/>
      <c r="W32" s="52"/>
      <c r="X32" s="52"/>
      <c r="Y32" s="52"/>
      <c r="Z32" s="52"/>
    </row>
    <row r="33" spans="1:26">
      <c r="A33" s="40" t="s">
        <v>93</v>
      </c>
      <c r="B33" s="104">
        <v>-369</v>
      </c>
      <c r="C33" s="104">
        <v>-407</v>
      </c>
      <c r="D33" s="104">
        <v>-655</v>
      </c>
      <c r="E33" s="104">
        <v>-717</v>
      </c>
      <c r="F33" s="104">
        <v>-720</v>
      </c>
      <c r="G33" s="112">
        <f>Table3[[#This Row],[2024]]*1.05</f>
        <v>-756</v>
      </c>
      <c r="H33" s="112">
        <f>Table3[[#This Row],[2025E]]*1.05</f>
        <v>-793.80000000000007</v>
      </c>
      <c r="I33" s="112">
        <f>Table3[[#This Row],[2026E]]*1.05</f>
        <v>-833.49000000000012</v>
      </c>
      <c r="J33" s="112">
        <f>Table3[[#This Row],[2027E]]*1.05</f>
        <v>-875.1645000000002</v>
      </c>
      <c r="K33" s="112">
        <f>Table3[[#This Row],[2028E]]*1.05</f>
        <v>-918.92272500000024</v>
      </c>
      <c r="L33" s="53"/>
      <c r="M33" s="53"/>
      <c r="N33" s="53"/>
      <c r="O33" s="71"/>
      <c r="P33" s="55"/>
      <c r="Q33" s="55"/>
      <c r="R33" s="55"/>
      <c r="S33" s="52"/>
      <c r="T33" s="52"/>
      <c r="U33" s="52"/>
      <c r="V33" s="52"/>
      <c r="W33" s="52"/>
      <c r="X33" s="52"/>
      <c r="Y33" s="52"/>
      <c r="Z33" s="52"/>
    </row>
    <row r="34" spans="1:26">
      <c r="A34" s="40" t="s">
        <v>94</v>
      </c>
      <c r="B34" s="104">
        <v>-214</v>
      </c>
      <c r="C34" s="104">
        <v>-228</v>
      </c>
      <c r="D34" s="104">
        <v>-88</v>
      </c>
      <c r="E34" s="104">
        <v>-89</v>
      </c>
      <c r="F34" s="104">
        <v>-42</v>
      </c>
      <c r="G34" s="112">
        <f>Table3[[#This Row],[2024]]*1.05</f>
        <v>-44.1</v>
      </c>
      <c r="H34" s="112">
        <f>Table3[[#This Row],[2025E]]*1.05</f>
        <v>-46.305000000000007</v>
      </c>
      <c r="I34" s="112">
        <f>Table3[[#This Row],[2026E]]*1.05</f>
        <v>-48.620250000000006</v>
      </c>
      <c r="J34" s="112">
        <f>Table3[[#This Row],[2027E]]*1.05</f>
        <v>-51.051262500000007</v>
      </c>
      <c r="K34" s="112">
        <f>Table3[[#This Row],[2028E]]*1.05</f>
        <v>-53.603825625000013</v>
      </c>
      <c r="L34" s="53"/>
      <c r="M34" s="53"/>
      <c r="N34" s="53"/>
      <c r="O34" s="71"/>
      <c r="P34" s="55"/>
      <c r="Q34" s="55"/>
      <c r="R34" s="55"/>
      <c r="S34" s="52"/>
      <c r="T34" s="52"/>
      <c r="U34" s="52"/>
      <c r="V34" s="52"/>
      <c r="W34" s="52"/>
      <c r="X34" s="52"/>
      <c r="Y34" s="52"/>
      <c r="Z34" s="52"/>
    </row>
    <row r="35" spans="1:26">
      <c r="A35" s="40" t="s">
        <v>113</v>
      </c>
      <c r="B35" s="104">
        <v>0</v>
      </c>
      <c r="C35" s="104">
        <v>186</v>
      </c>
      <c r="D35" s="104">
        <v>7</v>
      </c>
      <c r="E35" s="104">
        <v>44</v>
      </c>
      <c r="F35" s="104">
        <v>125</v>
      </c>
      <c r="G35" s="112">
        <f>Table3[[#This Row],[2024]]*1.05</f>
        <v>131.25</v>
      </c>
      <c r="H35" s="112">
        <f>Table3[[#This Row],[2025E]]*1.05</f>
        <v>137.8125</v>
      </c>
      <c r="I35" s="112">
        <f>Table3[[#This Row],[2026E]]*1.05</f>
        <v>144.703125</v>
      </c>
      <c r="J35" s="112">
        <f>Table3[[#This Row],[2027E]]*1.05</f>
        <v>151.93828125000002</v>
      </c>
      <c r="K35" s="112">
        <f>Table3[[#This Row],[2028E]]*1.05</f>
        <v>159.53519531250004</v>
      </c>
      <c r="L35" s="53"/>
      <c r="M35" s="53"/>
      <c r="N35" s="53"/>
      <c r="O35" s="71"/>
      <c r="P35" s="55"/>
      <c r="Q35" s="55"/>
      <c r="R35" s="55"/>
      <c r="S35" s="52"/>
      <c r="T35" s="52"/>
      <c r="U35" s="52"/>
      <c r="V35" s="52"/>
      <c r="W35" s="52"/>
      <c r="X35" s="52"/>
      <c r="Y35" s="52"/>
      <c r="Z35" s="52"/>
    </row>
    <row r="36" spans="1:26">
      <c r="A36" s="40" t="s">
        <v>95</v>
      </c>
      <c r="B36" s="104">
        <v>-989</v>
      </c>
      <c r="C36" s="104">
        <v>-4436</v>
      </c>
      <c r="D36" s="104">
        <v>-313</v>
      </c>
      <c r="E36" s="104">
        <v>0</v>
      </c>
      <c r="F36" s="104">
        <v>-2511</v>
      </c>
      <c r="G36" s="112">
        <v>0</v>
      </c>
      <c r="H36" s="112">
        <v>0</v>
      </c>
      <c r="I36" s="112">
        <v>0</v>
      </c>
      <c r="J36" s="112">
        <v>0</v>
      </c>
      <c r="K36" s="112">
        <v>0</v>
      </c>
      <c r="L36" s="53"/>
      <c r="M36" s="53"/>
      <c r="N36" s="53"/>
      <c r="O36" s="71"/>
      <c r="P36" s="55"/>
      <c r="Q36" s="55"/>
      <c r="R36" s="55"/>
      <c r="S36" s="52"/>
      <c r="T36" s="52"/>
      <c r="U36" s="52"/>
      <c r="V36" s="52"/>
      <c r="W36" s="52"/>
      <c r="X36" s="52"/>
      <c r="Y36" s="52"/>
      <c r="Z36" s="52"/>
    </row>
    <row r="37" spans="1:26">
      <c r="A37" s="40" t="s">
        <v>96</v>
      </c>
      <c r="B37" s="104">
        <v>-175</v>
      </c>
      <c r="C37" s="104">
        <v>0</v>
      </c>
      <c r="D37" s="104">
        <v>0</v>
      </c>
      <c r="E37" s="104">
        <v>0</v>
      </c>
      <c r="F37" s="104">
        <v>0</v>
      </c>
      <c r="G37" s="112">
        <v>0</v>
      </c>
      <c r="H37" s="112">
        <v>0</v>
      </c>
      <c r="I37" s="112">
        <v>0</v>
      </c>
      <c r="J37" s="112">
        <v>0</v>
      </c>
      <c r="K37" s="112">
        <v>0</v>
      </c>
      <c r="L37" s="53"/>
      <c r="M37" s="53"/>
      <c r="N37" s="53"/>
      <c r="O37" s="71"/>
      <c r="P37" s="55"/>
      <c r="Q37" s="55"/>
      <c r="R37" s="55"/>
      <c r="S37" s="52"/>
      <c r="T37" s="52"/>
      <c r="U37" s="52"/>
      <c r="V37" s="52"/>
      <c r="W37" s="52"/>
      <c r="X37" s="52"/>
      <c r="Y37" s="52"/>
      <c r="Z37" s="52"/>
    </row>
    <row r="38" spans="1:26">
      <c r="A38" s="40" t="s">
        <v>97</v>
      </c>
      <c r="B38" s="104">
        <v>3</v>
      </c>
      <c r="C38" s="104">
        <v>33</v>
      </c>
      <c r="D38" s="104">
        <v>-3</v>
      </c>
      <c r="E38" s="104">
        <v>-6</v>
      </c>
      <c r="F38" s="104">
        <v>-3</v>
      </c>
      <c r="G38" s="112">
        <v>-3</v>
      </c>
      <c r="H38" s="112">
        <v>-3</v>
      </c>
      <c r="I38" s="112">
        <v>-3</v>
      </c>
      <c r="J38" s="112">
        <v>-3</v>
      </c>
      <c r="K38" s="112">
        <v>-3</v>
      </c>
      <c r="L38" s="53"/>
      <c r="M38" s="53"/>
      <c r="N38" s="53"/>
      <c r="O38" s="71"/>
      <c r="P38" s="55"/>
      <c r="Q38" s="55"/>
      <c r="R38" s="55"/>
      <c r="S38" s="52"/>
      <c r="T38" s="52"/>
      <c r="U38" s="52"/>
      <c r="V38" s="52"/>
      <c r="W38" s="52"/>
      <c r="X38" s="52"/>
      <c r="Y38" s="52"/>
      <c r="Z38" s="52"/>
    </row>
    <row r="39" spans="1:26">
      <c r="A39" s="85" t="s">
        <v>98</v>
      </c>
      <c r="B39" s="116">
        <v>-1879</v>
      </c>
      <c r="C39" s="116">
        <v>-5272</v>
      </c>
      <c r="D39" s="118">
        <v>-1470</v>
      </c>
      <c r="E39" s="116">
        <v>-1351</v>
      </c>
      <c r="F39" s="116">
        <v>-3402</v>
      </c>
      <c r="G39" s="116">
        <f>SUM(G27:G38)</f>
        <v>-935.39999999999986</v>
      </c>
      <c r="H39" s="116">
        <f>SUM(H27:H38)</f>
        <v>-982.02000000000021</v>
      </c>
      <c r="I39" s="116">
        <f>SUM(I27:I38)</f>
        <v>-1030.971</v>
      </c>
      <c r="J39" s="116">
        <f>SUM(J27:J38)</f>
        <v>-1082.3695500000001</v>
      </c>
      <c r="K39" s="116">
        <f>SUM(K27:K38)</f>
        <v>-1136.3380275000004</v>
      </c>
      <c r="L39" s="53"/>
      <c r="M39" s="53"/>
      <c r="N39" s="53"/>
      <c r="O39" s="71"/>
      <c r="P39" s="55"/>
      <c r="Q39" s="55"/>
      <c r="R39" s="55"/>
      <c r="S39" s="52"/>
      <c r="T39" s="52"/>
      <c r="U39" s="52"/>
      <c r="V39" s="52"/>
      <c r="W39" s="52"/>
      <c r="X39" s="52"/>
      <c r="Y39" s="52"/>
      <c r="Z39" s="52"/>
    </row>
    <row r="40" spans="1:26">
      <c r="A40" s="40" t="s">
        <v>99</v>
      </c>
      <c r="B40" s="119" t="s">
        <v>26</v>
      </c>
      <c r="C40" s="102" t="s">
        <v>26</v>
      </c>
      <c r="D40" s="104" t="s">
        <v>26</v>
      </c>
      <c r="E40" s="99"/>
      <c r="F40" s="104"/>
      <c r="G40" s="112"/>
      <c r="H40" s="112"/>
      <c r="I40" s="112"/>
      <c r="J40" s="112"/>
      <c r="K40" s="112"/>
      <c r="L40" s="53"/>
      <c r="M40" s="53"/>
      <c r="N40" s="53"/>
      <c r="O40" s="71"/>
      <c r="P40" s="55"/>
      <c r="Q40" s="55"/>
      <c r="R40" s="55"/>
      <c r="S40" s="52"/>
      <c r="T40" s="52"/>
      <c r="U40" s="52"/>
      <c r="V40" s="52"/>
      <c r="W40" s="52"/>
      <c r="X40" s="52"/>
      <c r="Y40" s="52"/>
      <c r="Z40" s="52"/>
    </row>
    <row r="41" spans="1:26">
      <c r="A41" s="40" t="s">
        <v>100</v>
      </c>
      <c r="B41" s="104">
        <v>-4473</v>
      </c>
      <c r="C41" s="104">
        <v>-5904</v>
      </c>
      <c r="D41" s="104">
        <v>-8753</v>
      </c>
      <c r="E41" s="104">
        <v>-9032</v>
      </c>
      <c r="F41" s="104">
        <v>-11035</v>
      </c>
      <c r="G41" s="112">
        <f>Table3[[#This Row],[2024]]-G42</f>
        <v>-6652.9525959999992</v>
      </c>
      <c r="H41" s="112">
        <f>Table3[[#This Row],[2024]]-H42</f>
        <v>-5986.8666717760007</v>
      </c>
      <c r="I41" s="112">
        <f>Table3[[#This Row],[2024]]-I42</f>
        <v>-5324.9047490828807</v>
      </c>
      <c r="J41" s="112">
        <f>Table3[[#This Row],[2024]]-J42</f>
        <v>-4635.6346159496688</v>
      </c>
      <c r="K41" s="112">
        <f>Table3[[#This Row],[2024]]-K42</f>
        <v>-3929.3634368804587</v>
      </c>
      <c r="L41" s="53"/>
      <c r="M41" s="53"/>
      <c r="N41" s="53"/>
      <c r="O41" s="71"/>
      <c r="P41" s="55"/>
      <c r="Q41" s="55"/>
      <c r="R41" s="55"/>
      <c r="S41" s="52"/>
      <c r="T41" s="52"/>
      <c r="U41" s="52"/>
      <c r="V41" s="52"/>
      <c r="W41" s="52"/>
      <c r="X41" s="52"/>
      <c r="Y41" s="52"/>
      <c r="Z41" s="52"/>
    </row>
    <row r="42" spans="1:26">
      <c r="A42" s="40" t="s">
        <v>101</v>
      </c>
      <c r="B42" s="104">
        <v>-1605</v>
      </c>
      <c r="C42" s="104">
        <v>-1741</v>
      </c>
      <c r="D42" s="104">
        <v>-1903</v>
      </c>
      <c r="E42" s="104">
        <v>-2158</v>
      </c>
      <c r="F42" s="104">
        <v>-2448</v>
      </c>
      <c r="G42" s="112">
        <f>-'Profit Loss'!G20*Assumptions!B39</f>
        <v>-4382.0474040000008</v>
      </c>
      <c r="H42" s="112">
        <f>-'Profit Loss'!H20*Assumptions!B39</f>
        <v>-5048.1333282239993</v>
      </c>
      <c r="I42" s="112">
        <f>-'Profit Loss'!I20*Assumptions!B39</f>
        <v>-5710.0952509171193</v>
      </c>
      <c r="J42" s="112">
        <f>-'Profit Loss'!J20*Assumptions!B39</f>
        <v>-6399.3653840503312</v>
      </c>
      <c r="K42" s="112">
        <f>-'Profit Loss'!K20*Assumptions!B39</f>
        <v>-7105.6365631195413</v>
      </c>
      <c r="L42" s="53"/>
      <c r="M42" s="53"/>
      <c r="N42" s="53"/>
      <c r="O42" s="71"/>
      <c r="P42" s="55"/>
      <c r="Q42" s="55"/>
      <c r="R42" s="55"/>
      <c r="S42" s="52"/>
      <c r="T42" s="52"/>
      <c r="U42" s="52"/>
      <c r="V42" s="52"/>
      <c r="W42" s="52"/>
      <c r="X42" s="52"/>
      <c r="Y42" s="52"/>
      <c r="Z42" s="52"/>
    </row>
    <row r="43" spans="1:26">
      <c r="A43" s="40" t="s">
        <v>102</v>
      </c>
      <c r="B43" s="104">
        <v>3959</v>
      </c>
      <c r="C43" s="104">
        <v>2024</v>
      </c>
      <c r="D43" s="104">
        <v>1123</v>
      </c>
      <c r="E43" s="104">
        <v>1554</v>
      </c>
      <c r="F43" s="104">
        <v>3960</v>
      </c>
      <c r="G43" s="112">
        <f>G68</f>
        <v>0</v>
      </c>
      <c r="H43" s="112">
        <f>H68</f>
        <v>0</v>
      </c>
      <c r="I43" s="112">
        <f>I68</f>
        <v>0</v>
      </c>
      <c r="J43" s="112">
        <f>J68</f>
        <v>0</v>
      </c>
      <c r="K43" s="112">
        <f>K68</f>
        <v>0</v>
      </c>
      <c r="L43" s="53"/>
      <c r="M43" s="53"/>
      <c r="N43" s="53"/>
      <c r="O43" s="71"/>
      <c r="P43" s="55"/>
      <c r="Q43" s="55"/>
      <c r="R43" s="55"/>
      <c r="S43" s="52"/>
      <c r="T43" s="52"/>
      <c r="U43" s="52"/>
      <c r="V43" s="52"/>
      <c r="W43" s="52"/>
      <c r="X43" s="52"/>
      <c r="Y43" s="52"/>
      <c r="Z43" s="52"/>
    </row>
    <row r="44" spans="1:26">
      <c r="A44" s="40" t="s">
        <v>2244</v>
      </c>
      <c r="B44" s="104">
        <f>'Profit Loss'!B4*5%</f>
        <v>765.05000000000007</v>
      </c>
      <c r="C44" s="104">
        <f>'Profit Loss'!C4*5%</f>
        <v>944.2</v>
      </c>
      <c r="D44" s="104">
        <f>'Profit Loss'!D4*5%</f>
        <v>1111.8500000000001</v>
      </c>
      <c r="E44" s="104">
        <f>'Profit Loss'!E4*5%</f>
        <v>1254.9000000000001</v>
      </c>
      <c r="F44" s="104">
        <f>'Profit Loss'!F4*5%</f>
        <v>1408.3500000000001</v>
      </c>
      <c r="G44" s="112">
        <f>'Profit Loss'!G4*5%</f>
        <v>1577.3520000000003</v>
      </c>
      <c r="H44" s="112">
        <f>'Profit Loss'!H4*5%</f>
        <v>1782.4077600000001</v>
      </c>
      <c r="I44" s="112">
        <f>'Profit Loss'!I4*5%</f>
        <v>1996.2966912000004</v>
      </c>
      <c r="J44" s="112">
        <f>'Profit Loss'!J4*5%</f>
        <v>2215.8893272320006</v>
      </c>
      <c r="K44" s="112">
        <f>'Profit Loss'!K4*5%</f>
        <v>2437.4782599552009</v>
      </c>
      <c r="L44" s="53"/>
      <c r="M44" s="53"/>
      <c r="N44" s="53"/>
      <c r="O44" s="71"/>
      <c r="P44" s="55"/>
      <c r="Q44" s="55"/>
      <c r="R44" s="55"/>
      <c r="S44" s="52"/>
      <c r="T44" s="52"/>
      <c r="U44" s="52"/>
      <c r="V44" s="52"/>
      <c r="W44" s="52"/>
      <c r="X44" s="52"/>
      <c r="Y44" s="52"/>
      <c r="Z44" s="52"/>
    </row>
    <row r="45" spans="1:26">
      <c r="A45" s="40" t="s">
        <v>2245</v>
      </c>
      <c r="B45" s="104">
        <f t="shared" ref="B45:K45" si="1">B58+B25+B39</f>
        <v>14314</v>
      </c>
      <c r="C45" s="104">
        <f t="shared" si="1"/>
        <v>16610</v>
      </c>
      <c r="D45" s="104">
        <f t="shared" si="1"/>
        <v>19627</v>
      </c>
      <c r="E45" s="104">
        <f t="shared" si="1"/>
        <v>19825</v>
      </c>
      <c r="F45" s="104">
        <f t="shared" si="1"/>
        <v>21843</v>
      </c>
      <c r="G45" s="112">
        <f t="shared" si="1"/>
        <v>25793.848275775996</v>
      </c>
      <c r="H45" s="112">
        <f t="shared" si="1"/>
        <v>27363.484645375996</v>
      </c>
      <c r="I45" s="112">
        <f t="shared" si="1"/>
        <v>29443.632098364797</v>
      </c>
      <c r="J45" s="112">
        <f t="shared" si="1"/>
        <v>31633.033484318818</v>
      </c>
      <c r="K45" s="112">
        <f t="shared" si="1"/>
        <v>33903.650454721916</v>
      </c>
      <c r="L45" s="53"/>
      <c r="M45" s="53"/>
      <c r="N45" s="53"/>
      <c r="O45" s="71"/>
      <c r="P45" s="55"/>
      <c r="Q45" s="55"/>
      <c r="R45" s="55"/>
      <c r="S45" s="52"/>
      <c r="T45" s="52"/>
      <c r="U45" s="52"/>
      <c r="V45" s="52"/>
      <c r="W45" s="52"/>
      <c r="X45" s="52"/>
      <c r="Y45" s="52"/>
      <c r="Z45" s="52"/>
    </row>
    <row r="46" spans="1:26">
      <c r="A46" s="40" t="s">
        <v>2252</v>
      </c>
      <c r="B46" s="104">
        <f t="shared" ref="B46:K46" si="2">MAX(0, B45-B44)</f>
        <v>13548.95</v>
      </c>
      <c r="C46" s="104">
        <f t="shared" si="2"/>
        <v>15665.8</v>
      </c>
      <c r="D46" s="104">
        <f t="shared" si="2"/>
        <v>18515.150000000001</v>
      </c>
      <c r="E46" s="104">
        <f t="shared" si="2"/>
        <v>18570.099999999999</v>
      </c>
      <c r="F46" s="104">
        <f t="shared" si="2"/>
        <v>20434.650000000001</v>
      </c>
      <c r="G46" s="112">
        <f t="shared" si="2"/>
        <v>24216.496275775997</v>
      </c>
      <c r="H46" s="112">
        <f t="shared" si="2"/>
        <v>25581.076885375995</v>
      </c>
      <c r="I46" s="112">
        <f t="shared" si="2"/>
        <v>27447.335407164795</v>
      </c>
      <c r="J46" s="112">
        <f t="shared" si="2"/>
        <v>29417.144157086816</v>
      </c>
      <c r="K46" s="112">
        <f t="shared" si="2"/>
        <v>31466.172194766714</v>
      </c>
      <c r="L46" s="469"/>
      <c r="M46" s="53"/>
      <c r="N46" s="53"/>
      <c r="O46" s="71"/>
      <c r="P46" s="55"/>
      <c r="Q46" s="55"/>
      <c r="R46" s="55"/>
      <c r="S46" s="52"/>
      <c r="T46" s="52"/>
      <c r="U46" s="52"/>
      <c r="V46" s="52"/>
      <c r="W46" s="52"/>
      <c r="X46" s="52"/>
      <c r="Y46" s="52"/>
      <c r="Z46" s="52"/>
    </row>
    <row r="47" spans="1:26">
      <c r="A47" s="40" t="s">
        <v>2251</v>
      </c>
      <c r="B47" s="104">
        <f t="shared" ref="B47:K47" si="3">-B46-B69</f>
        <v>-13548.95</v>
      </c>
      <c r="C47" s="104">
        <f t="shared" si="3"/>
        <v>-15015.8</v>
      </c>
      <c r="D47" s="104">
        <f t="shared" si="3"/>
        <v>-17791.150000000001</v>
      </c>
      <c r="E47" s="104">
        <f t="shared" si="3"/>
        <v>-18570.099999999999</v>
      </c>
      <c r="F47" s="104">
        <f t="shared" si="3"/>
        <v>-19098.650000000001</v>
      </c>
      <c r="G47" s="112">
        <f t="shared" si="3"/>
        <v>-23216.496275775997</v>
      </c>
      <c r="H47" s="112">
        <f t="shared" si="3"/>
        <v>-24581.076885375995</v>
      </c>
      <c r="I47" s="112">
        <f t="shared" si="3"/>
        <v>-26447.335407164795</v>
      </c>
      <c r="J47" s="112">
        <f t="shared" si="3"/>
        <v>-28417.144157086816</v>
      </c>
      <c r="K47" s="112">
        <f t="shared" si="3"/>
        <v>-30466.172194766714</v>
      </c>
      <c r="L47" s="53"/>
      <c r="M47" s="53"/>
      <c r="N47" s="53"/>
      <c r="O47" s="71"/>
      <c r="P47" s="55"/>
      <c r="Q47" s="55"/>
      <c r="R47" s="55"/>
      <c r="S47" s="52"/>
      <c r="T47" s="52"/>
      <c r="U47" s="52"/>
      <c r="V47" s="52"/>
      <c r="W47" s="52"/>
      <c r="X47" s="52"/>
      <c r="Y47" s="52"/>
      <c r="Z47" s="52"/>
    </row>
    <row r="48" spans="1:26">
      <c r="A48" s="40" t="s">
        <v>103</v>
      </c>
      <c r="B48" s="104">
        <v>0</v>
      </c>
      <c r="C48" s="104">
        <v>-650</v>
      </c>
      <c r="D48" s="104">
        <v>-724</v>
      </c>
      <c r="E48" s="104">
        <v>0</v>
      </c>
      <c r="F48" s="104">
        <v>-1336</v>
      </c>
      <c r="G48" s="112">
        <f>G69</f>
        <v>-1000</v>
      </c>
      <c r="H48" s="112">
        <f>H69</f>
        <v>-1000</v>
      </c>
      <c r="I48" s="112">
        <f>I69</f>
        <v>-1000</v>
      </c>
      <c r="J48" s="112">
        <f>J69</f>
        <v>-1000</v>
      </c>
      <c r="K48" s="112">
        <f>K69</f>
        <v>-1000</v>
      </c>
      <c r="L48" s="53"/>
      <c r="M48" s="53"/>
      <c r="N48" s="53"/>
      <c r="O48" s="71"/>
      <c r="P48" s="55"/>
      <c r="Q48" s="55"/>
      <c r="R48" s="55"/>
      <c r="S48" s="52"/>
      <c r="T48" s="52"/>
      <c r="U48" s="52"/>
      <c r="V48" s="52"/>
      <c r="W48" s="52"/>
      <c r="X48" s="52"/>
      <c r="Y48" s="52"/>
      <c r="Z48" s="52"/>
    </row>
    <row r="49" spans="1:26">
      <c r="A49" s="40" t="s">
        <v>104</v>
      </c>
      <c r="B49" s="104">
        <v>-49</v>
      </c>
      <c r="C49" s="104">
        <v>0</v>
      </c>
      <c r="D49" s="104">
        <v>-4</v>
      </c>
      <c r="E49" s="104">
        <v>0</v>
      </c>
      <c r="F49" s="104">
        <v>0</v>
      </c>
      <c r="G49" s="112">
        <v>0</v>
      </c>
      <c r="H49" s="112">
        <v>0</v>
      </c>
      <c r="I49" s="112">
        <v>0</v>
      </c>
      <c r="J49" s="112">
        <v>0</v>
      </c>
      <c r="K49" s="112">
        <v>0</v>
      </c>
      <c r="L49" s="53"/>
      <c r="M49" s="53"/>
      <c r="N49" s="53"/>
      <c r="O49" s="71"/>
      <c r="P49" s="55"/>
      <c r="Q49" s="55"/>
      <c r="R49" s="55"/>
      <c r="S49" s="52"/>
      <c r="T49" s="52"/>
      <c r="U49" s="52"/>
      <c r="V49" s="52"/>
      <c r="W49" s="52"/>
      <c r="X49" s="52"/>
      <c r="Y49" s="52"/>
      <c r="Z49" s="52"/>
    </row>
    <row r="50" spans="1:26" ht="18" customHeight="1">
      <c r="A50" s="40" t="s">
        <v>114</v>
      </c>
      <c r="B50" s="104">
        <v>0</v>
      </c>
      <c r="C50" s="104">
        <v>-133</v>
      </c>
      <c r="D50" s="104">
        <v>0</v>
      </c>
      <c r="E50" s="104">
        <v>0</v>
      </c>
      <c r="F50" s="104">
        <v>0</v>
      </c>
      <c r="G50" s="112">
        <v>0</v>
      </c>
      <c r="H50" s="112">
        <v>0</v>
      </c>
      <c r="I50" s="112">
        <v>0</v>
      </c>
      <c r="J50" s="112">
        <v>0</v>
      </c>
      <c r="K50" s="112">
        <v>0</v>
      </c>
      <c r="L50" s="53"/>
      <c r="M50" s="53"/>
      <c r="N50" s="53"/>
      <c r="O50" s="71"/>
      <c r="P50" s="55"/>
      <c r="Q50" s="55"/>
      <c r="R50" s="55"/>
      <c r="S50" s="52"/>
      <c r="T50" s="52"/>
      <c r="U50" s="52"/>
      <c r="V50" s="52"/>
      <c r="W50" s="52"/>
      <c r="X50" s="52"/>
      <c r="Y50" s="52"/>
      <c r="Z50" s="52"/>
    </row>
    <row r="51" spans="1:26">
      <c r="A51" s="40" t="s">
        <v>105</v>
      </c>
      <c r="B51" s="104">
        <v>0</v>
      </c>
      <c r="C51" s="104">
        <v>-64</v>
      </c>
      <c r="D51" s="104">
        <v>0</v>
      </c>
      <c r="E51" s="104">
        <v>0</v>
      </c>
      <c r="F51" s="104">
        <v>0</v>
      </c>
      <c r="G51" s="112">
        <v>0</v>
      </c>
      <c r="H51" s="112">
        <v>0</v>
      </c>
      <c r="I51" s="112">
        <v>0</v>
      </c>
      <c r="J51" s="112">
        <v>0</v>
      </c>
      <c r="K51" s="112">
        <v>0</v>
      </c>
      <c r="L51" s="53"/>
      <c r="M51" s="53"/>
      <c r="N51" s="53"/>
      <c r="O51" s="71"/>
      <c r="P51" s="55"/>
      <c r="Q51" s="55"/>
      <c r="R51" s="55"/>
      <c r="S51" s="52"/>
      <c r="T51" s="52"/>
      <c r="U51" s="52"/>
      <c r="V51" s="52"/>
      <c r="W51" s="52"/>
      <c r="X51" s="52"/>
      <c r="Y51" s="52"/>
      <c r="Z51" s="52"/>
    </row>
    <row r="52" spans="1:26">
      <c r="A52" s="40" t="s">
        <v>106</v>
      </c>
      <c r="B52" s="104">
        <v>-150</v>
      </c>
      <c r="C52" s="104">
        <v>-133</v>
      </c>
      <c r="D52" s="104">
        <v>-141</v>
      </c>
      <c r="E52" s="104">
        <v>-89</v>
      </c>
      <c r="F52" s="104">
        <v>-178</v>
      </c>
      <c r="G52" s="112">
        <f>Table3[[#This Row],[2024]]*1.05</f>
        <v>-186.9</v>
      </c>
      <c r="H52" s="112">
        <f>Table3[[#This Row],[2025E]]*1.05</f>
        <v>-196.245</v>
      </c>
      <c r="I52" s="112">
        <f>Table3[[#This Row],[2026E]]*1.05</f>
        <v>-206.05725000000001</v>
      </c>
      <c r="J52" s="112">
        <f>Table3[[#This Row],[2027E]]*1.05</f>
        <v>-216.36011250000001</v>
      </c>
      <c r="K52" s="112">
        <f>Table3[[#This Row],[2028E]]*1.05</f>
        <v>-227.17811812500003</v>
      </c>
      <c r="L52" s="53"/>
      <c r="M52" s="53"/>
      <c r="N52" s="53"/>
      <c r="O52" s="71"/>
      <c r="P52" s="55"/>
      <c r="Q52" s="55"/>
      <c r="R52" s="55"/>
      <c r="S52" s="52"/>
      <c r="T52" s="52"/>
      <c r="U52" s="52"/>
      <c r="V52" s="52"/>
      <c r="W52" s="52"/>
      <c r="X52" s="52"/>
      <c r="Y52" s="52"/>
      <c r="Z52" s="52"/>
    </row>
    <row r="53" spans="1:26">
      <c r="A53" s="40" t="s">
        <v>107</v>
      </c>
      <c r="B53" s="104">
        <v>97</v>
      </c>
      <c r="C53" s="104">
        <v>61</v>
      </c>
      <c r="D53" s="104">
        <v>90</v>
      </c>
      <c r="E53" s="104">
        <v>237</v>
      </c>
      <c r="F53" s="104">
        <v>224</v>
      </c>
      <c r="G53" s="112">
        <f>Table3[[#This Row],[2024]]*1.05</f>
        <v>235.20000000000002</v>
      </c>
      <c r="H53" s="112">
        <f>Table3[[#This Row],[2025E]]*1.05</f>
        <v>246.96000000000004</v>
      </c>
      <c r="I53" s="112">
        <f>Table3[[#This Row],[2026E]]*1.05</f>
        <v>259.30800000000005</v>
      </c>
      <c r="J53" s="112">
        <f>Table3[[#This Row],[2027E]]*1.05</f>
        <v>272.27340000000004</v>
      </c>
      <c r="K53" s="112">
        <f>Table3[[#This Row],[2028E]]*1.05</f>
        <v>285.88707000000005</v>
      </c>
      <c r="L53" s="53"/>
      <c r="M53" s="53"/>
      <c r="N53" s="53"/>
      <c r="O53" s="71"/>
      <c r="P53" s="55"/>
      <c r="Q53" s="55"/>
      <c r="R53" s="55"/>
      <c r="S53" s="52"/>
      <c r="T53" s="52"/>
      <c r="U53" s="52"/>
      <c r="V53" s="52"/>
      <c r="W53" s="52"/>
      <c r="X53" s="52"/>
      <c r="Y53" s="52"/>
      <c r="Z53" s="52"/>
    </row>
    <row r="54" spans="1:26">
      <c r="A54" s="40" t="s">
        <v>108</v>
      </c>
      <c r="B54" s="104">
        <v>69</v>
      </c>
      <c r="C54" s="104">
        <v>-15</v>
      </c>
      <c r="D54" s="104">
        <v>-16</v>
      </c>
      <c r="E54" s="104">
        <v>0</v>
      </c>
      <c r="F54" s="104">
        <v>-23</v>
      </c>
      <c r="G54" s="112">
        <v>-23</v>
      </c>
      <c r="H54" s="112">
        <v>-23</v>
      </c>
      <c r="I54" s="112">
        <v>-23</v>
      </c>
      <c r="J54" s="112">
        <v>-23</v>
      </c>
      <c r="K54" s="112">
        <v>-23</v>
      </c>
      <c r="L54" s="53"/>
      <c r="M54" s="53"/>
      <c r="N54" s="53"/>
      <c r="O54" s="71"/>
      <c r="P54" s="55"/>
      <c r="Q54" s="55"/>
      <c r="R54" s="55"/>
      <c r="S54" s="52"/>
      <c r="T54" s="52"/>
      <c r="U54" s="52"/>
      <c r="V54" s="52"/>
      <c r="W54" s="52"/>
      <c r="X54" s="52"/>
      <c r="Y54" s="52"/>
      <c r="Z54" s="52"/>
    </row>
    <row r="55" spans="1:26">
      <c r="A55" s="85" t="s">
        <v>109</v>
      </c>
      <c r="B55" s="116">
        <v>-2152</v>
      </c>
      <c r="C55" s="116">
        <v>-6555</v>
      </c>
      <c r="D55" s="116">
        <v>-10328</v>
      </c>
      <c r="E55" s="116">
        <v>-9488</v>
      </c>
      <c r="F55" s="116">
        <v>-10836</v>
      </c>
      <c r="G55" s="116">
        <f>-SUM(G41:G54)</f>
        <v>-16361.500275775994</v>
      </c>
      <c r="H55" s="116">
        <f>-SUM(H41:H54)</f>
        <v>-18138.607405375998</v>
      </c>
      <c r="I55" s="116">
        <f>-SUM(I41:I54)</f>
        <v>-20435.179539564797</v>
      </c>
      <c r="J55" s="116">
        <f>-SUM(J41:J54)</f>
        <v>-22846.836099050823</v>
      </c>
      <c r="K55" s="116">
        <f>-SUM(K41:K54)</f>
        <v>-25341.837666552117</v>
      </c>
      <c r="L55" s="71"/>
      <c r="M55" s="71"/>
      <c r="N55" s="71"/>
      <c r="O55" s="71"/>
      <c r="P55" s="55"/>
      <c r="Q55" s="55"/>
      <c r="R55" s="55"/>
      <c r="S55" s="52"/>
      <c r="T55" s="52"/>
      <c r="U55" s="52"/>
      <c r="V55" s="52"/>
      <c r="W55" s="52"/>
      <c r="X55" s="52"/>
      <c r="Y55" s="52"/>
      <c r="Z55" s="52"/>
    </row>
    <row r="56" spans="1:26">
      <c r="A56" s="28" t="s">
        <v>110</v>
      </c>
      <c r="B56" s="104">
        <v>257</v>
      </c>
      <c r="C56" s="104">
        <v>-153</v>
      </c>
      <c r="D56" s="104">
        <v>-103</v>
      </c>
      <c r="E56" s="104">
        <v>128</v>
      </c>
      <c r="F56" s="104">
        <v>-199</v>
      </c>
      <c r="G56" s="112">
        <v>0</v>
      </c>
      <c r="H56" s="112">
        <v>0</v>
      </c>
      <c r="I56" s="112">
        <v>0</v>
      </c>
      <c r="J56" s="112">
        <v>0</v>
      </c>
      <c r="K56" s="112">
        <v>0</v>
      </c>
      <c r="L56" s="71"/>
      <c r="M56" s="71"/>
      <c r="N56" s="71"/>
      <c r="O56" s="71"/>
      <c r="P56" s="55"/>
      <c r="Q56" s="55"/>
      <c r="R56" s="55"/>
      <c r="S56" s="52"/>
      <c r="T56" s="52"/>
      <c r="U56" s="52"/>
      <c r="V56" s="52"/>
      <c r="W56" s="52"/>
      <c r="X56" s="52"/>
      <c r="Y56" s="52"/>
      <c r="Z56" s="52"/>
    </row>
    <row r="57" spans="1:26">
      <c r="A57" s="28" t="s">
        <v>115</v>
      </c>
      <c r="B57" s="104">
        <v>3450</v>
      </c>
      <c r="C57" s="104">
        <v>-2517</v>
      </c>
      <c r="D57" s="104">
        <v>-706</v>
      </c>
      <c r="E57" s="104">
        <v>1269</v>
      </c>
      <c r="F57" s="104">
        <v>343</v>
      </c>
      <c r="G57" s="112">
        <f>G25+G39+G55+G56</f>
        <v>990.34800000000178</v>
      </c>
      <c r="H57" s="112">
        <f>H25+H39+H55+H56</f>
        <v>-207.47076000000379</v>
      </c>
      <c r="I57" s="112">
        <f>I25+I39+I55+I56</f>
        <v>-216.4246811999983</v>
      </c>
      <c r="J57" s="112">
        <f>J25+J39+J55+J56</f>
        <v>-222.25517353200485</v>
      </c>
      <c r="K57" s="112">
        <f>K25+K39+K55+K56</f>
        <v>-224.38459709819654</v>
      </c>
      <c r="L57" s="71"/>
      <c r="M57" s="71"/>
      <c r="N57" s="71"/>
      <c r="O57" s="71"/>
      <c r="P57" s="55"/>
      <c r="Q57" s="55"/>
      <c r="R57" s="55"/>
      <c r="S57" s="52"/>
      <c r="T57" s="52"/>
      <c r="U57" s="52"/>
      <c r="V57" s="52"/>
      <c r="W57" s="52"/>
      <c r="X57" s="52"/>
      <c r="Y57" s="52"/>
      <c r="Z57" s="52"/>
    </row>
    <row r="58" spans="1:26">
      <c r="A58" s="28" t="s">
        <v>111</v>
      </c>
      <c r="B58" s="104">
        <v>8969</v>
      </c>
      <c r="C58" s="104">
        <v>12419</v>
      </c>
      <c r="D58" s="103">
        <v>9902</v>
      </c>
      <c r="E58" s="104">
        <v>9196</v>
      </c>
      <c r="F58" s="104">
        <v>10465</v>
      </c>
      <c r="G58" s="112">
        <f>Balance_Sheet!F4</f>
        <v>8442</v>
      </c>
      <c r="H58" s="112">
        <f>G59</f>
        <v>9432.3480000000018</v>
      </c>
      <c r="I58" s="112">
        <f>H59</f>
        <v>9224.877239999998</v>
      </c>
      <c r="J58" s="112">
        <f>I59</f>
        <v>9008.4525587999997</v>
      </c>
      <c r="K58" s="112">
        <f>J59</f>
        <v>8786.1973852679948</v>
      </c>
      <c r="L58" s="71"/>
      <c r="M58" s="71"/>
      <c r="N58" s="71"/>
      <c r="O58" s="71"/>
      <c r="P58" s="55"/>
      <c r="Q58" s="55"/>
      <c r="R58" s="55"/>
      <c r="S58" s="52"/>
      <c r="T58" s="52"/>
      <c r="U58" s="52"/>
      <c r="V58" s="52"/>
      <c r="W58" s="52"/>
      <c r="X58" s="52"/>
      <c r="Y58" s="52"/>
      <c r="Z58" s="52"/>
    </row>
    <row r="59" spans="1:26">
      <c r="A59" s="28" t="s">
        <v>112</v>
      </c>
      <c r="B59" s="103">
        <v>12419</v>
      </c>
      <c r="C59" s="103">
        <v>9902</v>
      </c>
      <c r="D59" s="103">
        <v>9196</v>
      </c>
      <c r="E59" s="103">
        <v>10465</v>
      </c>
      <c r="F59" s="103">
        <v>10808</v>
      </c>
      <c r="G59" s="112">
        <f>G58+G57</f>
        <v>9432.3480000000018</v>
      </c>
      <c r="H59" s="112">
        <f>H58+H57</f>
        <v>9224.877239999998</v>
      </c>
      <c r="I59" s="112">
        <f>I58+I57</f>
        <v>9008.4525587999997</v>
      </c>
      <c r="J59" s="112">
        <f>J58+J57</f>
        <v>8786.1973852679948</v>
      </c>
      <c r="K59" s="112">
        <f>K58+K57</f>
        <v>8561.8127881697983</v>
      </c>
      <c r="L59" s="53"/>
      <c r="M59" s="53"/>
      <c r="N59" s="53"/>
      <c r="O59" s="71"/>
      <c r="P59" s="55"/>
      <c r="Q59" s="55"/>
      <c r="R59" s="55"/>
      <c r="S59" s="52"/>
      <c r="T59" s="52"/>
      <c r="U59" s="52"/>
      <c r="V59" s="52"/>
      <c r="W59" s="52"/>
      <c r="X59" s="52"/>
      <c r="Y59" s="52"/>
      <c r="Z59" s="52"/>
    </row>
    <row r="60" spans="1:26">
      <c r="A60" s="28" t="s">
        <v>2308</v>
      </c>
      <c r="B60" s="507">
        <f t="shared" ref="B60:K60" si="4">B4/B61</f>
        <v>0.84767949226497419</v>
      </c>
      <c r="C60" s="507">
        <f t="shared" si="4"/>
        <v>0.8801418439716312</v>
      </c>
      <c r="D60" s="507">
        <f t="shared" si="4"/>
        <v>0.8533127094612013</v>
      </c>
      <c r="E60" s="507">
        <f t="shared" si="4"/>
        <v>0.90640433972957657</v>
      </c>
      <c r="F60" s="507">
        <f t="shared" si="4"/>
        <v>0.84397535072767793</v>
      </c>
      <c r="G60" s="508">
        <f t="shared" si="4"/>
        <v>0.77758130954430871</v>
      </c>
      <c r="H60" s="508">
        <f t="shared" si="4"/>
        <v>0.86578178497671987</v>
      </c>
      <c r="I60" s="508">
        <f t="shared" si="4"/>
        <v>0.87316572845442009</v>
      </c>
      <c r="J60" s="508">
        <f t="shared" si="4"/>
        <v>0.87843881391015588</v>
      </c>
      <c r="K60" s="508">
        <f t="shared" si="4"/>
        <v>0.88185252412718906</v>
      </c>
      <c r="L60" s="55"/>
      <c r="M60" s="55"/>
      <c r="N60" s="55"/>
      <c r="O60" s="55"/>
      <c r="P60" s="55"/>
      <c r="Q60" s="55"/>
      <c r="R60" s="55"/>
      <c r="S60" s="52"/>
      <c r="T60" s="52"/>
      <c r="U60" s="52"/>
      <c r="V60" s="52"/>
      <c r="W60" s="52"/>
      <c r="X60" s="52"/>
      <c r="Y60" s="52"/>
      <c r="Z60" s="52"/>
    </row>
    <row r="61" spans="1:26">
      <c r="A61" s="28" t="s">
        <v>2307</v>
      </c>
      <c r="B61" s="104">
        <f t="shared" ref="B61:K61" si="5">B25-B32</f>
        <v>7563</v>
      </c>
      <c r="C61" s="104">
        <f t="shared" si="5"/>
        <v>9870</v>
      </c>
      <c r="D61" s="104">
        <f t="shared" si="5"/>
        <v>11637</v>
      </c>
      <c r="E61" s="104">
        <f t="shared" si="5"/>
        <v>12351</v>
      </c>
      <c r="F61" s="104">
        <f t="shared" si="5"/>
        <v>15254</v>
      </c>
      <c r="G61" s="112">
        <f t="shared" si="5"/>
        <v>18784.948275775998</v>
      </c>
      <c r="H61" s="112">
        <f t="shared" si="5"/>
        <v>19435.741645375994</v>
      </c>
      <c r="I61" s="112">
        <f t="shared" si="5"/>
        <v>21798.440108364801</v>
      </c>
      <c r="J61" s="112">
        <f t="shared" si="5"/>
        <v>24283.100438018817</v>
      </c>
      <c r="K61" s="112">
        <f t="shared" si="5"/>
        <v>26858.748557578921</v>
      </c>
      <c r="L61" s="52"/>
      <c r="M61" s="52"/>
      <c r="N61" s="52"/>
      <c r="O61" s="52"/>
      <c r="P61" s="52"/>
      <c r="Q61" s="52"/>
      <c r="R61" s="52"/>
      <c r="S61" s="52"/>
      <c r="T61" s="52"/>
      <c r="U61" s="52"/>
      <c r="V61" s="52"/>
      <c r="W61" s="52"/>
      <c r="X61" s="52"/>
      <c r="Y61" s="52"/>
      <c r="Z61" s="52"/>
    </row>
    <row r="62" spans="1:26">
      <c r="A62" s="61" t="s">
        <v>273</v>
      </c>
      <c r="B62" s="120">
        <f t="shared" ref="B62:K62" si="6">SUM(B4:B61)</f>
        <v>55103.897679492271</v>
      </c>
      <c r="C62" s="120">
        <f t="shared" si="6"/>
        <v>40017.080141843973</v>
      </c>
      <c r="D62" s="120">
        <f t="shared" si="6"/>
        <v>45996.703312709462</v>
      </c>
      <c r="E62" s="120">
        <f t="shared" si="6"/>
        <v>53073.806404339732</v>
      </c>
      <c r="F62" s="120">
        <f t="shared" si="6"/>
        <v>56127.193975350725</v>
      </c>
      <c r="G62" s="120">
        <f t="shared" si="6"/>
        <v>72354.118408637529</v>
      </c>
      <c r="H62" s="120">
        <f t="shared" si="6"/>
        <v>73748.635197912969</v>
      </c>
      <c r="I62" s="120">
        <f t="shared" si="6"/>
        <v>80253.728108422845</v>
      </c>
      <c r="J62" s="120">
        <f t="shared" si="6"/>
        <v>87105.535498406345</v>
      </c>
      <c r="K62" s="120">
        <f t="shared" si="6"/>
        <v>94218.162125350471</v>
      </c>
      <c r="L62" s="52"/>
      <c r="M62" s="52"/>
      <c r="N62" s="52"/>
      <c r="O62" s="52"/>
      <c r="P62" s="52"/>
      <c r="Q62" s="52"/>
      <c r="R62" s="52"/>
      <c r="S62" s="52"/>
      <c r="T62" s="52"/>
      <c r="U62" s="52"/>
      <c r="V62" s="52"/>
      <c r="W62" s="52"/>
      <c r="X62" s="52"/>
      <c r="Y62" s="52"/>
      <c r="Z62" s="52"/>
    </row>
    <row r="63" spans="1:26">
      <c r="A63" s="71"/>
      <c r="B63" s="71"/>
      <c r="C63" s="71"/>
      <c r="D63" s="71"/>
      <c r="E63" s="71"/>
      <c r="F63" s="71"/>
      <c r="G63" s="71"/>
      <c r="H63" s="71"/>
      <c r="I63" s="71"/>
      <c r="J63" s="71"/>
      <c r="K63" s="71"/>
      <c r="L63" s="52"/>
      <c r="M63" s="52"/>
      <c r="N63" s="52"/>
      <c r="O63" s="52"/>
      <c r="P63" s="52"/>
      <c r="Q63" s="52"/>
      <c r="R63" s="52"/>
      <c r="S63" s="52"/>
      <c r="T63" s="52"/>
      <c r="U63" s="52"/>
      <c r="V63" s="52"/>
      <c r="W63" s="52"/>
      <c r="X63" s="52"/>
      <c r="Y63" s="52"/>
      <c r="Z63" s="52"/>
    </row>
    <row r="64" spans="1:26">
      <c r="A64" s="64" t="s">
        <v>2236</v>
      </c>
      <c r="B64" s="64"/>
      <c r="C64" s="64"/>
      <c r="D64" s="64"/>
      <c r="E64" s="64"/>
      <c r="F64" s="64"/>
      <c r="G64" s="64"/>
      <c r="H64" s="64"/>
      <c r="I64" s="64"/>
      <c r="J64" s="64"/>
      <c r="K64" s="53"/>
      <c r="L64" s="52"/>
      <c r="M64" s="52"/>
      <c r="N64" s="52"/>
      <c r="O64" s="52"/>
      <c r="P64" s="52"/>
      <c r="Q64" s="52"/>
      <c r="R64" s="52"/>
      <c r="S64" s="52"/>
      <c r="T64" s="52"/>
      <c r="U64" s="52"/>
      <c r="V64" s="52"/>
      <c r="W64" s="52"/>
      <c r="X64" s="52"/>
      <c r="Y64" s="52"/>
      <c r="Z64" s="52"/>
    </row>
    <row r="65" spans="1:26 16384:16384">
      <c r="A65" s="71"/>
      <c r="B65" s="71"/>
      <c r="C65" s="71"/>
      <c r="D65" s="71"/>
      <c r="E65" s="71"/>
      <c r="F65" s="71"/>
      <c r="G65" s="71"/>
      <c r="H65" s="71"/>
      <c r="I65" s="71"/>
      <c r="J65" s="71"/>
      <c r="K65" s="71"/>
      <c r="L65" s="52"/>
      <c r="M65" s="52"/>
      <c r="N65" s="52"/>
      <c r="O65" s="52"/>
      <c r="P65" s="52"/>
      <c r="Q65" s="52"/>
      <c r="R65" s="52"/>
      <c r="S65" s="52"/>
      <c r="T65" s="52"/>
      <c r="U65" s="52"/>
      <c r="V65" s="52"/>
      <c r="W65" s="52"/>
      <c r="X65" s="52"/>
      <c r="Y65" s="52"/>
      <c r="Z65" s="52"/>
    </row>
    <row r="66" spans="1:26 16384:16384">
      <c r="A66" s="250" t="s">
        <v>1632</v>
      </c>
      <c r="B66" s="33">
        <v>2020</v>
      </c>
      <c r="C66" s="33">
        <v>2021</v>
      </c>
      <c r="D66" s="33">
        <v>2022</v>
      </c>
      <c r="E66" s="33">
        <v>2023</v>
      </c>
      <c r="F66" s="33">
        <v>2024</v>
      </c>
      <c r="G66" s="33">
        <v>2025</v>
      </c>
      <c r="H66" s="33">
        <v>2026</v>
      </c>
      <c r="I66" s="33">
        <v>2027</v>
      </c>
      <c r="J66" s="33">
        <v>2028</v>
      </c>
      <c r="K66" s="33">
        <v>2029</v>
      </c>
      <c r="L66" s="52"/>
      <c r="M66" s="52"/>
      <c r="N66" s="52"/>
      <c r="O66" s="52"/>
      <c r="P66" s="52"/>
      <c r="Q66" s="52"/>
      <c r="R66" s="52"/>
      <c r="S66" s="52"/>
      <c r="T66" s="52"/>
      <c r="U66" s="52"/>
      <c r="V66" s="52"/>
      <c r="W66" s="52"/>
      <c r="X66" s="52"/>
      <c r="Y66" s="52"/>
      <c r="Z66" s="52"/>
    </row>
    <row r="67" spans="1:26 16384:16384">
      <c r="A67" s="28" t="s">
        <v>2246</v>
      </c>
      <c r="B67" s="20">
        <f>Balance_Sheet!B27</f>
        <v>12023</v>
      </c>
      <c r="C67" s="499">
        <f t="shared" ref="C67:E67" si="7">B70</f>
        <v>12023</v>
      </c>
      <c r="D67" s="499">
        <f t="shared" si="7"/>
        <v>11373</v>
      </c>
      <c r="E67" s="499">
        <f t="shared" si="7"/>
        <v>10649</v>
      </c>
      <c r="F67" s="499">
        <f>Balance_Sheet!F27</f>
        <v>17476</v>
      </c>
      <c r="G67" s="501">
        <f>F70</f>
        <v>16140</v>
      </c>
      <c r="H67" s="501">
        <f>G70</f>
        <v>15140</v>
      </c>
      <c r="I67" s="501">
        <f>H70</f>
        <v>14140</v>
      </c>
      <c r="J67" s="501">
        <f>I70</f>
        <v>13140</v>
      </c>
      <c r="K67" s="501">
        <f>J70</f>
        <v>12140</v>
      </c>
      <c r="L67" s="52"/>
      <c r="M67" s="52"/>
      <c r="N67" s="52"/>
      <c r="O67" s="52"/>
      <c r="P67" s="52"/>
      <c r="Q67" s="52"/>
      <c r="R67" s="52"/>
      <c r="S67" s="52"/>
      <c r="T67" s="52"/>
      <c r="U67" s="52"/>
      <c r="V67" s="52"/>
      <c r="W67" s="52"/>
      <c r="X67" s="52"/>
      <c r="Y67" s="52"/>
      <c r="Z67" s="52"/>
      <c r="XFD67" s="470"/>
    </row>
    <row r="68" spans="1:26 16384:16384">
      <c r="A68" s="320" t="s">
        <v>2247</v>
      </c>
      <c r="B68" s="500">
        <f t="shared" ref="B68:K68" si="8">IF(B45 &lt; B44,
     B44 - B45,
     0)</f>
        <v>0</v>
      </c>
      <c r="C68" s="500">
        <f t="shared" si="8"/>
        <v>0</v>
      </c>
      <c r="D68" s="500">
        <f t="shared" si="8"/>
        <v>0</v>
      </c>
      <c r="E68" s="500">
        <f t="shared" si="8"/>
        <v>0</v>
      </c>
      <c r="F68" s="500">
        <f t="shared" si="8"/>
        <v>0</v>
      </c>
      <c r="G68" s="502">
        <f t="shared" si="8"/>
        <v>0</v>
      </c>
      <c r="H68" s="502">
        <f t="shared" si="8"/>
        <v>0</v>
      </c>
      <c r="I68" s="502">
        <f t="shared" si="8"/>
        <v>0</v>
      </c>
      <c r="J68" s="502">
        <f t="shared" si="8"/>
        <v>0</v>
      </c>
      <c r="K68" s="502">
        <f t="shared" si="8"/>
        <v>0</v>
      </c>
      <c r="L68" s="52"/>
      <c r="M68" s="52"/>
      <c r="N68" s="52"/>
      <c r="O68" s="52"/>
      <c r="P68" s="52"/>
      <c r="Q68" s="52"/>
      <c r="R68" s="52"/>
      <c r="S68" s="52"/>
      <c r="T68" s="52"/>
      <c r="U68" s="52"/>
      <c r="V68" s="52"/>
      <c r="W68" s="52"/>
      <c r="X68" s="52"/>
      <c r="Y68" s="52"/>
      <c r="Z68" s="52"/>
    </row>
    <row r="69" spans="1:26 16384:16384">
      <c r="A69" s="320" t="s">
        <v>2306</v>
      </c>
      <c r="B69" s="500">
        <f>B48</f>
        <v>0</v>
      </c>
      <c r="C69" s="500">
        <f>C48</f>
        <v>-650</v>
      </c>
      <c r="D69" s="500">
        <f>D48</f>
        <v>-724</v>
      </c>
      <c r="E69" s="500">
        <f>E48</f>
        <v>0</v>
      </c>
      <c r="F69" s="500">
        <f>F48</f>
        <v>-1336</v>
      </c>
      <c r="G69" s="502">
        <v>-1000</v>
      </c>
      <c r="H69" s="502">
        <v>-1000</v>
      </c>
      <c r="I69" s="502">
        <v>-1000</v>
      </c>
      <c r="J69" s="502">
        <v>-1000</v>
      </c>
      <c r="K69" s="502">
        <v>-1000</v>
      </c>
      <c r="L69" s="52"/>
      <c r="M69" s="52"/>
      <c r="N69" s="52"/>
      <c r="O69" s="52"/>
      <c r="P69" s="52"/>
      <c r="Q69" s="52"/>
      <c r="R69" s="52"/>
      <c r="S69" s="52"/>
      <c r="T69" s="52"/>
      <c r="U69" s="52"/>
      <c r="V69" s="52"/>
      <c r="W69" s="52"/>
      <c r="X69" s="52"/>
      <c r="Y69" s="52"/>
      <c r="Z69" s="52"/>
    </row>
    <row r="70" spans="1:26 16384:16384">
      <c r="A70" s="320" t="s">
        <v>2248</v>
      </c>
      <c r="B70" s="500">
        <f>B67+B68-B69</f>
        <v>12023</v>
      </c>
      <c r="C70" s="500">
        <f>C67+C68+C69</f>
        <v>11373</v>
      </c>
      <c r="D70" s="500">
        <f>D67+D68+D69</f>
        <v>10649</v>
      </c>
      <c r="E70" s="500">
        <f>E67+E68-E69</f>
        <v>10649</v>
      </c>
      <c r="F70" s="500">
        <f t="shared" ref="F70:K70" si="9">F67+F68+F69</f>
        <v>16140</v>
      </c>
      <c r="G70" s="502">
        <f t="shared" si="9"/>
        <v>15140</v>
      </c>
      <c r="H70" s="502">
        <f t="shared" si="9"/>
        <v>14140</v>
      </c>
      <c r="I70" s="502">
        <f t="shared" si="9"/>
        <v>13140</v>
      </c>
      <c r="J70" s="502">
        <f t="shared" si="9"/>
        <v>12140</v>
      </c>
      <c r="K70" s="502">
        <f t="shared" si="9"/>
        <v>11140</v>
      </c>
      <c r="L70" s="52"/>
      <c r="M70" s="52"/>
      <c r="N70" s="52"/>
      <c r="O70" s="52"/>
      <c r="P70" s="52"/>
      <c r="Q70" s="52"/>
      <c r="R70" s="52"/>
      <c r="S70" s="52"/>
      <c r="T70" s="52"/>
      <c r="U70" s="52"/>
      <c r="V70" s="52"/>
      <c r="W70" s="52"/>
      <c r="X70" s="52"/>
      <c r="Y70" s="52"/>
      <c r="Z70" s="52"/>
    </row>
    <row r="71" spans="1:26 16384:16384">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16384:16384">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16384:16384">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16384:1638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16384:16384">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16384:16384">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16384:16384">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16384:16384">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16384:16384">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16384:16384">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c r="A121" s="52"/>
      <c r="B121" s="52"/>
      <c r="C121" s="52"/>
      <c r="D121" s="52"/>
      <c r="E121" s="52"/>
      <c r="F121" s="52"/>
      <c r="G121" s="52"/>
      <c r="H121" s="52"/>
      <c r="I121" s="52"/>
      <c r="J121" s="52"/>
      <c r="K121" s="52"/>
    </row>
    <row r="122" spans="1:26">
      <c r="A122" s="52"/>
      <c r="B122" s="52"/>
      <c r="C122" s="52"/>
      <c r="D122" s="52"/>
      <c r="E122" s="52"/>
      <c r="F122" s="52"/>
      <c r="G122" s="52"/>
      <c r="H122" s="52"/>
      <c r="I122" s="52"/>
      <c r="J122" s="52"/>
      <c r="K122" s="52"/>
    </row>
    <row r="123" spans="1:26">
      <c r="A123" s="52"/>
      <c r="B123" s="52"/>
      <c r="C123" s="52"/>
      <c r="D123" s="52"/>
      <c r="E123" s="52"/>
      <c r="F123" s="52"/>
      <c r="G123" s="52"/>
      <c r="H123" s="52"/>
      <c r="I123" s="52"/>
      <c r="J123" s="52"/>
      <c r="K123" s="52"/>
    </row>
    <row r="124" spans="1:26">
      <c r="A124" s="52"/>
      <c r="B124" s="52"/>
      <c r="C124" s="52"/>
      <c r="D124" s="52"/>
      <c r="E124" s="52"/>
      <c r="F124" s="52"/>
      <c r="G124" s="52"/>
      <c r="H124" s="52"/>
      <c r="I124" s="52"/>
      <c r="J124" s="52"/>
      <c r="K124" s="52"/>
    </row>
    <row r="125" spans="1:26">
      <c r="A125" s="52"/>
      <c r="B125" s="52"/>
      <c r="C125" s="52"/>
      <c r="D125" s="52"/>
      <c r="E125" s="52"/>
      <c r="F125" s="52"/>
      <c r="G125" s="52"/>
      <c r="H125" s="52"/>
      <c r="I125" s="52"/>
      <c r="J125" s="52"/>
      <c r="K125" s="52"/>
    </row>
  </sheetData>
  <phoneticPr fontId="2" type="noConversion"/>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AD91-275F-4380-9E66-48E6481A38ED}">
  <dimension ref="A1:AQ200"/>
  <sheetViews>
    <sheetView zoomScale="70" zoomScaleNormal="70" workbookViewId="0"/>
  </sheetViews>
  <sheetFormatPr defaultRowHeight="14"/>
  <cols>
    <col min="1" max="1" width="60.25" customWidth="1"/>
    <col min="2" max="2" width="18" customWidth="1"/>
    <col min="3" max="3" width="16" customWidth="1"/>
    <col min="4" max="4" width="16.4140625" customWidth="1"/>
    <col min="5" max="5" width="18.1640625" customWidth="1"/>
    <col min="6" max="6" width="19.4140625" customWidth="1"/>
    <col min="7" max="7" width="23" customWidth="1"/>
    <col min="8" max="8" width="15.25" customWidth="1"/>
    <col min="9" max="9" width="14.1640625" customWidth="1"/>
    <col min="10" max="10" width="26.1640625" customWidth="1"/>
    <col min="11" max="11" width="19.83203125" customWidth="1"/>
    <col min="12" max="12" width="20" customWidth="1"/>
    <col min="13" max="13" width="22.4140625" customWidth="1"/>
    <col min="14" max="14" width="29.58203125" customWidth="1"/>
    <col min="15" max="15" width="11.1640625" customWidth="1"/>
    <col min="16" max="16" width="9.75" customWidth="1"/>
    <col min="17" max="17" width="10" customWidth="1"/>
    <col min="18" max="18" width="12.75" customWidth="1"/>
    <col min="20" max="20" width="12.83203125" customWidth="1"/>
    <col min="22" max="22" width="11.83203125" customWidth="1"/>
    <col min="23" max="23" width="11.1640625" customWidth="1"/>
    <col min="24" max="24" width="15.4140625" customWidth="1"/>
    <col min="27" max="27" width="10.58203125" customWidth="1"/>
    <col min="29" max="29" width="11.83203125" customWidth="1"/>
  </cols>
  <sheetData>
    <row r="1" spans="1:43">
      <c r="A1" s="27" t="s">
        <v>1818</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2"/>
      <c r="AF1" s="52"/>
      <c r="AG1" s="52"/>
      <c r="AH1" s="52"/>
      <c r="AI1" s="52"/>
      <c r="AJ1" s="52"/>
      <c r="AK1" s="52"/>
      <c r="AL1" s="52"/>
      <c r="AM1" s="52"/>
      <c r="AN1" s="52"/>
      <c r="AO1" s="52"/>
      <c r="AP1" s="52"/>
      <c r="AQ1" s="52"/>
    </row>
    <row r="2" spans="1:43">
      <c r="A2" s="3" t="s">
        <v>161</v>
      </c>
      <c r="B2" s="3" t="s">
        <v>119</v>
      </c>
      <c r="C2" s="3" t="s">
        <v>120</v>
      </c>
      <c r="D2" s="3" t="s">
        <v>121</v>
      </c>
      <c r="E2" s="3" t="s">
        <v>122</v>
      </c>
      <c r="F2" s="3" t="s">
        <v>123</v>
      </c>
      <c r="G2" s="3" t="s">
        <v>145</v>
      </c>
      <c r="H2" s="3" t="s">
        <v>146</v>
      </c>
      <c r="I2" s="3" t="s">
        <v>147</v>
      </c>
      <c r="J2" s="3" t="s">
        <v>148</v>
      </c>
      <c r="K2" s="3" t="s">
        <v>149</v>
      </c>
      <c r="L2" s="250" t="s">
        <v>450</v>
      </c>
      <c r="M2" s="53"/>
      <c r="N2" s="53"/>
      <c r="O2" s="53"/>
      <c r="P2" s="53"/>
      <c r="Q2" s="53"/>
      <c r="R2" s="53"/>
      <c r="S2" s="53"/>
      <c r="T2" s="53"/>
      <c r="U2" s="50"/>
      <c r="V2" s="50"/>
      <c r="W2" s="50"/>
      <c r="X2" s="50"/>
      <c r="Y2" s="50"/>
      <c r="Z2" s="50"/>
      <c r="AA2" s="50"/>
      <c r="AB2" s="50"/>
      <c r="AC2" s="50"/>
      <c r="AD2" s="50"/>
      <c r="AE2" s="52"/>
      <c r="AF2" s="52"/>
      <c r="AG2" s="52"/>
      <c r="AH2" s="52"/>
      <c r="AI2" s="52"/>
      <c r="AJ2" s="52"/>
      <c r="AK2" s="52"/>
      <c r="AL2" s="52"/>
      <c r="AM2" s="52"/>
      <c r="AN2" s="52"/>
      <c r="AO2" s="52"/>
      <c r="AP2" s="52"/>
      <c r="AQ2" s="52"/>
    </row>
    <row r="3" spans="1:43">
      <c r="A3" s="39" t="s">
        <v>162</v>
      </c>
      <c r="B3" s="23">
        <v>2020</v>
      </c>
      <c r="C3" s="23">
        <v>2021</v>
      </c>
      <c r="D3" s="23">
        <v>2022</v>
      </c>
      <c r="E3" s="23">
        <v>2023</v>
      </c>
      <c r="F3" s="23">
        <v>2024</v>
      </c>
      <c r="G3" s="24" t="s">
        <v>124</v>
      </c>
      <c r="H3" s="24" t="s">
        <v>125</v>
      </c>
      <c r="I3" s="24" t="s">
        <v>126</v>
      </c>
      <c r="J3" s="24" t="s">
        <v>127</v>
      </c>
      <c r="K3" s="24" t="s">
        <v>128</v>
      </c>
      <c r="L3" s="3" t="s">
        <v>451</v>
      </c>
      <c r="M3" s="3" t="s">
        <v>145</v>
      </c>
      <c r="N3" s="3" t="s">
        <v>146</v>
      </c>
      <c r="O3" s="3" t="s">
        <v>147</v>
      </c>
      <c r="P3" s="3" t="s">
        <v>148</v>
      </c>
      <c r="Q3" s="3" t="s">
        <v>149</v>
      </c>
      <c r="R3" s="53"/>
      <c r="S3" s="53"/>
      <c r="T3" s="53"/>
      <c r="U3" s="50"/>
      <c r="V3" s="50"/>
      <c r="W3" s="50"/>
      <c r="X3" s="50"/>
      <c r="Y3" s="50"/>
      <c r="Z3" s="50"/>
      <c r="AA3" s="50"/>
      <c r="AB3" s="50"/>
      <c r="AC3" s="50"/>
      <c r="AD3" s="50"/>
      <c r="AE3" s="52"/>
      <c r="AF3" s="52"/>
      <c r="AG3" s="52"/>
      <c r="AH3" s="52"/>
      <c r="AI3" s="52"/>
      <c r="AJ3" s="52"/>
      <c r="AK3" s="52"/>
      <c r="AL3" s="52"/>
      <c r="AM3" s="52"/>
      <c r="AN3" s="52"/>
      <c r="AO3" s="52"/>
      <c r="AP3" s="52"/>
      <c r="AQ3" s="52"/>
    </row>
    <row r="4" spans="1:43">
      <c r="A4" s="29" t="s">
        <v>150</v>
      </c>
      <c r="B4" s="121">
        <f>'Profit Loss'!B4/'Profit Loss'!B4</f>
        <v>1</v>
      </c>
      <c r="C4" s="121">
        <f>'Profit Loss'!C4/'Profit Loss'!C4</f>
        <v>1</v>
      </c>
      <c r="D4" s="121">
        <f>'Profit Loss'!D4/'Profit Loss'!D4</f>
        <v>1</v>
      </c>
      <c r="E4" s="121">
        <f>'Profit Loss'!E4/'Profit Loss'!E4</f>
        <v>1</v>
      </c>
      <c r="F4" s="121">
        <f>'Profit Loss'!F4/'Profit Loss'!F4</f>
        <v>1</v>
      </c>
      <c r="G4" s="122">
        <f>'Profit Loss'!G4/'Profit Loss'!G4</f>
        <v>1</v>
      </c>
      <c r="H4" s="122">
        <f>'Profit Loss'!H4/'Profit Loss'!H4</f>
        <v>1</v>
      </c>
      <c r="I4" s="122">
        <f>'Profit Loss'!I4/'Profit Loss'!I4</f>
        <v>1</v>
      </c>
      <c r="J4" s="122">
        <f>'Profit Loss'!J4/'Profit Loss'!J4</f>
        <v>1</v>
      </c>
      <c r="K4" s="122">
        <f>'Profit Loss'!K4/'Profit Loss'!K4</f>
        <v>1</v>
      </c>
      <c r="L4" s="28" t="s">
        <v>143</v>
      </c>
      <c r="M4" s="101">
        <f>Assumptions!H5</f>
        <v>0.12000000000000001</v>
      </c>
      <c r="N4" s="101">
        <f>Assumptions!I5</f>
        <v>0.13</v>
      </c>
      <c r="O4" s="101">
        <f>Assumptions!J5</f>
        <v>0.12000000000000001</v>
      </c>
      <c r="P4" s="101">
        <f>Assumptions!K5</f>
        <v>0.11</v>
      </c>
      <c r="Q4" s="101">
        <f>Assumptions!L5</f>
        <v>0.1</v>
      </c>
      <c r="R4" s="53"/>
      <c r="S4" s="53"/>
      <c r="T4" s="53"/>
      <c r="U4" s="50"/>
      <c r="V4" s="50"/>
      <c r="W4" s="50"/>
      <c r="X4" s="50"/>
      <c r="Y4" s="50"/>
      <c r="Z4" s="50"/>
      <c r="AA4" s="50"/>
      <c r="AB4" s="50"/>
      <c r="AC4" s="50"/>
      <c r="AD4" s="50"/>
      <c r="AE4" s="52"/>
      <c r="AF4" s="52"/>
      <c r="AG4" s="52"/>
      <c r="AH4" s="52"/>
      <c r="AI4" s="52"/>
      <c r="AJ4" s="52"/>
      <c r="AK4" s="52"/>
      <c r="AL4" s="52"/>
      <c r="AM4" s="52"/>
      <c r="AN4" s="52"/>
      <c r="AO4" s="52"/>
      <c r="AP4" s="52"/>
      <c r="AQ4" s="52"/>
    </row>
    <row r="5" spans="1:43">
      <c r="A5" s="29" t="s">
        <v>151</v>
      </c>
      <c r="B5" s="123">
        <f>'Profit Loss'!B6/'Profit Loss'!B4</f>
        <v>0.38624926475393767</v>
      </c>
      <c r="C5" s="123">
        <f>Table10[[#This Row],[2020]]*(1+2%)</f>
        <v>0.39397425004901643</v>
      </c>
      <c r="D5" s="123">
        <f>Table10[[#This Row],[2021]]*(1+2%)</f>
        <v>0.40185373504999677</v>
      </c>
      <c r="E5" s="123">
        <f>Table10[[#This Row],[2022]]*(1+2%)</f>
        <v>0.40989080975099673</v>
      </c>
      <c r="F5" s="123">
        <f>Table10[[#This Row],[2023]]*(1+2%)</f>
        <v>0.4180886259460167</v>
      </c>
      <c r="G5" s="124">
        <f>G4*Table35[[#This Row],[2025]]</f>
        <v>0.43</v>
      </c>
      <c r="H5" s="124">
        <f>H4*Table35[[#This Row],[2026]]</f>
        <v>0.44500000000000001</v>
      </c>
      <c r="I5" s="124">
        <f>I4*Table35[[#This Row],[2027]]</f>
        <v>0.45</v>
      </c>
      <c r="J5" s="124">
        <f>J4*Table35[[#This Row],[2028]]</f>
        <v>0.45500000000000002</v>
      </c>
      <c r="K5" s="124">
        <f>K4*Table35[[#This Row],[2029]]</f>
        <v>0.46</v>
      </c>
      <c r="L5" s="28" t="s">
        <v>452</v>
      </c>
      <c r="M5" s="101">
        <v>0.43</v>
      </c>
      <c r="N5" s="131">
        <v>0.44500000000000001</v>
      </c>
      <c r="O5" s="101">
        <v>0.45</v>
      </c>
      <c r="P5" s="101">
        <v>0.45500000000000002</v>
      </c>
      <c r="Q5" s="101">
        <v>0.46</v>
      </c>
      <c r="R5" s="53"/>
      <c r="S5" s="53"/>
      <c r="T5" s="53"/>
      <c r="U5" s="50"/>
      <c r="V5" s="50"/>
      <c r="W5" s="50"/>
      <c r="X5" s="50"/>
      <c r="Y5" s="50"/>
      <c r="Z5" s="50"/>
      <c r="AA5" s="50"/>
      <c r="AB5" s="50"/>
      <c r="AC5" s="50"/>
      <c r="AD5" s="50"/>
      <c r="AE5" s="52"/>
      <c r="AF5" s="52"/>
      <c r="AG5" s="52"/>
      <c r="AH5" s="52"/>
      <c r="AI5" s="52"/>
      <c r="AJ5" s="52"/>
      <c r="AK5" s="52"/>
      <c r="AL5" s="52"/>
      <c r="AM5" s="52"/>
      <c r="AN5" s="52"/>
      <c r="AO5" s="52"/>
      <c r="AP5" s="52"/>
      <c r="AQ5" s="52"/>
    </row>
    <row r="6" spans="1:43">
      <c r="A6" s="29" t="s">
        <v>152</v>
      </c>
      <c r="B6" s="123">
        <f>'Profit Loss'!B7/'Profit Loss'!B4</f>
        <v>4.2938370041173776E-2</v>
      </c>
      <c r="C6" s="123">
        <f>'Profit Loss'!C7/'Profit Loss'!C4</f>
        <v>4.7394619783944082E-2</v>
      </c>
      <c r="D6" s="123">
        <f>'Profit Loss'!D7/'Profit Loss'!D4</f>
        <v>3.5481404865764267E-2</v>
      </c>
      <c r="E6" s="123">
        <f>'Profit Loss'!E7/'Profit Loss'!E4</f>
        <v>3.2871145111164235E-2</v>
      </c>
      <c r="F6" s="123">
        <f>'Profit Loss'!F7/'Profit Loss'!F4</f>
        <v>2.893456882167075E-2</v>
      </c>
      <c r="G6" s="124">
        <f>Table35[[#This Row],[2025]]</f>
        <v>0.03</v>
      </c>
      <c r="H6" s="124">
        <f>Table35[[#This Row],[2025]]</f>
        <v>0.03</v>
      </c>
      <c r="I6" s="124">
        <f>Table35[[#This Row],[2025]]</f>
        <v>0.03</v>
      </c>
      <c r="J6" s="124">
        <f>Table35[[#This Row],[2025]]</f>
        <v>0.03</v>
      </c>
      <c r="K6" s="124">
        <f>Table35[[#This Row],[2025]]</f>
        <v>0.03</v>
      </c>
      <c r="L6" s="28" t="s">
        <v>453</v>
      </c>
      <c r="M6" s="101">
        <v>0.03</v>
      </c>
      <c r="N6" s="101">
        <v>0.03</v>
      </c>
      <c r="O6" s="101">
        <v>0.03</v>
      </c>
      <c r="P6" s="101">
        <v>0.03</v>
      </c>
      <c r="Q6" s="101">
        <v>0.03</v>
      </c>
      <c r="R6" s="53"/>
      <c r="S6" s="53"/>
      <c r="T6" s="53"/>
      <c r="U6" s="50"/>
      <c r="V6" s="50"/>
      <c r="W6" s="50"/>
      <c r="X6" s="50"/>
      <c r="Y6" s="50"/>
      <c r="Z6" s="50"/>
      <c r="AA6" s="50"/>
      <c r="AB6" s="50"/>
      <c r="AC6" s="50"/>
      <c r="AD6" s="50"/>
      <c r="AE6" s="52"/>
      <c r="AF6" s="52"/>
      <c r="AG6" s="52"/>
      <c r="AH6" s="52"/>
      <c r="AI6" s="52"/>
      <c r="AJ6" s="52"/>
      <c r="AK6" s="52"/>
      <c r="AL6" s="52"/>
      <c r="AM6" s="52"/>
      <c r="AN6" s="52"/>
      <c r="AO6" s="52"/>
      <c r="AP6" s="52"/>
      <c r="AQ6" s="52"/>
    </row>
    <row r="7" spans="1:43">
      <c r="A7" s="29" t="s">
        <v>153</v>
      </c>
      <c r="B7" s="123">
        <f>'Profit Loss'!B8/'Profit Loss'!B4</f>
        <v>3.7906019214430431E-2</v>
      </c>
      <c r="C7" s="123">
        <f>'Profit Loss'!C8/'Profit Loss'!C4</f>
        <v>3.8445244651556874E-2</v>
      </c>
      <c r="D7" s="123">
        <f>'Profit Loss'!D8/'Profit Loss'!D4</f>
        <v>3.3727571165175156E-2</v>
      </c>
      <c r="E7" s="123">
        <f>'Profit Loss'!E8/'Profit Loss'!E4</f>
        <v>3.1835205992509365E-2</v>
      </c>
      <c r="F7" s="123">
        <f>'Profit Loss'!F8/'Profit Loss'!F4</f>
        <v>3.1845776973053574E-2</v>
      </c>
      <c r="G7" s="124">
        <f>G4*Table35[[#This Row],[2025]]</f>
        <v>0.03</v>
      </c>
      <c r="H7" s="124">
        <f>H4*Table35[[#This Row],[2026]]</f>
        <v>2.9000000000000001E-2</v>
      </c>
      <c r="I7" s="124">
        <f>I4*Table35[[#This Row],[2027]]</f>
        <v>2.8000000000000001E-2</v>
      </c>
      <c r="J7" s="124">
        <f>J4*Table35[[#This Row],[2028]]</f>
        <v>2.7E-2</v>
      </c>
      <c r="K7" s="124">
        <f>K4*Table35[[#This Row],[2029]]</f>
        <v>2.5999999999999999E-2</v>
      </c>
      <c r="L7" s="28" t="s">
        <v>454</v>
      </c>
      <c r="M7" s="101">
        <v>0.03</v>
      </c>
      <c r="N7" s="131">
        <v>2.9000000000000001E-2</v>
      </c>
      <c r="O7" s="131">
        <v>2.8000000000000001E-2</v>
      </c>
      <c r="P7" s="131">
        <v>2.7E-2</v>
      </c>
      <c r="Q7" s="131">
        <v>2.5999999999999999E-2</v>
      </c>
      <c r="R7" s="53"/>
      <c r="S7" s="53"/>
      <c r="T7" s="53"/>
      <c r="U7" s="50"/>
      <c r="V7" s="50"/>
      <c r="W7" s="50"/>
      <c r="X7" s="50"/>
      <c r="Y7" s="50"/>
      <c r="Z7" s="50"/>
      <c r="AA7" s="50"/>
      <c r="AB7" s="50"/>
      <c r="AC7" s="50"/>
      <c r="AD7" s="50"/>
      <c r="AE7" s="52"/>
      <c r="AF7" s="52"/>
      <c r="AG7" s="52"/>
      <c r="AH7" s="52"/>
      <c r="AI7" s="52"/>
      <c r="AJ7" s="52"/>
      <c r="AK7" s="52"/>
      <c r="AL7" s="52"/>
      <c r="AM7" s="52"/>
      <c r="AN7" s="52"/>
      <c r="AO7" s="52"/>
      <c r="AP7" s="52"/>
      <c r="AQ7" s="52"/>
    </row>
    <row r="8" spans="1:43">
      <c r="A8" s="29" t="s">
        <v>154</v>
      </c>
      <c r="B8" s="123">
        <f>'Profit Loss'!B9/'Profit Loss'!B4</f>
        <v>4.7709300045748644E-3</v>
      </c>
      <c r="C8" s="123">
        <f>'Profit Loss'!C9/'Profit Loss'!C4</f>
        <v>4.977758949375132E-3</v>
      </c>
      <c r="D8" s="123">
        <f>'Profit Loss'!D9/'Profit Loss'!D4</f>
        <v>1.6009353779736474E-2</v>
      </c>
      <c r="E8" s="123">
        <f>'Profit Loss'!E9/'Profit Loss'!E4</f>
        <v>2.1475814805960634E-2</v>
      </c>
      <c r="F8" s="123">
        <f>'Profit Loss'!F9/'Profit Loss'!F4</f>
        <v>2.4141726133418539E-2</v>
      </c>
      <c r="G8" s="124">
        <f>'Profit Loss'!G9/'Profit Loss'!G4</f>
        <v>0.02</v>
      </c>
      <c r="H8" s="124">
        <f>'Profit Loss'!H9/'Profit Loss'!H4</f>
        <v>0.02</v>
      </c>
      <c r="I8" s="124">
        <f>'Profit Loss'!I9/'Profit Loss'!I4</f>
        <v>0.02</v>
      </c>
      <c r="J8" s="124">
        <f>'Profit Loss'!J9/'Profit Loss'!J4</f>
        <v>0.02</v>
      </c>
      <c r="K8" s="124">
        <f>'Profit Loss'!K9/'Profit Loss'!K4</f>
        <v>0.02</v>
      </c>
      <c r="L8" s="28" t="s">
        <v>455</v>
      </c>
      <c r="M8" s="131">
        <v>7.4999999999999997E-2</v>
      </c>
      <c r="N8" s="131">
        <v>7.4999999999999997E-2</v>
      </c>
      <c r="O8" s="131">
        <v>7.4999999999999997E-2</v>
      </c>
      <c r="P8" s="131">
        <v>7.4999999999999997E-2</v>
      </c>
      <c r="Q8" s="131">
        <v>7.4999999999999997E-2</v>
      </c>
      <c r="R8" s="53"/>
      <c r="S8" s="53"/>
      <c r="T8" s="53"/>
      <c r="U8" s="50"/>
      <c r="V8" s="50"/>
      <c r="W8" s="50"/>
      <c r="X8" s="50"/>
      <c r="Y8" s="50"/>
      <c r="Z8" s="50"/>
      <c r="AA8" s="50"/>
      <c r="AB8" s="50"/>
      <c r="AC8" s="50"/>
      <c r="AD8" s="50"/>
      <c r="AE8" s="52"/>
      <c r="AF8" s="52"/>
      <c r="AG8" s="52"/>
      <c r="AH8" s="52"/>
      <c r="AI8" s="52"/>
      <c r="AJ8" s="52"/>
      <c r="AK8" s="52"/>
      <c r="AL8" s="52"/>
      <c r="AM8" s="52"/>
      <c r="AN8" s="52"/>
      <c r="AO8" s="52"/>
      <c r="AP8" s="52"/>
      <c r="AQ8" s="52"/>
    </row>
    <row r="9" spans="1:43">
      <c r="A9" s="29" t="s">
        <v>155</v>
      </c>
      <c r="B9" s="123">
        <f>'Profit Loss'!B10/'Profit Loss'!B4</f>
        <v>0.47186458401411674</v>
      </c>
      <c r="C9" s="123">
        <f>'Profit Loss'!C10/'Profit Loss'!C4</f>
        <v>0.46610887523829697</v>
      </c>
      <c r="D9" s="123">
        <f>'Profit Loss'!D10/'Profit Loss'!D4</f>
        <v>0.44848675630705581</v>
      </c>
      <c r="E9" s="123">
        <f>'Profit Loss'!E10/'Profit Loss'!E4</f>
        <v>0.44186787791855925</v>
      </c>
      <c r="F9" s="123">
        <f>'Profit Loss'!F10/'Profit Loss'!F4</f>
        <v>0.44679944616040046</v>
      </c>
      <c r="G9" s="124">
        <f>'Profit Loss'!G10/'Profit Loss'!G4</f>
        <v>0.44999999999999996</v>
      </c>
      <c r="H9" s="124">
        <f>'Profit Loss'!H10/'Profit Loss'!H4</f>
        <v>0.44</v>
      </c>
      <c r="I9" s="124">
        <f>'Profit Loss'!I10/'Profit Loss'!I4</f>
        <v>0.43500000000000005</v>
      </c>
      <c r="J9" s="124">
        <f>'Profit Loss'!J10/'Profit Loss'!J4</f>
        <v>0.43</v>
      </c>
      <c r="K9" s="124">
        <f>'Profit Loss'!K10/'Profit Loss'!K4</f>
        <v>0.42499999999999999</v>
      </c>
      <c r="L9" s="28" t="s">
        <v>456</v>
      </c>
      <c r="M9" s="131">
        <v>6.5000000000000002E-2</v>
      </c>
      <c r="N9" s="131">
        <v>6.5000000000000002E-2</v>
      </c>
      <c r="O9" s="131">
        <v>6.5000000000000002E-2</v>
      </c>
      <c r="P9" s="131">
        <v>6.5000000000000002E-2</v>
      </c>
      <c r="Q9" s="131">
        <v>6.5000000000000002E-2</v>
      </c>
      <c r="R9" s="53"/>
      <c r="S9" s="53"/>
      <c r="T9" s="53"/>
      <c r="U9" s="50"/>
      <c r="V9" s="50"/>
      <c r="W9" s="50"/>
      <c r="X9" s="50"/>
      <c r="Y9" s="50"/>
      <c r="Z9" s="50"/>
      <c r="AA9" s="50"/>
      <c r="AB9" s="50"/>
      <c r="AC9" s="50"/>
      <c r="AD9" s="50"/>
      <c r="AE9" s="52"/>
      <c r="AF9" s="52"/>
      <c r="AG9" s="52"/>
      <c r="AH9" s="52"/>
      <c r="AI9" s="52"/>
      <c r="AJ9" s="52"/>
      <c r="AK9" s="52"/>
      <c r="AL9" s="52"/>
      <c r="AM9" s="52"/>
      <c r="AN9" s="52"/>
      <c r="AO9" s="52"/>
      <c r="AP9" s="52"/>
      <c r="AQ9" s="52"/>
    </row>
    <row r="10" spans="1:43">
      <c r="A10" s="29" t="s">
        <v>144</v>
      </c>
      <c r="B10" s="123">
        <f>'Profit Loss'!B11/'Profit Loss'!B4</f>
        <v>0.52813541598588332</v>
      </c>
      <c r="C10" s="123">
        <f>'Profit Loss'!C11/'Profit Loss'!C4</f>
        <v>0.53389112476170308</v>
      </c>
      <c r="D10" s="123">
        <f>'Profit Loss'!D11/'Profit Loss'!D4</f>
        <v>0.55151324369294419</v>
      </c>
      <c r="E10" s="123">
        <f>'Profit Loss'!E11/'Profit Loss'!E4</f>
        <v>0.55813212208144081</v>
      </c>
      <c r="F10" s="123">
        <f>'Profit Loss'!F11/'Profit Loss'!F4</f>
        <v>0.55320055383959954</v>
      </c>
      <c r="G10" s="124">
        <f>'Profit Loss'!G11/'Profit Loss'!G4</f>
        <v>0.55000000000000004</v>
      </c>
      <c r="H10" s="124">
        <f>'Profit Loss'!H11/'Profit Loss'!H4</f>
        <v>0.55999999999999994</v>
      </c>
      <c r="I10" s="124">
        <f>'Profit Loss'!I11/'Profit Loss'!I4</f>
        <v>0.56499999999999995</v>
      </c>
      <c r="J10" s="124">
        <f>'Profit Loss'!J11/'Profit Loss'!J4</f>
        <v>0.57000000000000006</v>
      </c>
      <c r="K10" s="124">
        <f>'Profit Loss'!K11/'Profit Loss'!K4</f>
        <v>0.57499999999999996</v>
      </c>
      <c r="L10" s="28" t="s">
        <v>457</v>
      </c>
      <c r="M10" s="101">
        <v>0.3</v>
      </c>
      <c r="N10" s="101">
        <v>0.32</v>
      </c>
      <c r="O10" s="101">
        <v>0.33</v>
      </c>
      <c r="P10" s="101">
        <v>0.34</v>
      </c>
      <c r="Q10" s="101">
        <v>0.35</v>
      </c>
      <c r="R10" s="53"/>
      <c r="S10" s="53"/>
      <c r="T10" s="53"/>
      <c r="U10" s="50"/>
      <c r="V10" s="50"/>
      <c r="W10" s="50"/>
      <c r="X10" s="50"/>
      <c r="Y10" s="50"/>
      <c r="Z10" s="50"/>
      <c r="AA10" s="50"/>
      <c r="AB10" s="50"/>
      <c r="AC10" s="50"/>
      <c r="AD10" s="50"/>
      <c r="AE10" s="52"/>
      <c r="AF10" s="52"/>
      <c r="AG10" s="52"/>
      <c r="AH10" s="52"/>
      <c r="AI10" s="52"/>
      <c r="AJ10" s="52"/>
      <c r="AK10" s="52"/>
      <c r="AL10" s="52"/>
      <c r="AM10" s="52"/>
      <c r="AN10" s="52"/>
      <c r="AO10" s="52"/>
      <c r="AP10" s="52"/>
      <c r="AQ10" s="52"/>
    </row>
    <row r="11" spans="1:43">
      <c r="A11" s="29" t="s">
        <v>156</v>
      </c>
      <c r="B11" s="123">
        <f>'Profit Loss'!B13/'Profit Loss'!B4</f>
        <v>1.5685249330109144E-3</v>
      </c>
      <c r="C11" s="123">
        <f>'Profit Loss'!C13/'Profit Loss'!C4</f>
        <v>5.8250370684177083E-4</v>
      </c>
      <c r="D11" s="123">
        <f>'Profit Loss'!D13/'Profit Loss'!D4</f>
        <v>2.7431757881009127E-3</v>
      </c>
      <c r="E11" s="123">
        <f>'Profit Loss'!E13/'Profit Loss'!E4</f>
        <v>1.0917204558132122E-2</v>
      </c>
      <c r="F11" s="123">
        <f>'Profit Loss'!F13/'Profit Loss'!F4</f>
        <v>1.1609330067099797E-2</v>
      </c>
      <c r="G11" s="124">
        <f>'Profit Loss'!G13/'Profit Loss'!G4</f>
        <v>1.0780092205164096E-2</v>
      </c>
      <c r="H11" s="124">
        <f>'Profit Loss'!H13/'Profit Loss'!H4</f>
        <v>9.9215007905935054E-3</v>
      </c>
      <c r="I11" s="124">
        <f>'Profit Loss'!I13/'Profit Loss'!I4</f>
        <v>9.2128221626939684E-3</v>
      </c>
      <c r="J11" s="124">
        <f>'Profit Loss'!J13/'Profit Loss'!J4</f>
        <v>8.6318333776592131E-3</v>
      </c>
      <c r="K11" s="124">
        <f>'Profit Loss'!K13/'Profit Loss'!K4</f>
        <v>8.1610061025141657E-3</v>
      </c>
      <c r="L11" s="28" t="s">
        <v>458</v>
      </c>
      <c r="M11" s="131">
        <v>3.5000000000000003E-2</v>
      </c>
      <c r="N11" s="131">
        <v>3.5000000000000003E-2</v>
      </c>
      <c r="O11" s="131">
        <v>3.5000000000000003E-2</v>
      </c>
      <c r="P11" s="131">
        <v>3.5000000000000003E-2</v>
      </c>
      <c r="Q11" s="131">
        <v>3.5000000000000003E-2</v>
      </c>
      <c r="R11" s="53"/>
      <c r="S11" s="53"/>
      <c r="T11" s="53"/>
      <c r="U11" s="50"/>
      <c r="V11" s="50"/>
      <c r="W11" s="50"/>
      <c r="X11" s="50"/>
      <c r="Y11" s="50"/>
      <c r="Z11" s="50"/>
      <c r="AA11" s="50"/>
      <c r="AB11" s="50"/>
      <c r="AC11" s="50"/>
      <c r="AD11" s="50"/>
      <c r="AE11" s="52"/>
      <c r="AF11" s="52"/>
      <c r="AG11" s="52"/>
      <c r="AH11" s="52"/>
      <c r="AI11" s="52"/>
      <c r="AJ11" s="52"/>
      <c r="AK11" s="52"/>
      <c r="AL11" s="52"/>
      <c r="AM11" s="52"/>
      <c r="AN11" s="52"/>
      <c r="AO11" s="52"/>
      <c r="AP11" s="52"/>
      <c r="AQ11" s="52"/>
    </row>
    <row r="12" spans="1:43">
      <c r="A12" s="29" t="s">
        <v>157</v>
      </c>
      <c r="B12" s="123">
        <f>'Profit Loss'!B15/'Profit Loss'!B4</f>
        <v>-2.4834978106006142E-2</v>
      </c>
      <c r="C12" s="123">
        <f>'Profit Loss'!C15/'Profit Loss'!C4</f>
        <v>-2.2823554331709385E-2</v>
      </c>
      <c r="D12" s="123">
        <f>'Profit Loss'!D15/'Profit Loss'!D4</f>
        <v>-2.1180914691729998E-2</v>
      </c>
      <c r="E12" s="123">
        <f>'Profit Loss'!E15/'Profit Loss'!E4</f>
        <v>-2.2910192047175072E-2</v>
      </c>
      <c r="F12" s="123">
        <f>'Profit Loss'!F15/'Profit Loss'!F4</f>
        <v>-2.2934639826747611E-2</v>
      </c>
      <c r="G12" s="124">
        <f>'Profit Loss'!G15/'Profit Loss'!G4</f>
        <v>-9.5690435616146551E-3</v>
      </c>
      <c r="H12" s="124">
        <f>'Profit Loss'!H15/'Profit Loss'!H4</f>
        <v>-7.9772711492234524E-3</v>
      </c>
      <c r="I12" s="124">
        <f>'Profit Loss'!I15/'Profit Loss'!I4</f>
        <v>-6.6842519244866829E-3</v>
      </c>
      <c r="J12" s="124">
        <f>'Profit Loss'!J15/'Profit Loss'!J4</f>
        <v>-5.6269732638567563E-3</v>
      </c>
      <c r="K12" s="124">
        <f>'Profit Loss'!K15/'Profit Loss'!K4</f>
        <v>-4.756452679177162E-3</v>
      </c>
      <c r="L12" s="28" t="s">
        <v>118</v>
      </c>
      <c r="M12" s="101">
        <v>0.16</v>
      </c>
      <c r="N12" s="101">
        <v>0.16</v>
      </c>
      <c r="O12" s="101">
        <v>0.16</v>
      </c>
      <c r="P12" s="101">
        <v>0.16</v>
      </c>
      <c r="Q12" s="101">
        <v>0.16</v>
      </c>
      <c r="R12" s="53"/>
      <c r="S12" s="53"/>
      <c r="T12" s="53"/>
      <c r="U12" s="50"/>
      <c r="V12" s="50"/>
      <c r="W12" s="50"/>
      <c r="X12" s="50"/>
      <c r="Y12" s="50"/>
      <c r="Z12" s="50"/>
      <c r="AA12" s="50"/>
      <c r="AB12" s="50"/>
      <c r="AC12" s="50"/>
      <c r="AD12" s="50"/>
      <c r="AE12" s="52"/>
      <c r="AF12" s="52"/>
      <c r="AG12" s="52"/>
      <c r="AH12" s="52"/>
      <c r="AI12" s="52"/>
      <c r="AJ12" s="52"/>
      <c r="AK12" s="52"/>
      <c r="AL12" s="52"/>
      <c r="AM12" s="52"/>
      <c r="AN12" s="52"/>
      <c r="AO12" s="52"/>
      <c r="AP12" s="52"/>
      <c r="AQ12" s="52"/>
    </row>
    <row r="13" spans="1:43">
      <c r="A13" s="29" t="s">
        <v>158</v>
      </c>
      <c r="B13" s="123">
        <f>'Profit Loss'!B17/'Profit Loss'!B4</f>
        <v>-2.097902097902098E-2</v>
      </c>
      <c r="C13" s="123">
        <f>'Profit Loss'!C17/'Profit Loss'!C4</f>
        <v>1.1914848549036221E-2</v>
      </c>
      <c r="D13" s="123">
        <f>'Profit Loss'!D17/'Profit Loss'!D4</f>
        <v>-2.3924090479830913E-2</v>
      </c>
      <c r="E13" s="123">
        <f>'Profit Loss'!E17/'Profit Loss'!E4</f>
        <v>-1.4702366722448004E-2</v>
      </c>
      <c r="F13" s="123">
        <f>'Profit Loss'!F17/'Profit Loss'!F4</f>
        <v>-1.1644832605531296E-2</v>
      </c>
      <c r="G13" s="124">
        <f>'Profit Loss'!G17/'Profit Loss'!G4</f>
        <v>1.2110486435494398E-3</v>
      </c>
      <c r="H13" s="124">
        <f>'Profit Loss'!H17/'Profit Loss'!H4</f>
        <v>1.9442296413700532E-3</v>
      </c>
      <c r="I13" s="124">
        <f>'Profit Loss'!I17/'Profit Loss'!I4</f>
        <v>2.5285702382072854E-3</v>
      </c>
      <c r="J13" s="124">
        <f>'Profit Loss'!J17/'Profit Loss'!J4</f>
        <v>3.0048601138024573E-3</v>
      </c>
      <c r="K13" s="124">
        <f>'Profit Loss'!K17/'Profit Loss'!K4</f>
        <v>3.4045534233370037E-3</v>
      </c>
      <c r="L13" s="203" t="s">
        <v>2215</v>
      </c>
      <c r="M13" s="467"/>
      <c r="N13" s="468"/>
      <c r="O13" s="468"/>
      <c r="P13" s="468"/>
      <c r="Q13" s="468"/>
      <c r="R13" s="64"/>
      <c r="S13" s="53"/>
      <c r="T13" s="53"/>
      <c r="U13" s="53"/>
      <c r="V13" s="53"/>
      <c r="W13" s="53"/>
      <c r="X13" s="50"/>
      <c r="Y13" s="50"/>
      <c r="Z13" s="50"/>
      <c r="AA13" s="50"/>
      <c r="AB13" s="50"/>
      <c r="AC13" s="50"/>
      <c r="AD13" s="50"/>
      <c r="AE13" s="52"/>
      <c r="AF13" s="52"/>
      <c r="AG13" s="52"/>
      <c r="AH13" s="52"/>
      <c r="AI13" s="52"/>
      <c r="AJ13" s="52"/>
      <c r="AK13" s="52"/>
      <c r="AL13" s="52"/>
      <c r="AM13" s="52"/>
      <c r="AN13" s="52"/>
      <c r="AO13" s="52"/>
      <c r="AP13" s="52"/>
      <c r="AQ13" s="52"/>
    </row>
    <row r="14" spans="1:43">
      <c r="A14" s="29" t="s">
        <v>159</v>
      </c>
      <c r="B14" s="123">
        <f>'Profit Loss'!B18/'Profit Loss'!B4</f>
        <v>0.50715639500686227</v>
      </c>
      <c r="C14" s="123">
        <f>'Profit Loss'!C18/'Profit Loss'!C4</f>
        <v>0.54580597331073921</v>
      </c>
      <c r="D14" s="123">
        <f>'Profit Loss'!D18/'Profit Loss'!D4</f>
        <v>0.52758915321311328</v>
      </c>
      <c r="E14" s="123">
        <f>'Profit Loss'!E18/'Profit Loss'!E4</f>
        <v>0.54342975535899274</v>
      </c>
      <c r="F14" s="123">
        <f>'Profit Loss'!F18/'Profit Loss'!F4</f>
        <v>0.54155572123406825</v>
      </c>
      <c r="G14" s="124">
        <f>'Profit Loss'!G18/'Profit Loss'!G4</f>
        <v>0.55121104864354953</v>
      </c>
      <c r="H14" s="124">
        <f>'Profit Loss'!H18/'Profit Loss'!H4</f>
        <v>0.56194422964137003</v>
      </c>
      <c r="I14" s="124">
        <f>'Profit Loss'!I18/'Profit Loss'!I4</f>
        <v>0.56752857023820724</v>
      </c>
      <c r="J14" s="124">
        <f>'Profit Loss'!J18/'Profit Loss'!J4</f>
        <v>0.57300486011380247</v>
      </c>
      <c r="K14" s="124">
        <f>'Profit Loss'!K18/'Profit Loss'!K4</f>
        <v>0.57840455342333696</v>
      </c>
      <c r="L14" s="53"/>
      <c r="M14" s="393" t="s">
        <v>481</v>
      </c>
      <c r="N14" s="393" t="s">
        <v>483</v>
      </c>
      <c r="O14" s="53"/>
      <c r="P14" s="53"/>
      <c r="Q14" s="53"/>
      <c r="R14" s="53"/>
      <c r="S14" s="53"/>
      <c r="T14" s="53"/>
      <c r="U14" s="50"/>
      <c r="V14" s="50"/>
      <c r="W14" s="50"/>
      <c r="X14" s="50"/>
      <c r="Y14" s="50"/>
      <c r="Z14" s="50"/>
      <c r="AA14" s="50"/>
      <c r="AB14" s="50"/>
      <c r="AC14" s="50"/>
      <c r="AD14" s="50"/>
      <c r="AE14" s="52"/>
      <c r="AF14" s="52"/>
      <c r="AG14" s="52"/>
      <c r="AH14" s="52"/>
      <c r="AI14" s="52"/>
      <c r="AJ14" s="52"/>
      <c r="AK14" s="52"/>
      <c r="AL14" s="52"/>
      <c r="AM14" s="52"/>
      <c r="AN14" s="52"/>
      <c r="AO14" s="52"/>
      <c r="AP14" s="52"/>
      <c r="AQ14" s="52"/>
    </row>
    <row r="15" spans="1:43">
      <c r="A15" s="29" t="s">
        <v>160</v>
      </c>
      <c r="B15" s="123">
        <f>'Profit Loss'!B19/'Profit Loss'!B4</f>
        <v>8.8164172276321812E-2</v>
      </c>
      <c r="C15" s="123">
        <f>'Profit Loss'!C19/'Profit Loss'!C4</f>
        <v>8.5786909553060786E-2</v>
      </c>
      <c r="D15" s="123">
        <f>'Profit Loss'!D19/'Profit Loss'!D4</f>
        <v>8.1036110986194176E-2</v>
      </c>
      <c r="E15" s="123">
        <f>'Profit Loss'!E19/'Profit Loss'!E4</f>
        <v>9.7378277153558054E-2</v>
      </c>
      <c r="F15" s="123">
        <f>'Profit Loss'!F19/'Profit Loss'!F4</f>
        <v>8.4496041466964891E-2</v>
      </c>
      <c r="G15" s="124">
        <f>'Profit Loss'!G19/'Profit Loss'!G4</f>
        <v>8.8193767782967933E-2</v>
      </c>
      <c r="H15" s="124">
        <f>'Profit Loss'!H19/'Profit Loss'!H4</f>
        <v>8.9911076742619209E-2</v>
      </c>
      <c r="I15" s="124">
        <f>'Profit Loss'!I19/'Profit Loss'!I4</f>
        <v>9.0804571238113155E-2</v>
      </c>
      <c r="J15" s="124">
        <f>'Profit Loss'!J19/'Profit Loss'!J4</f>
        <v>9.1680777618208392E-2</v>
      </c>
      <c r="K15" s="124">
        <f>'Profit Loss'!K19/'Profit Loss'!K4</f>
        <v>9.2544728547733934E-2</v>
      </c>
      <c r="L15" s="53"/>
      <c r="M15" s="394" t="s">
        <v>482</v>
      </c>
      <c r="N15" s="394" t="s">
        <v>484</v>
      </c>
      <c r="O15" s="53"/>
      <c r="P15" s="53"/>
      <c r="Q15" s="53"/>
      <c r="R15" s="53"/>
      <c r="S15" s="53"/>
      <c r="T15" s="53"/>
      <c r="U15" s="50"/>
      <c r="V15" s="50"/>
      <c r="W15" s="50"/>
      <c r="X15" s="50"/>
      <c r="Y15" s="50"/>
      <c r="Z15" s="50"/>
      <c r="AA15" s="50"/>
      <c r="AB15" s="50"/>
      <c r="AC15" s="50"/>
      <c r="AD15" s="50"/>
      <c r="AE15" s="52"/>
      <c r="AF15" s="52"/>
      <c r="AG15" s="52"/>
      <c r="AH15" s="52"/>
      <c r="AI15" s="52"/>
      <c r="AJ15" s="52"/>
      <c r="AK15" s="52"/>
      <c r="AL15" s="52"/>
      <c r="AM15" s="52"/>
      <c r="AN15" s="52"/>
      <c r="AO15" s="52"/>
      <c r="AP15" s="52"/>
      <c r="AQ15" s="52"/>
    </row>
    <row r="16" spans="1:43">
      <c r="A16" s="29" t="s">
        <v>19</v>
      </c>
      <c r="B16" s="123">
        <f>'Profit Loss'!B20/'Profit Loss'!B4</f>
        <v>0.41899222273054049</v>
      </c>
      <c r="C16" s="123">
        <f>'Profit Loss'!C20/'Profit Loss'!C4</f>
        <v>0.46001906375767848</v>
      </c>
      <c r="D16" s="123">
        <f>'Profit Loss'!D20/'Profit Loss'!D4</f>
        <v>0.44655304222691911</v>
      </c>
      <c r="E16" s="123">
        <f>'Profit Loss'!E20/'Profit Loss'!E4</f>
        <v>0.44605147820543467</v>
      </c>
      <c r="F16" s="123">
        <f>'Profit Loss'!F20/'Profit Loss'!F4</f>
        <v>0.45705967976710332</v>
      </c>
      <c r="G16" s="124">
        <f>'Profit Loss'!G20/'Profit Loss'!G4</f>
        <v>0.46301728086058158</v>
      </c>
      <c r="H16" s="124">
        <f>'Profit Loss'!H20/'Profit Loss'!H4</f>
        <v>0.47203315289875081</v>
      </c>
      <c r="I16" s="124">
        <f>'Profit Loss'!I20/'Profit Loss'!I4</f>
        <v>0.47672399900009405</v>
      </c>
      <c r="J16" s="124">
        <f>'Profit Loss'!J20/'Profit Loss'!J4</f>
        <v>0.48132408249559405</v>
      </c>
      <c r="K16" s="124">
        <f>'Profit Loss'!K20/'Profit Loss'!K4</f>
        <v>0.48585982487560309</v>
      </c>
      <c r="L16" s="53"/>
      <c r="M16" s="53"/>
      <c r="N16" s="53"/>
      <c r="O16" s="53"/>
      <c r="P16" s="53"/>
      <c r="Q16" s="53"/>
      <c r="R16" s="53"/>
      <c r="S16" s="53"/>
      <c r="T16" s="53"/>
      <c r="U16" s="50"/>
      <c r="V16" s="50"/>
      <c r="W16" s="50"/>
      <c r="X16" s="50"/>
      <c r="Y16" s="50"/>
      <c r="Z16" s="50"/>
      <c r="AA16" s="50"/>
      <c r="AB16" s="50"/>
      <c r="AC16" s="50"/>
      <c r="AD16" s="50"/>
      <c r="AE16" s="52"/>
      <c r="AF16" s="52"/>
      <c r="AG16" s="52"/>
      <c r="AH16" s="52"/>
      <c r="AI16" s="52"/>
      <c r="AJ16" s="52"/>
      <c r="AK16" s="52"/>
      <c r="AL16" s="52"/>
      <c r="AM16" s="52"/>
      <c r="AN16" s="52"/>
      <c r="AO16" s="52"/>
      <c r="AP16" s="52"/>
      <c r="AQ16" s="52"/>
    </row>
    <row r="17" spans="1:43">
      <c r="A17" s="29" t="s">
        <v>139</v>
      </c>
      <c r="B17" s="123">
        <f>'Profit Loss'!B25/'Profit Loss'!B4</f>
        <v>0.56604143520031369</v>
      </c>
      <c r="C17" s="123">
        <f>'Profit Loss'!C25/'Profit Loss'!C4</f>
        <v>0.57233636941325994</v>
      </c>
      <c r="D17" s="123">
        <f>'Profit Loss'!D25/'Profit Loss'!D4</f>
        <v>0.5852408148581193</v>
      </c>
      <c r="E17" s="123">
        <f>'Profit Loss'!E25/'Profit Loss'!E4</f>
        <v>0.58996732807395014</v>
      </c>
      <c r="F17" s="123">
        <f>'Profit Loss'!F25/'Profit Loss'!F4</f>
        <v>0.58504633081265311</v>
      </c>
      <c r="G17" s="124">
        <f>'Profit Loss'!G25/'Profit Loss'!G4</f>
        <v>0.57999999999999996</v>
      </c>
      <c r="H17" s="124">
        <f>'Profit Loss'!H25/'Profit Loss'!H4</f>
        <v>0.58899999999999997</v>
      </c>
      <c r="I17" s="124">
        <f>'Profit Loss'!I25/'Profit Loss'!I4</f>
        <v>0.59299999999999997</v>
      </c>
      <c r="J17" s="124">
        <f>'Profit Loss'!J25/'Profit Loss'!J4</f>
        <v>0.59700000000000009</v>
      </c>
      <c r="K17" s="124">
        <f>'Profit Loss'!K25/'Profit Loss'!K4</f>
        <v>0.60099999999999998</v>
      </c>
      <c r="L17" s="53"/>
      <c r="M17" s="53"/>
      <c r="N17" s="53"/>
      <c r="O17" s="53"/>
      <c r="P17" s="53"/>
      <c r="Q17" s="53"/>
      <c r="R17" s="53"/>
      <c r="S17" s="53"/>
      <c r="T17" s="53"/>
      <c r="U17" s="50"/>
      <c r="V17" s="50"/>
      <c r="W17" s="50"/>
      <c r="X17" s="50"/>
      <c r="Y17" s="50"/>
      <c r="Z17" s="50"/>
      <c r="AA17" s="50"/>
      <c r="AB17" s="50"/>
      <c r="AC17" s="50"/>
      <c r="AD17" s="50"/>
      <c r="AE17" s="52"/>
      <c r="AF17" s="52"/>
      <c r="AG17" s="52"/>
      <c r="AH17" s="52"/>
      <c r="AI17" s="52"/>
      <c r="AJ17" s="52"/>
      <c r="AK17" s="52"/>
      <c r="AL17" s="52"/>
      <c r="AM17" s="52"/>
      <c r="AN17" s="52"/>
      <c r="AO17" s="52"/>
      <c r="AP17" s="52"/>
      <c r="AQ17" s="52"/>
    </row>
    <row r="18" spans="1:43">
      <c r="A18" s="53"/>
      <c r="B18" s="125"/>
      <c r="C18" s="125"/>
      <c r="D18" s="125"/>
      <c r="E18" s="125"/>
      <c r="F18" s="125"/>
      <c r="G18" s="125"/>
      <c r="H18" s="125"/>
      <c r="I18" s="125"/>
      <c r="J18" s="125"/>
      <c r="K18" s="125"/>
      <c r="L18" s="50"/>
      <c r="M18" s="50"/>
      <c r="N18" s="50"/>
      <c r="O18" s="50"/>
      <c r="P18" s="50"/>
      <c r="Q18" s="50"/>
      <c r="R18" s="50"/>
      <c r="S18" s="50"/>
      <c r="T18" s="50"/>
      <c r="U18" s="50"/>
      <c r="V18" s="50"/>
      <c r="W18" s="50"/>
      <c r="X18" s="50"/>
      <c r="Y18" s="50"/>
      <c r="Z18" s="50"/>
      <c r="AA18" s="50"/>
      <c r="AB18" s="50"/>
      <c r="AC18" s="50"/>
      <c r="AD18" s="50"/>
      <c r="AE18" s="52"/>
      <c r="AF18" s="52"/>
      <c r="AG18" s="52"/>
      <c r="AH18" s="52"/>
      <c r="AI18" s="52"/>
      <c r="AJ18" s="52"/>
      <c r="AK18" s="52"/>
      <c r="AL18" s="52"/>
      <c r="AM18" s="52"/>
      <c r="AN18" s="52"/>
      <c r="AO18" s="52"/>
      <c r="AP18" s="52"/>
      <c r="AQ18" s="52"/>
    </row>
    <row r="19" spans="1:43">
      <c r="A19" s="3" t="s">
        <v>174</v>
      </c>
      <c r="B19" s="12" t="s">
        <v>119</v>
      </c>
      <c r="C19" s="12" t="s">
        <v>120</v>
      </c>
      <c r="D19" s="12" t="s">
        <v>121</v>
      </c>
      <c r="E19" s="12" t="s">
        <v>122</v>
      </c>
      <c r="F19" s="12" t="s">
        <v>123</v>
      </c>
      <c r="G19" s="12" t="s">
        <v>145</v>
      </c>
      <c r="H19" s="12" t="s">
        <v>146</v>
      </c>
      <c r="I19" s="12" t="s">
        <v>147</v>
      </c>
      <c r="J19" s="12" t="s">
        <v>148</v>
      </c>
      <c r="K19" s="12" t="s">
        <v>149</v>
      </c>
      <c r="L19" s="50"/>
      <c r="M19" s="50"/>
      <c r="N19" s="50"/>
      <c r="O19" s="50"/>
      <c r="P19" s="50"/>
      <c r="Q19" s="50"/>
      <c r="R19" s="50"/>
      <c r="S19" s="50"/>
      <c r="T19" s="50"/>
      <c r="U19" s="50"/>
      <c r="V19" s="50"/>
      <c r="W19" s="50"/>
      <c r="X19" s="50"/>
      <c r="Y19" s="50"/>
      <c r="Z19" s="50"/>
      <c r="AA19" s="50"/>
      <c r="AB19" s="50"/>
      <c r="AC19" s="50"/>
      <c r="AD19" s="50"/>
      <c r="AE19" s="52"/>
      <c r="AF19" s="52"/>
      <c r="AG19" s="52"/>
      <c r="AH19" s="52"/>
      <c r="AI19" s="52"/>
      <c r="AJ19" s="52"/>
      <c r="AK19" s="52"/>
      <c r="AL19" s="52"/>
      <c r="AM19" s="52"/>
      <c r="AN19" s="52"/>
      <c r="AO19" s="52"/>
      <c r="AP19" s="52"/>
      <c r="AQ19" s="52"/>
    </row>
    <row r="20" spans="1:43">
      <c r="A20" s="39" t="s">
        <v>162</v>
      </c>
      <c r="B20" s="126">
        <v>2020</v>
      </c>
      <c r="C20" s="126">
        <v>2021</v>
      </c>
      <c r="D20" s="126">
        <v>2022</v>
      </c>
      <c r="E20" s="126">
        <v>2023</v>
      </c>
      <c r="F20" s="126">
        <v>2024</v>
      </c>
      <c r="G20" s="86" t="s">
        <v>124</v>
      </c>
      <c r="H20" s="86" t="s">
        <v>125</v>
      </c>
      <c r="I20" s="86" t="s">
        <v>126</v>
      </c>
      <c r="J20" s="86" t="s">
        <v>127</v>
      </c>
      <c r="K20" s="86" t="s">
        <v>128</v>
      </c>
      <c r="L20" s="50"/>
      <c r="M20" s="50"/>
      <c r="N20" s="50"/>
      <c r="O20" s="50"/>
      <c r="P20" s="50"/>
      <c r="Q20" s="50"/>
      <c r="R20" s="50"/>
      <c r="S20" s="50"/>
      <c r="T20" s="50"/>
      <c r="U20" s="50"/>
      <c r="V20" s="50"/>
      <c r="W20" s="50"/>
      <c r="X20" s="50"/>
      <c r="Y20" s="50"/>
      <c r="Z20" s="50"/>
      <c r="AA20" s="50"/>
      <c r="AB20" s="50"/>
      <c r="AC20" s="50"/>
      <c r="AD20" s="50"/>
      <c r="AE20" s="52"/>
      <c r="AF20" s="52"/>
      <c r="AG20" s="52"/>
      <c r="AH20" s="52"/>
      <c r="AI20" s="52"/>
      <c r="AJ20" s="52"/>
      <c r="AK20" s="52"/>
      <c r="AL20" s="52"/>
      <c r="AM20" s="52"/>
      <c r="AN20" s="52"/>
      <c r="AO20" s="52"/>
      <c r="AP20" s="52"/>
      <c r="AQ20" s="52"/>
    </row>
    <row r="21" spans="1:43">
      <c r="A21" s="29" t="s">
        <v>163</v>
      </c>
      <c r="B21" s="123">
        <f>Balance_Sheet!B4/Balance_Sheet!B17</f>
        <v>0.30112553596950931</v>
      </c>
      <c r="C21" s="123">
        <f>Balance_Sheet!C4/Balance_Sheet!C17</f>
        <v>0.19700549523480845</v>
      </c>
      <c r="D21" s="123">
        <f>Balance_Sheet!D4/Balance_Sheet!D17</f>
        <v>0.18097303997520917</v>
      </c>
      <c r="E21" s="123">
        <f>Balance_Sheet!E4/Balance_Sheet!E17</f>
        <v>0.20231813041839428</v>
      </c>
      <c r="F21" s="123">
        <f>Balance_Sheet!F4/Balance_Sheet!F17</f>
        <v>0.17557871092531355</v>
      </c>
      <c r="G21" s="124">
        <f>M10</f>
        <v>0.3</v>
      </c>
      <c r="H21" s="124">
        <f>N10</f>
        <v>0.32</v>
      </c>
      <c r="I21" s="124">
        <f>O10</f>
        <v>0.33</v>
      </c>
      <c r="J21" s="124">
        <f>P10</f>
        <v>0.34</v>
      </c>
      <c r="K21" s="124">
        <f>Q10</f>
        <v>0.35</v>
      </c>
      <c r="L21" s="53"/>
      <c r="M21" s="53"/>
      <c r="N21" s="53"/>
      <c r="O21" s="53"/>
      <c r="P21" s="53"/>
      <c r="Q21" s="53"/>
      <c r="R21" s="53"/>
      <c r="S21" s="53"/>
      <c r="T21" s="53"/>
      <c r="U21" s="50"/>
      <c r="V21" s="50"/>
      <c r="W21" s="50"/>
      <c r="X21" s="50"/>
      <c r="Y21" s="50"/>
      <c r="Z21" s="50"/>
      <c r="AA21" s="50"/>
      <c r="AB21" s="50"/>
      <c r="AC21" s="50"/>
      <c r="AD21" s="50"/>
      <c r="AE21" s="52"/>
      <c r="AF21" s="52"/>
      <c r="AG21" s="52"/>
      <c r="AH21" s="52"/>
      <c r="AI21" s="52"/>
      <c r="AJ21" s="52"/>
      <c r="AK21" s="52"/>
      <c r="AL21" s="52"/>
      <c r="AM21" s="52"/>
      <c r="AN21" s="52"/>
      <c r="AO21" s="52"/>
      <c r="AP21" s="52"/>
      <c r="AQ21" s="52"/>
    </row>
    <row r="22" spans="1:43">
      <c r="A22" s="29" t="s">
        <v>164</v>
      </c>
      <c r="B22" s="123">
        <f>Balance_Sheet!B7/Balance_Sheet!B17</f>
        <v>7.8787517865650303E-2</v>
      </c>
      <c r="C22" s="123">
        <f>Balance_Sheet!C7/Balance_Sheet!C17</f>
        <v>7.9800366348987226E-2</v>
      </c>
      <c r="D22" s="123">
        <f>Balance_Sheet!D7/Balance_Sheet!D17</f>
        <v>8.8446441483317845E-2</v>
      </c>
      <c r="E22" s="123">
        <f>Balance_Sheet!E7/Balance_Sheet!E17</f>
        <v>1.394647568790049E-2</v>
      </c>
      <c r="F22" s="123">
        <f>Balance_Sheet!F7/Balance_Sheet!F17</f>
        <v>6.8634179821551134E-3</v>
      </c>
      <c r="G22" s="124">
        <f>Balance_Sheet!G7/Balance_Sheet!G17</f>
        <v>6.9513910773590986E-3</v>
      </c>
      <c r="H22" s="124">
        <f>Balance_Sheet!H7/Balance_Sheet!H17</f>
        <v>7.2839305647108468E-3</v>
      </c>
      <c r="I22" s="124">
        <f>Balance_Sheet!I7/Balance_Sheet!I17</f>
        <v>7.5910713109311936E-3</v>
      </c>
      <c r="J22" s="124">
        <f>Balance_Sheet!J7/Balance_Sheet!J17</f>
        <v>7.8579338837312575E-3</v>
      </c>
      <c r="K22" s="124">
        <f>Balance_Sheet!K7/Balance_Sheet!K17</f>
        <v>8.0879164176398052E-3</v>
      </c>
      <c r="L22" s="53"/>
      <c r="M22" s="53"/>
      <c r="N22" s="53"/>
      <c r="O22" s="53"/>
      <c r="P22" s="53"/>
      <c r="Q22" s="53"/>
      <c r="R22" s="53"/>
      <c r="S22" s="53"/>
      <c r="T22" s="53"/>
      <c r="U22" s="50"/>
      <c r="V22" s="50"/>
      <c r="W22" s="50"/>
      <c r="X22" s="50"/>
      <c r="Y22" s="50"/>
      <c r="Z22" s="50"/>
      <c r="AA22" s="50"/>
      <c r="AB22" s="50"/>
      <c r="AC22" s="50"/>
      <c r="AD22" s="50"/>
      <c r="AE22" s="52"/>
      <c r="AF22" s="52"/>
      <c r="AG22" s="52"/>
      <c r="AH22" s="52"/>
      <c r="AI22" s="52"/>
      <c r="AJ22" s="52"/>
      <c r="AK22" s="52"/>
      <c r="AL22" s="52"/>
      <c r="AM22" s="52"/>
      <c r="AN22" s="52"/>
      <c r="AO22" s="52"/>
      <c r="AP22" s="52"/>
      <c r="AQ22" s="52"/>
    </row>
    <row r="23" spans="1:43">
      <c r="A23" s="29" t="s">
        <v>165</v>
      </c>
      <c r="B23" s="123">
        <f>Balance_Sheet!B8/Balance_Sheet!B17</f>
        <v>5.0797999047165317E-2</v>
      </c>
      <c r="C23" s="123">
        <f>Balance_Sheet!C8/Balance_Sheet!C17</f>
        <v>3.5015530011415219E-2</v>
      </c>
      <c r="D23" s="123">
        <f>Balance_Sheet!D8/Balance_Sheet!D17</f>
        <v>3.2796198739799609E-2</v>
      </c>
      <c r="E23" s="123">
        <f>Balance_Sheet!E8/Balance_Sheet!E17</f>
        <v>9.5646437994722958E-2</v>
      </c>
      <c r="F23" s="123">
        <f>Balance_Sheet!F8/Balance_Sheet!F17</f>
        <v>7.8471745595973461E-2</v>
      </c>
      <c r="G23" s="124">
        <f>Balance_Sheet!G8/Balance_Sheet!G17</f>
        <v>7.9614222595394801E-2</v>
      </c>
      <c r="H23" s="124">
        <f>Balance_Sheet!H8/Balance_Sheet!H17</f>
        <v>8.3422794501816541E-2</v>
      </c>
      <c r="I23" s="124">
        <f>Balance_Sheet!I8/Balance_Sheet!I17</f>
        <v>8.6940474843143586E-2</v>
      </c>
      <c r="J23" s="124">
        <f>Balance_Sheet!J8/Balance_Sheet!J17</f>
        <v>8.9996849608546009E-2</v>
      </c>
      <c r="K23" s="124">
        <f>Balance_Sheet!K8/Balance_Sheet!K17</f>
        <v>9.2630837603737928E-2</v>
      </c>
      <c r="L23" s="53"/>
      <c r="M23" s="53"/>
      <c r="N23" s="53"/>
      <c r="O23" s="53"/>
      <c r="P23" s="53"/>
      <c r="Q23" s="53"/>
      <c r="R23" s="53"/>
      <c r="S23" s="53"/>
      <c r="T23" s="53"/>
      <c r="U23" s="50"/>
      <c r="V23" s="50"/>
      <c r="W23" s="50"/>
      <c r="X23" s="50"/>
      <c r="Y23" s="50"/>
      <c r="Z23" s="50"/>
      <c r="AA23" s="50"/>
      <c r="AB23" s="50"/>
      <c r="AC23" s="50"/>
      <c r="AD23" s="50"/>
      <c r="AE23" s="52"/>
      <c r="AF23" s="52"/>
      <c r="AG23" s="52"/>
      <c r="AH23" s="52"/>
      <c r="AI23" s="52"/>
      <c r="AJ23" s="52"/>
      <c r="AK23" s="52"/>
      <c r="AL23" s="52"/>
      <c r="AM23" s="52"/>
      <c r="AN23" s="52"/>
      <c r="AO23" s="52"/>
      <c r="AP23" s="52"/>
      <c r="AQ23" s="52"/>
    </row>
    <row r="24" spans="1:43">
      <c r="A24" s="29" t="s">
        <v>166</v>
      </c>
      <c r="B24" s="123">
        <f t="shared" ref="B24:K24" si="0">SUM(B21:B23)</f>
        <v>0.43071105288232492</v>
      </c>
      <c r="C24" s="123">
        <f t="shared" si="0"/>
        <v>0.31182139159521088</v>
      </c>
      <c r="D24" s="123">
        <f t="shared" si="0"/>
        <v>0.30221568019832662</v>
      </c>
      <c r="E24" s="123">
        <f t="shared" si="0"/>
        <v>0.31191104410101772</v>
      </c>
      <c r="F24" s="123">
        <f t="shared" si="0"/>
        <v>0.26091387450344211</v>
      </c>
      <c r="G24" s="124">
        <f t="shared" si="0"/>
        <v>0.38656561367275388</v>
      </c>
      <c r="H24" s="124">
        <f t="shared" si="0"/>
        <v>0.41070672506652739</v>
      </c>
      <c r="I24" s="124">
        <f t="shared" si="0"/>
        <v>0.42453154615407479</v>
      </c>
      <c r="J24" s="124">
        <f t="shared" si="0"/>
        <v>0.43785478349227724</v>
      </c>
      <c r="K24" s="124">
        <f t="shared" si="0"/>
        <v>0.45071875402137768</v>
      </c>
      <c r="L24" s="53"/>
      <c r="M24" s="53"/>
      <c r="N24" s="53"/>
      <c r="O24" s="53"/>
      <c r="P24" s="53"/>
      <c r="Q24" s="53"/>
      <c r="R24" s="53"/>
      <c r="S24" s="53"/>
      <c r="T24" s="53"/>
      <c r="U24" s="50"/>
      <c r="V24" s="50"/>
      <c r="W24" s="50"/>
      <c r="X24" s="50"/>
      <c r="Y24" s="50"/>
      <c r="Z24" s="50"/>
      <c r="AA24" s="50"/>
      <c r="AB24" s="50"/>
      <c r="AC24" s="50"/>
      <c r="AD24" s="50"/>
      <c r="AE24" s="52"/>
      <c r="AF24" s="52"/>
      <c r="AG24" s="52"/>
      <c r="AH24" s="52"/>
      <c r="AI24" s="52"/>
      <c r="AJ24" s="52"/>
      <c r="AK24" s="52"/>
      <c r="AL24" s="52"/>
      <c r="AM24" s="52"/>
      <c r="AN24" s="52"/>
      <c r="AO24" s="52"/>
      <c r="AP24" s="52"/>
      <c r="AQ24" s="52"/>
    </row>
    <row r="25" spans="1:43">
      <c r="A25" s="29" t="s">
        <v>167</v>
      </c>
      <c r="B25" s="123">
        <f>Balance_Sheet!B12/Balance_Sheet!B17</f>
        <v>5.663411148165793E-2</v>
      </c>
      <c r="C25" s="123">
        <f>Balance_Sheet!C12/Balance_Sheet!C17</f>
        <v>5.0625182510817913E-2</v>
      </c>
      <c r="D25" s="123">
        <f>Balance_Sheet!D12/Balance_Sheet!D17</f>
        <v>5.1802499741762216E-2</v>
      </c>
      <c r="E25" s="123">
        <f>Balance_Sheet!E12/Balance_Sheet!E17</f>
        <v>4.8553524312099507E-2</v>
      </c>
      <c r="F25" s="123">
        <f>Balance_Sheet!F12/Balance_Sheet!F17</f>
        <v>4.4466629229841306E-2</v>
      </c>
      <c r="G25" s="124">
        <f>Balance_Sheet!G12/Balance_Sheet!G17</f>
        <v>4.1876298233139396E-2</v>
      </c>
      <c r="H25" s="124">
        <f>Balance_Sheet!H12/Balance_Sheet!H17</f>
        <v>4.0384736628505148E-2</v>
      </c>
      <c r="I25" s="124">
        <f>Balance_Sheet!I12/Balance_Sheet!I17</f>
        <v>3.9081375949586196E-2</v>
      </c>
      <c r="J25" s="124">
        <f>Balance_Sheet!J12/Balance_Sheet!J17</f>
        <v>3.7904040314407514E-2</v>
      </c>
      <c r="K25" s="124">
        <f>Balance_Sheet!K12/Balance_Sheet!K17</f>
        <v>3.6885395422050112E-2</v>
      </c>
      <c r="L25" s="53"/>
      <c r="M25" s="53"/>
      <c r="N25" s="53"/>
      <c r="O25" s="53"/>
      <c r="P25" s="53"/>
      <c r="Q25" s="53"/>
      <c r="R25" s="53"/>
      <c r="S25" s="53"/>
      <c r="T25" s="53"/>
      <c r="U25" s="50"/>
      <c r="V25" s="50"/>
      <c r="W25" s="50"/>
      <c r="X25" s="50"/>
      <c r="Y25" s="50"/>
      <c r="Z25" s="50"/>
      <c r="AA25" s="50"/>
      <c r="AB25" s="50"/>
      <c r="AC25" s="50"/>
      <c r="AD25" s="50"/>
      <c r="AE25" s="52"/>
      <c r="AF25" s="52"/>
      <c r="AG25" s="52"/>
      <c r="AH25" s="52"/>
      <c r="AI25" s="52"/>
      <c r="AJ25" s="52"/>
      <c r="AK25" s="52"/>
      <c r="AL25" s="52"/>
      <c r="AM25" s="52"/>
      <c r="AN25" s="52"/>
      <c r="AO25" s="52"/>
      <c r="AP25" s="52"/>
      <c r="AQ25" s="52"/>
    </row>
    <row r="26" spans="1:43">
      <c r="A26" s="29" t="s">
        <v>168</v>
      </c>
      <c r="B26" s="123">
        <f>Balance_Sheet!B14/Balance_Sheet!B17</f>
        <v>0.14768937589328252</v>
      </c>
      <c r="C26" s="123">
        <f>Balance_Sheet!C14/Balance_Sheet!C17</f>
        <v>0.20340332899731875</v>
      </c>
      <c r="D26" s="123">
        <f>Balance_Sheet!D14/Balance_Sheet!D17</f>
        <v>0.19424646214234068</v>
      </c>
      <c r="E26" s="123">
        <f>Balance_Sheet!E14/Balance_Sheet!E17</f>
        <v>0.18045608744817188</v>
      </c>
      <c r="F26" s="123">
        <f>Balance_Sheet!F14/Balance_Sheet!F17</f>
        <v>0.1911981863937938</v>
      </c>
      <c r="G26" s="124">
        <f>Balance_Sheet!G14/Balance_Sheet!G17</f>
        <v>0.1731348535912654</v>
      </c>
      <c r="H26" s="124">
        <f>Balance_Sheet!H14/Balance_Sheet!H17</f>
        <v>0.16054623880579852</v>
      </c>
      <c r="I26" s="124">
        <f>Balance_Sheet!I14/Balance_Sheet!I17</f>
        <v>0.14938926378630021</v>
      </c>
      <c r="J26" s="124">
        <f>Balance_Sheet!J14/Balance_Sheet!J17</f>
        <v>0.13931622798660251</v>
      </c>
      <c r="K26" s="124">
        <f>Balance_Sheet!K14/Balance_Sheet!K17</f>
        <v>0.13035788521612732</v>
      </c>
      <c r="L26" s="53"/>
      <c r="M26" s="53"/>
      <c r="N26" s="53"/>
      <c r="O26" s="53"/>
      <c r="P26" s="53"/>
      <c r="Q26" s="53"/>
      <c r="R26" s="53"/>
      <c r="S26" s="53"/>
      <c r="T26" s="53"/>
      <c r="U26" s="50"/>
      <c r="V26" s="50"/>
      <c r="W26" s="50"/>
      <c r="X26" s="50"/>
      <c r="Y26" s="50"/>
      <c r="Z26" s="50"/>
      <c r="AA26" s="50"/>
      <c r="AB26" s="50"/>
      <c r="AC26" s="50"/>
      <c r="AD26" s="50"/>
      <c r="AE26" s="52"/>
      <c r="AF26" s="52"/>
      <c r="AG26" s="52"/>
      <c r="AH26" s="52"/>
      <c r="AI26" s="52"/>
      <c r="AJ26" s="52"/>
      <c r="AK26" s="52"/>
      <c r="AL26" s="52"/>
      <c r="AM26" s="52"/>
      <c r="AN26" s="52"/>
      <c r="AO26" s="52"/>
      <c r="AP26" s="52"/>
      <c r="AQ26" s="52"/>
    </row>
    <row r="27" spans="1:43">
      <c r="A27" s="29" t="s">
        <v>169</v>
      </c>
      <c r="B27" s="123">
        <f>Balance_Sheet!B16/Balance_Sheet!B17</f>
        <v>0.15974868985231061</v>
      </c>
      <c r="C27" s="123">
        <f>Balance_Sheet!C16/Balance_Sheet!C17</f>
        <v>0.18566991425309937</v>
      </c>
      <c r="D27" s="123">
        <f>Balance_Sheet!D16/Balance_Sheet!D17</f>
        <v>0.19574424129738663</v>
      </c>
      <c r="E27" s="123">
        <f>Balance_Sheet!E16/Balance_Sheet!E17</f>
        <v>0.19612231436110064</v>
      </c>
      <c r="F27" s="123">
        <f>Balance_Sheet!F16/Balance_Sheet!F17</f>
        <v>0.20712963540691751</v>
      </c>
      <c r="G27" s="124">
        <f>Balance_Sheet!G16/Balance_Sheet!G17</f>
        <v>7.1296318742144607E-2</v>
      </c>
      <c r="H27" s="124">
        <f>Balance_Sheet!H16/Balance_Sheet!H17</f>
        <v>8.0932561830120528E-2</v>
      </c>
      <c r="I27" s="124">
        <f>Balance_Sheet!I16/Balance_Sheet!I17</f>
        <v>7.7857141650576348E-2</v>
      </c>
      <c r="J27" s="124">
        <f>Balance_Sheet!J16/Balance_Sheet!J17</f>
        <v>7.3878010872687028E-2</v>
      </c>
      <c r="K27" s="124">
        <f>Balance_Sheet!K16/Balance_Sheet!K17</f>
        <v>6.9127490749058162E-2</v>
      </c>
      <c r="L27" s="53"/>
      <c r="M27" s="53"/>
      <c r="N27" s="53"/>
      <c r="O27" s="53"/>
      <c r="P27" s="53"/>
      <c r="Q27" s="53"/>
      <c r="R27" s="53"/>
      <c r="S27" s="53"/>
      <c r="T27" s="53"/>
      <c r="U27" s="50"/>
      <c r="V27" s="50"/>
      <c r="W27" s="50"/>
      <c r="X27" s="50"/>
      <c r="Y27" s="50"/>
      <c r="Z27" s="50"/>
      <c r="AA27" s="50"/>
      <c r="AB27" s="50"/>
      <c r="AC27" s="50"/>
      <c r="AD27" s="50"/>
      <c r="AE27" s="52"/>
      <c r="AF27" s="52"/>
      <c r="AG27" s="52"/>
      <c r="AH27" s="52"/>
      <c r="AI27" s="52"/>
      <c r="AJ27" s="52"/>
      <c r="AK27" s="52"/>
      <c r="AL27" s="52"/>
      <c r="AM27" s="52"/>
      <c r="AN27" s="52"/>
      <c r="AO27" s="52"/>
      <c r="AP27" s="52"/>
      <c r="AQ27" s="52"/>
    </row>
    <row r="28" spans="1:43">
      <c r="A28" s="29" t="s">
        <v>44</v>
      </c>
      <c r="B28" s="121">
        <v>1</v>
      </c>
      <c r="C28" s="121">
        <v>1</v>
      </c>
      <c r="D28" s="121">
        <v>1</v>
      </c>
      <c r="E28" s="121">
        <v>1</v>
      </c>
      <c r="F28" s="121">
        <v>1</v>
      </c>
      <c r="G28" s="122">
        <v>1</v>
      </c>
      <c r="H28" s="122">
        <v>1</v>
      </c>
      <c r="I28" s="122">
        <v>1</v>
      </c>
      <c r="J28" s="122">
        <v>1</v>
      </c>
      <c r="K28" s="122">
        <v>1</v>
      </c>
      <c r="L28" s="53"/>
      <c r="M28" s="53"/>
      <c r="N28" s="53"/>
      <c r="O28" s="53"/>
      <c r="P28" s="53"/>
      <c r="Q28" s="53"/>
      <c r="R28" s="53"/>
      <c r="S28" s="53"/>
      <c r="T28" s="53"/>
      <c r="U28" s="50"/>
      <c r="V28" s="50"/>
      <c r="W28" s="50"/>
      <c r="X28" s="50"/>
      <c r="Y28" s="50"/>
      <c r="Z28" s="50"/>
      <c r="AA28" s="50"/>
      <c r="AB28" s="50"/>
      <c r="AC28" s="50"/>
      <c r="AD28" s="50"/>
      <c r="AE28" s="52"/>
      <c r="AF28" s="52"/>
      <c r="AG28" s="52"/>
      <c r="AH28" s="52"/>
      <c r="AI28" s="52"/>
      <c r="AJ28" s="52"/>
      <c r="AK28" s="52"/>
      <c r="AL28" s="52"/>
      <c r="AM28" s="52"/>
      <c r="AN28" s="52"/>
      <c r="AO28" s="52"/>
      <c r="AP28" s="52"/>
      <c r="AQ28" s="52"/>
    </row>
    <row r="29" spans="1:43">
      <c r="A29" s="29" t="s">
        <v>175</v>
      </c>
      <c r="B29" s="123"/>
      <c r="C29" s="126"/>
      <c r="D29" s="126"/>
      <c r="E29" s="126"/>
      <c r="F29" s="126"/>
      <c r="G29" s="86"/>
      <c r="H29" s="86"/>
      <c r="I29" s="86"/>
      <c r="J29" s="86"/>
      <c r="K29" s="86"/>
      <c r="L29" s="53"/>
      <c r="M29" s="53"/>
      <c r="N29" s="53"/>
      <c r="O29" s="53"/>
      <c r="P29" s="53"/>
      <c r="Q29" s="53"/>
      <c r="R29" s="53"/>
      <c r="S29" s="53"/>
      <c r="T29" s="53"/>
      <c r="U29" s="50"/>
      <c r="V29" s="50"/>
      <c r="W29" s="50"/>
      <c r="X29" s="50"/>
      <c r="Y29" s="50"/>
      <c r="Z29" s="50"/>
      <c r="AA29" s="50"/>
      <c r="AB29" s="50"/>
      <c r="AC29" s="50"/>
      <c r="AD29" s="50"/>
      <c r="AE29" s="52"/>
      <c r="AF29" s="52"/>
      <c r="AG29" s="52"/>
      <c r="AH29" s="52"/>
      <c r="AI29" s="52"/>
      <c r="AJ29" s="52"/>
      <c r="AK29" s="52"/>
      <c r="AL29" s="52"/>
      <c r="AM29" s="52"/>
      <c r="AN29" s="52"/>
      <c r="AO29" s="52"/>
      <c r="AP29" s="52"/>
      <c r="AQ29" s="52"/>
    </row>
    <row r="30" spans="1:43">
      <c r="A30" s="29" t="s">
        <v>170</v>
      </c>
      <c r="B30" s="123">
        <f>Balance_Sheet!B19/Balance_Sheet!B17</f>
        <v>1.5691996188661267E-2</v>
      </c>
      <c r="C30" s="123">
        <f>Balance_Sheet!C19/Balance_Sheet!C17</f>
        <v>1.9591706708433992E-2</v>
      </c>
      <c r="D30" s="123">
        <f>Balance_Sheet!D19/Balance_Sheet!D17</f>
        <v>2.3912818923664911E-2</v>
      </c>
      <c r="E30" s="123">
        <f>Balance_Sheet!E19/Balance_Sheet!E17</f>
        <v>1.9647568790049003E-2</v>
      </c>
      <c r="F30" s="123">
        <f>Balance_Sheet!F19/Balance_Sheet!F17</f>
        <v>1.9321561531582123E-2</v>
      </c>
      <c r="G30" s="124">
        <f>Balance_Sheet!G19/Balance_Sheet!G17</f>
        <v>1.9606487654089767E-2</v>
      </c>
      <c r="H30" s="124">
        <f>Balance_Sheet!H19/Balance_Sheet!H17</f>
        <v>2.0544419541492134E-2</v>
      </c>
      <c r="I30" s="124">
        <f>Balance_Sheet!I19/Balance_Sheet!I17</f>
        <v>2.1410713953908495E-2</v>
      </c>
      <c r="J30" s="124">
        <f>Balance_Sheet!J19/Balance_Sheet!J17</f>
        <v>2.2163403261806106E-2</v>
      </c>
      <c r="K30" s="124">
        <f>Balance_Sheet!K19/Balance_Sheet!K17</f>
        <v>2.2812071947189195E-2</v>
      </c>
      <c r="L30" s="53"/>
      <c r="M30" s="53"/>
      <c r="N30" s="53"/>
      <c r="O30" s="53"/>
      <c r="P30" s="53"/>
      <c r="Q30" s="53"/>
      <c r="R30" s="53"/>
      <c r="S30" s="53"/>
      <c r="T30" s="53"/>
      <c r="U30" s="50"/>
      <c r="V30" s="50"/>
      <c r="W30" s="50"/>
      <c r="X30" s="50"/>
      <c r="Y30" s="50"/>
      <c r="Z30" s="50"/>
      <c r="AA30" s="50"/>
      <c r="AB30" s="50"/>
      <c r="AC30" s="50"/>
      <c r="AD30" s="50"/>
      <c r="AE30" s="52"/>
      <c r="AF30" s="52"/>
      <c r="AG30" s="52"/>
      <c r="AH30" s="52"/>
      <c r="AI30" s="52"/>
      <c r="AJ30" s="52"/>
      <c r="AK30" s="52"/>
      <c r="AL30" s="52"/>
      <c r="AM30" s="52"/>
      <c r="AN30" s="52"/>
      <c r="AO30" s="52"/>
      <c r="AP30" s="52"/>
      <c r="AQ30" s="52"/>
    </row>
    <row r="31" spans="1:43">
      <c r="A31" s="29" t="s">
        <v>176</v>
      </c>
      <c r="B31" s="123">
        <f>Balance_Sheet!B20/Balance_Sheet!B17</f>
        <v>4.3919723677941877E-2</v>
      </c>
      <c r="C31" s="123">
        <f>Balance_Sheet!C20/Balance_Sheet!C17</f>
        <v>2.4237436618970508E-2</v>
      </c>
      <c r="D31" s="123">
        <f>Balance_Sheet!D20/Balance_Sheet!D17</f>
        <v>2.8690217952690836E-2</v>
      </c>
      <c r="E31" s="123">
        <f>Balance_Sheet!E20/Balance_Sheet!E17</f>
        <v>3.2957972107048622E-2</v>
      </c>
      <c r="F31" s="123">
        <f>Balance_Sheet!F20/Balance_Sheet!F17</f>
        <v>4.8168715292943157E-2</v>
      </c>
      <c r="G31" s="124">
        <f>Balance_Sheet!G20/Balance_Sheet!G17</f>
        <v>4.8719151140465475E-2</v>
      </c>
      <c r="H31" s="124">
        <f>Balance_Sheet!H20/Balance_Sheet!H17</f>
        <v>5.104976976976832E-2</v>
      </c>
      <c r="I31" s="124">
        <f>Balance_Sheet!I20/Balance_Sheet!I17</f>
        <v>5.3202380127893828E-2</v>
      </c>
      <c r="J31" s="124">
        <f>Balance_Sheet!J20/Balance_Sheet!J17</f>
        <v>5.5072699014184864E-2</v>
      </c>
      <c r="K31" s="124">
        <f>Balance_Sheet!K20/Balance_Sheet!K17</f>
        <v>5.6684542414227684E-2</v>
      </c>
      <c r="L31" s="53"/>
      <c r="M31" s="53"/>
      <c r="N31" s="53"/>
      <c r="O31" s="53"/>
      <c r="P31" s="53"/>
      <c r="Q31" s="53"/>
      <c r="R31" s="53"/>
      <c r="S31" s="53"/>
      <c r="T31" s="53"/>
      <c r="U31" s="50"/>
      <c r="V31" s="50"/>
      <c r="W31" s="50"/>
      <c r="X31" s="50"/>
      <c r="Y31" s="50"/>
      <c r="Z31" s="50"/>
      <c r="AA31" s="50"/>
      <c r="AB31" s="50"/>
      <c r="AC31" s="50"/>
      <c r="AD31" s="50"/>
      <c r="AE31" s="52"/>
      <c r="AF31" s="52"/>
      <c r="AG31" s="52"/>
      <c r="AH31" s="52"/>
      <c r="AI31" s="52"/>
      <c r="AJ31" s="52"/>
      <c r="AK31" s="52"/>
      <c r="AL31" s="52"/>
      <c r="AM31" s="52"/>
      <c r="AN31" s="52"/>
      <c r="AO31" s="52"/>
      <c r="AP31" s="52"/>
      <c r="AQ31" s="52"/>
    </row>
    <row r="32" spans="1:43">
      <c r="A32" s="29" t="s">
        <v>171</v>
      </c>
      <c r="B32" s="123">
        <f>Balance_Sheet!B23/Balance_Sheet!B17</f>
        <v>0.16168413530252501</v>
      </c>
      <c r="C32" s="123">
        <f>Balance_Sheet!C23/Balance_Sheet!C17</f>
        <v>0.1763253603759059</v>
      </c>
      <c r="D32" s="123">
        <f>Balance_Sheet!D23/Balance_Sheet!D17</f>
        <v>0.20145129635368247</v>
      </c>
      <c r="E32" s="123">
        <f>Balance_Sheet!E23/Balance_Sheet!E17</f>
        <v>0.20064549566528458</v>
      </c>
      <c r="F32" s="123">
        <f>Balance_Sheet!F23/Balance_Sheet!F17</f>
        <v>0.21615606996526696</v>
      </c>
      <c r="G32" s="124">
        <f>Balance_Sheet!G23/Balance_Sheet!G17</f>
        <v>0.21923618013209462</v>
      </c>
      <c r="H32" s="124">
        <f>Balance_Sheet!H23/Balance_Sheet!H17</f>
        <v>0.22972396396395744</v>
      </c>
      <c r="I32" s="124">
        <f>Balance_Sheet!I23/Balance_Sheet!I17</f>
        <v>0.23941071057552227</v>
      </c>
      <c r="J32" s="124">
        <f>Balance_Sheet!J23/Balance_Sheet!J17</f>
        <v>0.24782714556383195</v>
      </c>
      <c r="K32" s="124">
        <f>Balance_Sheet!K23/Balance_Sheet!K17</f>
        <v>0.25508044086402465</v>
      </c>
      <c r="L32" s="53"/>
      <c r="M32" s="53"/>
      <c r="N32" s="53"/>
      <c r="O32" s="53"/>
      <c r="P32" s="53"/>
      <c r="Q32" s="53"/>
      <c r="R32" s="53"/>
      <c r="S32" s="53"/>
      <c r="T32" s="53"/>
      <c r="U32" s="50"/>
      <c r="V32" s="50"/>
      <c r="W32" s="50"/>
      <c r="X32" s="50"/>
      <c r="Y32" s="50"/>
      <c r="Z32" s="50"/>
      <c r="AA32" s="50"/>
      <c r="AB32" s="50"/>
      <c r="AC32" s="50"/>
      <c r="AD32" s="50"/>
      <c r="AE32" s="52"/>
      <c r="AF32" s="52"/>
      <c r="AG32" s="52"/>
      <c r="AH32" s="52"/>
      <c r="AI32" s="52"/>
      <c r="AJ32" s="52"/>
      <c r="AK32" s="52"/>
      <c r="AL32" s="52"/>
      <c r="AM32" s="52"/>
      <c r="AN32" s="52"/>
      <c r="AO32" s="52"/>
      <c r="AP32" s="52"/>
      <c r="AQ32" s="52"/>
    </row>
    <row r="33" spans="1:43">
      <c r="A33" s="29" t="s">
        <v>177</v>
      </c>
      <c r="B33" s="123">
        <f>Balance_Sheet!B25/Balance_Sheet!B17</f>
        <v>3.6565030967127203E-2</v>
      </c>
      <c r="C33" s="123">
        <f>Balance_Sheet!C25/Balance_Sheet!C17</f>
        <v>3.6210146274124611E-2</v>
      </c>
      <c r="D33" s="123">
        <f>Balance_Sheet!D25/Balance_Sheet!D17</f>
        <v>3.6075818613779571E-2</v>
      </c>
      <c r="E33" s="123">
        <f>Balance_Sheet!E25/Balance_Sheet!E17</f>
        <v>3.790520165849981E-2</v>
      </c>
      <c r="F33" s="123">
        <f>Balance_Sheet!F25/Balance_Sheet!F17</f>
        <v>4.2178823235789607E-2</v>
      </c>
      <c r="G33" s="124">
        <f>Balance_Sheet!G25/Balance_Sheet!G17</f>
        <v>4.2777791245286766E-2</v>
      </c>
      <c r="H33" s="124">
        <f>Balance_Sheet!H25/Balance_Sheet!H17</f>
        <v>4.4824188090528287E-2</v>
      </c>
      <c r="I33" s="124">
        <f>Balance_Sheet!I25/Balance_Sheet!I17</f>
        <v>4.6714284990345814E-2</v>
      </c>
      <c r="J33" s="124">
        <f>Balance_Sheet!J25/Balance_Sheet!J17</f>
        <v>4.8356516207576965E-2</v>
      </c>
      <c r="K33" s="124">
        <f>Balance_Sheet!K25/Balance_Sheet!K17</f>
        <v>4.9771793339321885E-2</v>
      </c>
      <c r="L33" s="53"/>
      <c r="M33" s="53"/>
      <c r="N33" s="53"/>
      <c r="O33" s="53"/>
      <c r="P33" s="53"/>
      <c r="Q33" s="53"/>
      <c r="R33" s="53"/>
      <c r="S33" s="53"/>
      <c r="T33" s="53"/>
      <c r="U33" s="50"/>
      <c r="V33" s="50"/>
      <c r="W33" s="50"/>
      <c r="X33" s="50"/>
      <c r="Y33" s="50"/>
      <c r="Z33" s="50"/>
      <c r="AA33" s="50"/>
      <c r="AB33" s="50"/>
      <c r="AC33" s="50"/>
      <c r="AD33" s="50"/>
      <c r="AE33" s="52"/>
      <c r="AF33" s="52"/>
      <c r="AG33" s="52"/>
      <c r="AH33" s="52"/>
      <c r="AI33" s="52"/>
      <c r="AJ33" s="52"/>
      <c r="AK33" s="52"/>
      <c r="AL33" s="52"/>
      <c r="AM33" s="52"/>
      <c r="AN33" s="52"/>
      <c r="AO33" s="52"/>
      <c r="AP33" s="52"/>
      <c r="AQ33" s="52"/>
    </row>
    <row r="34" spans="1:43">
      <c r="A34" s="29" t="s">
        <v>172</v>
      </c>
      <c r="B34" s="123">
        <f>Balance_Sheet!B26/Balance_Sheet!B17</f>
        <v>0.35275726536445928</v>
      </c>
      <c r="C34" s="123">
        <f>Balance_Sheet!C26/Balance_Sheet!C17</f>
        <v>0.3494119833284664</v>
      </c>
      <c r="D34" s="123">
        <f>Balance_Sheet!D26/Balance_Sheet!D17</f>
        <v>0.36594876562338602</v>
      </c>
      <c r="E34" s="123">
        <f>Balance_Sheet!E26/Balance_Sheet!E17</f>
        <v>0.38315114964191482</v>
      </c>
      <c r="F34" s="123">
        <f>Balance_Sheet!F26/Balance_Sheet!F17</f>
        <v>0.39974210186976145</v>
      </c>
      <c r="G34" s="124">
        <f>Balance_Sheet!G26/Balance_Sheet!G17</f>
        <v>0.39727328467028944</v>
      </c>
      <c r="H34" s="124">
        <f>Balance_Sheet!H26/Balance_Sheet!H17</f>
        <v>0.40820927628533804</v>
      </c>
      <c r="I34" s="124">
        <f>Balance_Sheet!I26/Balance_Sheet!I17</f>
        <v>0.41849175477292994</v>
      </c>
      <c r="J34" s="124">
        <f>Balance_Sheet!J26/Balance_Sheet!J17</f>
        <v>0.42727920865355512</v>
      </c>
      <c r="K34" s="124">
        <f>Balance_Sheet!K26/Balance_Sheet!K17</f>
        <v>0.4347450113035991</v>
      </c>
      <c r="L34" s="53"/>
      <c r="M34" s="53"/>
      <c r="N34" s="53"/>
      <c r="O34" s="53"/>
      <c r="P34" s="53"/>
      <c r="Q34" s="53"/>
      <c r="R34" s="53"/>
      <c r="S34" s="53"/>
      <c r="T34" s="53"/>
      <c r="U34" s="50"/>
      <c r="V34" s="50"/>
      <c r="W34" s="50"/>
      <c r="X34" s="50"/>
      <c r="Y34" s="50"/>
      <c r="Z34" s="50"/>
      <c r="AA34" s="50"/>
      <c r="AB34" s="50"/>
      <c r="AC34" s="50"/>
      <c r="AD34" s="50"/>
      <c r="AE34" s="52"/>
      <c r="AF34" s="52"/>
      <c r="AG34" s="52"/>
      <c r="AH34" s="52"/>
      <c r="AI34" s="52"/>
      <c r="AJ34" s="52"/>
      <c r="AK34" s="52"/>
      <c r="AL34" s="52"/>
      <c r="AM34" s="52"/>
      <c r="AN34" s="52"/>
      <c r="AO34" s="52"/>
      <c r="AP34" s="52"/>
      <c r="AQ34" s="52"/>
    </row>
    <row r="35" spans="1:43">
      <c r="A35" s="29" t="s">
        <v>173</v>
      </c>
      <c r="B35" s="123">
        <f>Balance_Sheet!B27/Balance_Sheet!B17</f>
        <v>0.35799785612196283</v>
      </c>
      <c r="C35" s="123">
        <f>Balance_Sheet!C27/Balance_Sheet!C17</f>
        <v>0.34800499084127534</v>
      </c>
      <c r="D35" s="123">
        <f>Balance_Sheet!D27/Balance_Sheet!D17</f>
        <v>0.35505113108149983</v>
      </c>
      <c r="E35" s="123">
        <f>Balance_Sheet!E27/Balance_Sheet!E17</f>
        <v>0.33791933660007539</v>
      </c>
      <c r="F35" s="123">
        <f>Balance_Sheet!F27/Balance_Sheet!F17</f>
        <v>0.36346997774588713</v>
      </c>
      <c r="G35" s="124">
        <f>Balance_Sheet!G27/Balance_Sheet!G17</f>
        <v>0.31075003635982584</v>
      </c>
      <c r="H35" s="124">
        <f>Balance_Sheet!H27/Balance_Sheet!H17</f>
        <v>0.2706914719340669</v>
      </c>
      <c r="I35" s="124">
        <f>Balance_Sheet!I27/Balance_Sheet!I17</f>
        <v>0.23562975360615174</v>
      </c>
      <c r="J35" s="124">
        <f>Balance_Sheet!J27/Balance_Sheet!J17</f>
        <v>0.20458708558894093</v>
      </c>
      <c r="K35" s="124">
        <f>Balance_Sheet!K27/Balance_Sheet!K17</f>
        <v>0.17725155718498767</v>
      </c>
      <c r="L35" s="53"/>
      <c r="M35" s="53"/>
      <c r="N35" s="53"/>
      <c r="O35" s="53"/>
      <c r="P35" s="53"/>
      <c r="Q35" s="53"/>
      <c r="R35" s="53"/>
      <c r="S35" s="53"/>
      <c r="T35" s="53"/>
      <c r="U35" s="50"/>
      <c r="V35" s="50"/>
      <c r="W35" s="50"/>
      <c r="X35" s="50"/>
      <c r="Y35" s="50"/>
      <c r="Z35" s="50"/>
      <c r="AA35" s="50"/>
      <c r="AB35" s="50"/>
      <c r="AC35" s="50"/>
      <c r="AD35" s="50"/>
      <c r="AE35" s="52"/>
      <c r="AF35" s="52"/>
      <c r="AG35" s="52"/>
      <c r="AH35" s="52"/>
      <c r="AI35" s="52"/>
      <c r="AJ35" s="52"/>
      <c r="AK35" s="52"/>
      <c r="AL35" s="52"/>
      <c r="AM35" s="52"/>
      <c r="AN35" s="52"/>
      <c r="AO35" s="52"/>
      <c r="AP35" s="52"/>
      <c r="AQ35" s="52"/>
    </row>
    <row r="36" spans="1:43">
      <c r="A36" s="29" t="s">
        <v>178</v>
      </c>
      <c r="B36" s="123">
        <f>Balance_Sheet!B28/Balance_Sheet!B17</f>
        <v>2.5607432110528825E-3</v>
      </c>
      <c r="C36" s="123">
        <f>Balance_Sheet!C28/Balance_Sheet!C17</f>
        <v>1.0486076083782421E-2</v>
      </c>
      <c r="D36" s="123">
        <f>Balance_Sheet!D28/Balance_Sheet!D17</f>
        <v>1.0148744964363186E-2</v>
      </c>
      <c r="E36" s="123">
        <f>Balance_Sheet!E28/Balance_Sheet!E17</f>
        <v>8.6929890689785155E-3</v>
      </c>
      <c r="F36" s="123">
        <f>Balance_Sheet!F28/Balance_Sheet!F17</f>
        <v>6.5930409101308211E-3</v>
      </c>
      <c r="G36" s="124">
        <f>Balance_Sheet!G28/Balance_Sheet!G17</f>
        <v>5.9701673652160486E-3</v>
      </c>
      <c r="H36" s="124">
        <f>Balance_Sheet!H28/Balance_Sheet!H17</f>
        <v>5.536077200199949E-3</v>
      </c>
      <c r="I36" s="124">
        <f>Balance_Sheet!I28/Balance_Sheet!I17</f>
        <v>5.1513539236655243E-3</v>
      </c>
      <c r="J36" s="124">
        <f>Balance_Sheet!J28/Balance_Sheet!J17</f>
        <v>4.8040078616069836E-3</v>
      </c>
      <c r="K36" s="124">
        <f>Balance_Sheet!K28/Balance_Sheet!K17</f>
        <v>4.4950994902112872E-3</v>
      </c>
      <c r="L36" s="53"/>
      <c r="M36" s="53"/>
      <c r="N36" s="53"/>
      <c r="O36" s="53"/>
      <c r="P36" s="53"/>
      <c r="Q36" s="53"/>
      <c r="R36" s="53"/>
      <c r="S36" s="53"/>
      <c r="T36" s="53"/>
      <c r="U36" s="50"/>
      <c r="V36" s="50"/>
      <c r="W36" s="50"/>
      <c r="X36" s="50"/>
      <c r="Y36" s="50"/>
      <c r="Z36" s="50"/>
      <c r="AA36" s="50"/>
      <c r="AB36" s="50"/>
      <c r="AC36" s="50"/>
      <c r="AD36" s="50"/>
      <c r="AE36" s="52"/>
      <c r="AF36" s="52"/>
      <c r="AG36" s="52"/>
      <c r="AH36" s="52"/>
      <c r="AI36" s="52"/>
      <c r="AJ36" s="52"/>
      <c r="AK36" s="52"/>
      <c r="AL36" s="52"/>
      <c r="AM36" s="52"/>
      <c r="AN36" s="52"/>
      <c r="AO36" s="52"/>
      <c r="AP36" s="52"/>
      <c r="AQ36" s="52"/>
    </row>
    <row r="37" spans="1:43">
      <c r="A37" s="29" t="s">
        <v>55</v>
      </c>
      <c r="B37" s="123">
        <f>Balance_Sheet!B30/Balance_Sheet!B17</f>
        <v>0.80594926155312052</v>
      </c>
      <c r="C37" s="123">
        <f>Balance_Sheet!C30/Balance_Sheet!C17</f>
        <v>0.80323342801773345</v>
      </c>
      <c r="D37" s="123">
        <f>Balance_Sheet!D30/Balance_Sheet!D17</f>
        <v>0.83532176428054949</v>
      </c>
      <c r="E37" s="123">
        <f>Balance_Sheet!E30/Balance_Sheet!E17</f>
        <v>0.83516302299283829</v>
      </c>
      <c r="F37" s="123">
        <f>Balance_Sheet!F30/Balance_Sheet!F17</f>
        <v>0.86449949044321039</v>
      </c>
      <c r="G37" s="124">
        <f>Balance_Sheet!G30/Balance_Sheet!G17</f>
        <v>0.81003144629907942</v>
      </c>
      <c r="H37" s="124">
        <f>Balance_Sheet!H30/Balance_Sheet!H17</f>
        <v>0.78506903114112259</v>
      </c>
      <c r="I37" s="124">
        <f>Balance_Sheet!I30/Balance_Sheet!I17</f>
        <v>0.76414841582728354</v>
      </c>
      <c r="J37" s="124">
        <f>Balance_Sheet!J30/Balance_Sheet!J17</f>
        <v>0.74523273444864035</v>
      </c>
      <c r="K37" s="124">
        <f>Balance_Sheet!K30/Balance_Sheet!K17</f>
        <v>0.7282314575838188</v>
      </c>
      <c r="L37" s="53"/>
      <c r="M37" s="53"/>
      <c r="N37" s="53"/>
      <c r="O37" s="53"/>
      <c r="P37" s="53"/>
      <c r="Q37" s="53"/>
      <c r="R37" s="53"/>
      <c r="S37" s="53"/>
      <c r="T37" s="53"/>
      <c r="U37" s="50"/>
      <c r="V37" s="50"/>
      <c r="W37" s="50"/>
      <c r="X37" s="50"/>
      <c r="Y37" s="50"/>
      <c r="Z37" s="50"/>
      <c r="AA37" s="50"/>
      <c r="AB37" s="50"/>
      <c r="AC37" s="50"/>
      <c r="AD37" s="50"/>
      <c r="AE37" s="52"/>
      <c r="AF37" s="52"/>
      <c r="AG37" s="52"/>
      <c r="AH37" s="52"/>
      <c r="AI37" s="52"/>
      <c r="AJ37" s="52"/>
      <c r="AK37" s="52"/>
      <c r="AL37" s="52"/>
      <c r="AM37" s="52"/>
      <c r="AN37" s="52"/>
      <c r="AO37" s="52"/>
      <c r="AP37" s="52"/>
      <c r="AQ37" s="52"/>
    </row>
    <row r="38" spans="1:43">
      <c r="A38" s="29" t="s">
        <v>65</v>
      </c>
      <c r="B38" s="123">
        <f>Balance_Sheet!B40/Balance_Sheet!B17</f>
        <v>0.19318723201524535</v>
      </c>
      <c r="C38" s="123">
        <f>Balance_Sheet!C40/Balance_Sheet!C17</f>
        <v>0.19599670816852052</v>
      </c>
      <c r="D38" s="123">
        <f>Balance_Sheet!D40/Balance_Sheet!D17</f>
        <v>0.16413593637020968</v>
      </c>
      <c r="E38" s="123">
        <f>Balance_Sheet!E40/Balance_Sheet!E17</f>
        <v>0.16431869581605729</v>
      </c>
      <c r="F38" s="123">
        <f>Balance_Sheet!F40/Balance_Sheet!F17</f>
        <v>0.13550050955678958</v>
      </c>
      <c r="G38" s="124">
        <f>Balance_Sheet!G40/Balance_Sheet!G17</f>
        <v>0.18996855370092064</v>
      </c>
      <c r="H38" s="124">
        <f>Balance_Sheet!H40/Balance_Sheet!H17</f>
        <v>0.21493096885887739</v>
      </c>
      <c r="I38" s="124">
        <f>Balance_Sheet!I40/Balance_Sheet!I17</f>
        <v>0.2358515841727164</v>
      </c>
      <c r="J38" s="124">
        <f>Balance_Sheet!J40/Balance_Sheet!J17</f>
        <v>0.25476726555135981</v>
      </c>
      <c r="K38" s="124">
        <f>Balance_Sheet!K40/Balance_Sheet!K17</f>
        <v>0.2717685424161812</v>
      </c>
      <c r="L38" s="53"/>
      <c r="M38" s="53"/>
      <c r="N38" s="53"/>
      <c r="O38" s="53"/>
      <c r="P38" s="53"/>
      <c r="Q38" s="53"/>
      <c r="R38" s="53"/>
      <c r="S38" s="53"/>
      <c r="T38" s="53"/>
      <c r="U38" s="50"/>
      <c r="V38" s="50"/>
      <c r="W38" s="50"/>
      <c r="X38" s="50"/>
      <c r="Y38" s="50"/>
      <c r="Z38" s="50"/>
      <c r="AA38" s="50"/>
      <c r="AB38" s="50"/>
      <c r="AC38" s="50"/>
      <c r="AD38" s="50"/>
      <c r="AE38" s="52"/>
      <c r="AF38" s="52"/>
      <c r="AG38" s="52"/>
      <c r="AH38" s="52"/>
      <c r="AI38" s="52"/>
      <c r="AJ38" s="52"/>
      <c r="AK38" s="52"/>
      <c r="AL38" s="52"/>
      <c r="AM38" s="52"/>
      <c r="AN38" s="52"/>
      <c r="AO38" s="52"/>
      <c r="AP38" s="52"/>
      <c r="AQ38" s="52"/>
    </row>
    <row r="39" spans="1:43" ht="20.25" customHeight="1">
      <c r="A39" s="53"/>
      <c r="B39" s="125"/>
      <c r="C39" s="125"/>
      <c r="D39" s="125"/>
      <c r="E39" s="125"/>
      <c r="F39" s="125"/>
      <c r="G39" s="125"/>
      <c r="H39" s="125"/>
      <c r="I39" s="125"/>
      <c r="J39" s="125"/>
      <c r="K39" s="125"/>
      <c r="L39" s="53"/>
      <c r="M39" s="53"/>
      <c r="N39" s="53"/>
      <c r="O39" s="53"/>
      <c r="P39" s="53"/>
      <c r="Q39" s="53"/>
      <c r="R39" s="53"/>
      <c r="S39" s="53"/>
      <c r="T39" s="53"/>
      <c r="U39" s="50"/>
      <c r="V39" s="50"/>
      <c r="W39" s="50"/>
      <c r="X39" s="50"/>
      <c r="Y39" s="50"/>
      <c r="Z39" s="50"/>
      <c r="AA39" s="50"/>
      <c r="AB39" s="50"/>
      <c r="AC39" s="50"/>
      <c r="AD39" s="50"/>
      <c r="AE39" s="52"/>
      <c r="AF39" s="52"/>
      <c r="AG39" s="52"/>
      <c r="AH39" s="52"/>
      <c r="AI39" s="52"/>
      <c r="AJ39" s="52"/>
      <c r="AK39" s="52"/>
      <c r="AL39" s="52"/>
      <c r="AM39" s="52"/>
      <c r="AN39" s="52"/>
      <c r="AO39" s="52"/>
      <c r="AP39" s="52"/>
      <c r="AQ39" s="52"/>
    </row>
    <row r="40" spans="1:43">
      <c r="A40" s="5" t="s">
        <v>179</v>
      </c>
      <c r="B40" s="127" t="s">
        <v>119</v>
      </c>
      <c r="C40" s="127" t="s">
        <v>120</v>
      </c>
      <c r="D40" s="127" t="s">
        <v>121</v>
      </c>
      <c r="E40" s="127" t="s">
        <v>122</v>
      </c>
      <c r="F40" s="127" t="s">
        <v>123</v>
      </c>
      <c r="G40" s="127" t="s">
        <v>124</v>
      </c>
      <c r="H40" s="127" t="s">
        <v>125</v>
      </c>
      <c r="I40" s="127" t="s">
        <v>126</v>
      </c>
      <c r="J40" s="127" t="s">
        <v>127</v>
      </c>
      <c r="K40" s="127" t="s">
        <v>128</v>
      </c>
      <c r="L40" s="53"/>
      <c r="M40" s="53"/>
      <c r="N40" s="53"/>
      <c r="O40" s="53"/>
      <c r="P40" s="53"/>
      <c r="Q40" s="53"/>
      <c r="R40" s="53"/>
      <c r="S40" s="53"/>
      <c r="T40" s="53"/>
      <c r="U40" s="50"/>
      <c r="V40" s="50"/>
      <c r="W40" s="50"/>
      <c r="X40" s="50"/>
      <c r="Y40" s="50"/>
      <c r="Z40" s="50"/>
      <c r="AA40" s="50"/>
      <c r="AB40" s="50"/>
      <c r="AC40" s="50"/>
      <c r="AD40" s="50"/>
      <c r="AE40" s="52"/>
      <c r="AF40" s="52"/>
      <c r="AG40" s="52"/>
      <c r="AH40" s="52"/>
      <c r="AI40" s="52"/>
      <c r="AJ40" s="52"/>
      <c r="AK40" s="52"/>
      <c r="AL40" s="52"/>
      <c r="AM40" s="52"/>
      <c r="AN40" s="52"/>
      <c r="AO40" s="52"/>
      <c r="AP40" s="52"/>
      <c r="AQ40" s="52"/>
    </row>
    <row r="41" spans="1:43">
      <c r="A41" s="29" t="s">
        <v>180</v>
      </c>
      <c r="B41" s="123">
        <f>'Profit Loss'!B4/Balance_Sheet!B17</f>
        <v>0.4556038589804669</v>
      </c>
      <c r="C41" s="123">
        <f>'Profit Loss'!C4/Balance_Sheet!C17</f>
        <v>0.5013140778889803</v>
      </c>
      <c r="D41" s="123">
        <f>'Profit Loss'!D4/Balance_Sheet!D17</f>
        <v>0.57424336328891645</v>
      </c>
      <c r="E41" s="123">
        <f>'Profit Loss'!E4/Balance_Sheet!E17</f>
        <v>0.59126460610629472</v>
      </c>
      <c r="F41" s="123">
        <f>'Profit Loss'!F4/Balance_Sheet!F17</f>
        <v>0.58582392213140322</v>
      </c>
      <c r="G41" s="124">
        <f>'Profit Loss'!G4/Balance_Sheet!G17</f>
        <v>0.59413598951787161</v>
      </c>
      <c r="H41" s="124">
        <f>'Profit Loss'!H4/Balance_Sheet!H17</f>
        <v>0.62255816792400398</v>
      </c>
      <c r="I41" s="124">
        <f>'Profit Loss'!I4/Balance_Sheet!I17</f>
        <v>0.64880951375480289</v>
      </c>
      <c r="J41" s="124">
        <f>'Profit Loss'!J4/Balance_Sheet!J17</f>
        <v>0.6716182806607911</v>
      </c>
      <c r="K41" s="124">
        <f>'Profit Loss'!K4/Balance_Sheet!K17</f>
        <v>0.69127490749058162</v>
      </c>
      <c r="L41" s="53"/>
      <c r="M41" s="53"/>
      <c r="N41" s="53"/>
      <c r="O41" s="53"/>
      <c r="P41" s="53"/>
      <c r="Q41" s="53"/>
      <c r="R41" s="53"/>
      <c r="S41" s="53"/>
      <c r="T41" s="53"/>
      <c r="U41" s="50"/>
      <c r="V41" s="50"/>
      <c r="W41" s="50"/>
      <c r="X41" s="50"/>
      <c r="Y41" s="50"/>
      <c r="Z41" s="50"/>
      <c r="AA41" s="50"/>
      <c r="AB41" s="50"/>
      <c r="AC41" s="50"/>
      <c r="AD41" s="50"/>
      <c r="AE41" s="52"/>
      <c r="AF41" s="52"/>
      <c r="AG41" s="52"/>
      <c r="AH41" s="52"/>
      <c r="AI41" s="52"/>
      <c r="AJ41" s="52"/>
      <c r="AK41" s="52"/>
      <c r="AL41" s="52"/>
      <c r="AM41" s="52"/>
      <c r="AN41" s="52"/>
      <c r="AO41" s="52"/>
      <c r="AP41" s="52"/>
      <c r="AQ41" s="52"/>
    </row>
    <row r="42" spans="1:43" ht="18.75" customHeight="1">
      <c r="A42" s="53"/>
      <c r="B42" s="125"/>
      <c r="C42" s="125"/>
      <c r="D42" s="125"/>
      <c r="E42" s="125"/>
      <c r="F42" s="125"/>
      <c r="G42" s="125"/>
      <c r="H42" s="125"/>
      <c r="I42" s="125"/>
      <c r="J42" s="125"/>
      <c r="K42" s="125"/>
      <c r="L42" s="53"/>
      <c r="M42" s="53"/>
      <c r="N42" s="53"/>
      <c r="O42" s="53"/>
      <c r="P42" s="53"/>
      <c r="Q42" s="53"/>
      <c r="R42" s="53"/>
      <c r="S42" s="53"/>
      <c r="T42" s="53"/>
      <c r="U42" s="50"/>
      <c r="V42" s="50"/>
      <c r="W42" s="50"/>
      <c r="X42" s="50"/>
      <c r="Y42" s="50"/>
      <c r="Z42" s="50"/>
      <c r="AA42" s="50"/>
      <c r="AB42" s="50"/>
      <c r="AC42" s="50"/>
      <c r="AD42" s="50"/>
      <c r="AE42" s="52"/>
      <c r="AF42" s="52"/>
      <c r="AG42" s="52"/>
      <c r="AH42" s="52"/>
      <c r="AI42" s="52"/>
      <c r="AJ42" s="52"/>
      <c r="AK42" s="52"/>
      <c r="AL42" s="52"/>
      <c r="AM42" s="52"/>
      <c r="AN42" s="52"/>
      <c r="AO42" s="52"/>
      <c r="AP42" s="52"/>
      <c r="AQ42" s="52"/>
    </row>
    <row r="43" spans="1:43">
      <c r="A43" s="5" t="s">
        <v>181</v>
      </c>
      <c r="B43" s="127" t="s">
        <v>119</v>
      </c>
      <c r="C43" s="127" t="s">
        <v>120</v>
      </c>
      <c r="D43" s="127" t="s">
        <v>121</v>
      </c>
      <c r="E43" s="127" t="s">
        <v>122</v>
      </c>
      <c r="F43" s="127" t="s">
        <v>123</v>
      </c>
      <c r="G43" s="127" t="s">
        <v>124</v>
      </c>
      <c r="H43" s="127" t="s">
        <v>125</v>
      </c>
      <c r="I43" s="127" t="s">
        <v>126</v>
      </c>
      <c r="J43" s="127" t="s">
        <v>127</v>
      </c>
      <c r="K43" s="127" t="s">
        <v>128</v>
      </c>
      <c r="L43" s="53"/>
      <c r="M43" s="53"/>
      <c r="N43" s="53"/>
      <c r="O43" s="53"/>
      <c r="P43" s="53"/>
      <c r="Q43" s="53"/>
      <c r="R43" s="53"/>
      <c r="S43" s="53"/>
      <c r="T43" s="53"/>
      <c r="U43" s="50"/>
      <c r="V43" s="50"/>
      <c r="W43" s="50"/>
      <c r="X43" s="50"/>
      <c r="Y43" s="50"/>
      <c r="Z43" s="50"/>
      <c r="AA43" s="50"/>
      <c r="AB43" s="50"/>
      <c r="AC43" s="50"/>
      <c r="AD43" s="50"/>
      <c r="AE43" s="52"/>
      <c r="AF43" s="52"/>
      <c r="AG43" s="52"/>
      <c r="AH43" s="52"/>
      <c r="AI43" s="52"/>
      <c r="AJ43" s="52"/>
      <c r="AK43" s="52"/>
      <c r="AL43" s="52"/>
      <c r="AM43" s="52"/>
      <c r="AN43" s="52"/>
      <c r="AO43" s="52"/>
      <c r="AP43" s="52"/>
      <c r="AQ43" s="52"/>
    </row>
    <row r="44" spans="1:43">
      <c r="A44" s="29" t="s">
        <v>182</v>
      </c>
      <c r="B44" s="126">
        <f>Balance_Sheet!B27+Balance_Sheet!B24</f>
        <v>12672</v>
      </c>
      <c r="C44" s="126">
        <f>Balance_Sheet!C27+Balance_Sheet!C24</f>
        <v>13901</v>
      </c>
      <c r="D44" s="126">
        <f>Balance_Sheet!D27+Balance_Sheet!D24</f>
        <v>14023</v>
      </c>
      <c r="E44" s="126">
        <f>Balance_Sheet!E27+Balance_Sheet!E24</f>
        <v>15681</v>
      </c>
      <c r="F44" s="128">
        <f>Balance_Sheet!F27+Balance_Sheet!F24</f>
        <v>18226</v>
      </c>
      <c r="G44" s="86">
        <f>Balance_Sheet!G27+Balance_Sheet!G24</f>
        <v>17250</v>
      </c>
      <c r="H44" s="86">
        <f>Balance_Sheet!H27+Balance_Sheet!H24</f>
        <v>16250</v>
      </c>
      <c r="I44" s="86">
        <f>Balance_Sheet!I27+Balance_Sheet!I24</f>
        <v>15250</v>
      </c>
      <c r="J44" s="86">
        <f>Balance_Sheet!J27+Balance_Sheet!J24</f>
        <v>14250</v>
      </c>
      <c r="K44" s="86">
        <f>Balance_Sheet!K27+Balance_Sheet!K24</f>
        <v>13250</v>
      </c>
      <c r="L44" s="53"/>
      <c r="M44" s="53"/>
      <c r="N44" s="53"/>
      <c r="O44" s="53"/>
      <c r="P44" s="53"/>
      <c r="Q44" s="53"/>
      <c r="R44" s="53"/>
      <c r="S44" s="53"/>
      <c r="T44" s="53"/>
      <c r="U44" s="50"/>
      <c r="V44" s="50"/>
      <c r="W44" s="50"/>
      <c r="X44" s="50"/>
      <c r="Y44" s="50"/>
      <c r="Z44" s="50"/>
      <c r="AA44" s="50"/>
      <c r="AB44" s="50"/>
      <c r="AC44" s="50"/>
      <c r="AD44" s="50"/>
      <c r="AE44" s="52"/>
      <c r="AF44" s="52"/>
      <c r="AG44" s="52"/>
      <c r="AH44" s="52"/>
      <c r="AI44" s="52"/>
      <c r="AJ44" s="52"/>
      <c r="AK44" s="52"/>
      <c r="AL44" s="52"/>
      <c r="AM44" s="52"/>
      <c r="AN44" s="52"/>
      <c r="AO44" s="52"/>
      <c r="AP44" s="52"/>
      <c r="AQ44" s="52"/>
    </row>
    <row r="45" spans="1:43">
      <c r="A45" s="29" t="s">
        <v>424</v>
      </c>
      <c r="B45" s="126">
        <f t="shared" ref="B45:K45" si="1">B44*10%</f>
        <v>1267.2</v>
      </c>
      <c r="C45" s="126">
        <f t="shared" si="1"/>
        <v>1390.1000000000001</v>
      </c>
      <c r="D45" s="126">
        <f t="shared" si="1"/>
        <v>1402.3000000000002</v>
      </c>
      <c r="E45" s="126">
        <f t="shared" si="1"/>
        <v>1568.1000000000001</v>
      </c>
      <c r="F45" s="126">
        <f t="shared" si="1"/>
        <v>1822.6000000000001</v>
      </c>
      <c r="G45" s="86">
        <f t="shared" si="1"/>
        <v>1725</v>
      </c>
      <c r="H45" s="86">
        <f t="shared" si="1"/>
        <v>1625</v>
      </c>
      <c r="I45" s="86">
        <f t="shared" si="1"/>
        <v>1525</v>
      </c>
      <c r="J45" s="86">
        <f t="shared" si="1"/>
        <v>1425</v>
      </c>
      <c r="K45" s="86">
        <f t="shared" si="1"/>
        <v>1325</v>
      </c>
      <c r="L45" s="53"/>
      <c r="M45" s="53"/>
      <c r="N45" s="53"/>
      <c r="O45" s="53"/>
      <c r="P45" s="53"/>
      <c r="Q45" s="53"/>
      <c r="R45" s="53"/>
      <c r="S45" s="53"/>
      <c r="T45" s="53"/>
      <c r="U45" s="50"/>
      <c r="V45" s="50"/>
      <c r="W45" s="50"/>
      <c r="X45" s="50"/>
      <c r="Y45" s="50"/>
      <c r="Z45" s="50"/>
      <c r="AA45" s="50"/>
      <c r="AB45" s="50"/>
      <c r="AC45" s="50"/>
      <c r="AD45" s="50"/>
      <c r="AE45" s="52"/>
      <c r="AF45" s="52"/>
      <c r="AG45" s="52"/>
      <c r="AH45" s="52"/>
      <c r="AI45" s="52"/>
      <c r="AJ45" s="52"/>
      <c r="AK45" s="52"/>
      <c r="AL45" s="52"/>
      <c r="AM45" s="52"/>
      <c r="AN45" s="52"/>
      <c r="AO45" s="52"/>
      <c r="AP45" s="52"/>
      <c r="AQ45" s="52"/>
    </row>
    <row r="46" spans="1:43">
      <c r="A46" s="29" t="s">
        <v>425</v>
      </c>
      <c r="B46" s="126">
        <f t="shared" ref="B46:K46" si="2">B44-B45</f>
        <v>11404.8</v>
      </c>
      <c r="C46" s="126">
        <f t="shared" si="2"/>
        <v>12510.9</v>
      </c>
      <c r="D46" s="126">
        <f t="shared" si="2"/>
        <v>12620.7</v>
      </c>
      <c r="E46" s="126">
        <f t="shared" si="2"/>
        <v>14112.9</v>
      </c>
      <c r="F46" s="126">
        <f t="shared" si="2"/>
        <v>16403.400000000001</v>
      </c>
      <c r="G46" s="86">
        <f t="shared" si="2"/>
        <v>15525</v>
      </c>
      <c r="H46" s="86">
        <f t="shared" si="2"/>
        <v>14625</v>
      </c>
      <c r="I46" s="86">
        <f t="shared" si="2"/>
        <v>13725</v>
      </c>
      <c r="J46" s="86">
        <f t="shared" si="2"/>
        <v>12825</v>
      </c>
      <c r="K46" s="86">
        <f t="shared" si="2"/>
        <v>11925</v>
      </c>
      <c r="L46" s="53"/>
      <c r="M46" s="53"/>
      <c r="N46" s="53"/>
      <c r="O46" s="53"/>
      <c r="P46" s="53"/>
      <c r="Q46" s="53"/>
      <c r="R46" s="53"/>
      <c r="S46" s="53"/>
      <c r="T46" s="53"/>
      <c r="U46" s="50"/>
      <c r="V46" s="50"/>
      <c r="W46" s="50"/>
      <c r="X46" s="50"/>
      <c r="Y46" s="50"/>
      <c r="Z46" s="50"/>
      <c r="AA46" s="50"/>
      <c r="AB46" s="50"/>
      <c r="AC46" s="50"/>
      <c r="AD46" s="50"/>
      <c r="AE46" s="52"/>
      <c r="AF46" s="52"/>
      <c r="AG46" s="52"/>
      <c r="AH46" s="52"/>
      <c r="AI46" s="52"/>
      <c r="AJ46" s="52"/>
      <c r="AK46" s="52"/>
      <c r="AL46" s="52"/>
      <c r="AM46" s="52"/>
      <c r="AN46" s="52"/>
      <c r="AO46" s="52"/>
      <c r="AP46" s="52"/>
      <c r="AQ46" s="52"/>
    </row>
    <row r="47" spans="1:43" ht="22.5" customHeight="1">
      <c r="A47" s="53"/>
      <c r="B47" s="125"/>
      <c r="C47" s="125"/>
      <c r="D47" s="125"/>
      <c r="E47" s="125"/>
      <c r="F47" s="125"/>
      <c r="G47" s="125"/>
      <c r="H47" s="125"/>
      <c r="I47" s="125"/>
      <c r="J47" s="125"/>
      <c r="K47" s="125"/>
      <c r="L47" s="53"/>
      <c r="M47" s="53"/>
      <c r="N47" s="53"/>
      <c r="O47" s="53"/>
      <c r="P47" s="53"/>
      <c r="Q47" s="53"/>
      <c r="R47" s="53"/>
      <c r="S47" s="53"/>
      <c r="T47" s="53"/>
      <c r="U47" s="50"/>
      <c r="V47" s="50"/>
      <c r="W47" s="50"/>
      <c r="X47" s="50"/>
      <c r="Y47" s="50"/>
      <c r="Z47" s="50"/>
      <c r="AA47" s="50"/>
      <c r="AB47" s="50"/>
      <c r="AC47" s="50"/>
      <c r="AD47" s="50"/>
      <c r="AE47" s="52"/>
      <c r="AF47" s="52"/>
      <c r="AG47" s="52"/>
      <c r="AH47" s="52"/>
      <c r="AI47" s="52"/>
      <c r="AJ47" s="52"/>
      <c r="AK47" s="52"/>
      <c r="AL47" s="52"/>
      <c r="AM47" s="52"/>
      <c r="AN47" s="52"/>
      <c r="AO47" s="52"/>
      <c r="AP47" s="52"/>
      <c r="AQ47" s="52"/>
    </row>
    <row r="48" spans="1:43">
      <c r="A48" s="5" t="s">
        <v>185</v>
      </c>
      <c r="B48" s="127" t="s">
        <v>119</v>
      </c>
      <c r="C48" s="127" t="s">
        <v>120</v>
      </c>
      <c r="D48" s="127" t="s">
        <v>121</v>
      </c>
      <c r="E48" s="127" t="s">
        <v>122</v>
      </c>
      <c r="F48" s="127" t="s">
        <v>123</v>
      </c>
      <c r="G48" s="127" t="s">
        <v>124</v>
      </c>
      <c r="H48" s="127" t="s">
        <v>125</v>
      </c>
      <c r="I48" s="127" t="s">
        <v>126</v>
      </c>
      <c r="J48" s="127" t="s">
        <v>127</v>
      </c>
      <c r="K48" s="127" t="s">
        <v>128</v>
      </c>
      <c r="L48" s="53"/>
      <c r="M48" s="53"/>
      <c r="N48" s="53"/>
      <c r="O48" s="53"/>
      <c r="P48" s="53"/>
      <c r="Q48" s="53"/>
      <c r="R48" s="53"/>
      <c r="S48" s="53"/>
      <c r="T48" s="53"/>
      <c r="U48" s="50"/>
      <c r="V48" s="50"/>
      <c r="W48" s="50"/>
      <c r="X48" s="50"/>
      <c r="Y48" s="50"/>
      <c r="Z48" s="50"/>
      <c r="AA48" s="50"/>
      <c r="AB48" s="50"/>
      <c r="AC48" s="50"/>
      <c r="AD48" s="50"/>
      <c r="AE48" s="52"/>
      <c r="AF48" s="52"/>
      <c r="AG48" s="52"/>
      <c r="AH48" s="52"/>
      <c r="AI48" s="52"/>
      <c r="AJ48" s="52"/>
      <c r="AK48" s="52"/>
      <c r="AL48" s="52"/>
      <c r="AM48" s="52"/>
      <c r="AN48" s="52"/>
      <c r="AO48" s="52"/>
      <c r="AP48" s="52"/>
      <c r="AQ48" s="52"/>
    </row>
    <row r="49" spans="1:43">
      <c r="A49" s="29" t="s">
        <v>183</v>
      </c>
      <c r="B49" s="123">
        <f>'Profit Loss'!B8/'Profit Loss'!B4</f>
        <v>3.7906019214430431E-2</v>
      </c>
      <c r="C49" s="123">
        <f>'Profit Loss'!C8/'Profit Loss'!C4</f>
        <v>3.8445244651556874E-2</v>
      </c>
      <c r="D49" s="123">
        <f>'Profit Loss'!D8/'Profit Loss'!D4</f>
        <v>3.3727571165175156E-2</v>
      </c>
      <c r="E49" s="123">
        <f>'Profit Loss'!E8/'Profit Loss'!E4</f>
        <v>3.1835205992509365E-2</v>
      </c>
      <c r="F49" s="123">
        <f>'Profit Loss'!F8/'Profit Loss'!F4</f>
        <v>3.1845776973053574E-2</v>
      </c>
      <c r="G49" s="124">
        <f>'Profit Loss'!G8/'Profit Loss'!G4</f>
        <v>0.03</v>
      </c>
      <c r="H49" s="124">
        <f>'Profit Loss'!H8/'Profit Loss'!H4</f>
        <v>2.8999999999999995E-2</v>
      </c>
      <c r="I49" s="124">
        <f>'Profit Loss'!I8/'Profit Loss'!I4</f>
        <v>2.7999999999999997E-2</v>
      </c>
      <c r="J49" s="124">
        <f>'Profit Loss'!J8/'Profit Loss'!J4</f>
        <v>2.7000000000000003E-2</v>
      </c>
      <c r="K49" s="124">
        <f>'Profit Loss'!K8/'Profit Loss'!K4</f>
        <v>2.5999999999999999E-2</v>
      </c>
      <c r="L49" s="53"/>
      <c r="M49" s="53"/>
      <c r="N49" s="53"/>
      <c r="O49" s="53"/>
      <c r="P49" s="53"/>
      <c r="Q49" s="53"/>
      <c r="R49" s="53"/>
      <c r="S49" s="53"/>
      <c r="T49" s="53"/>
      <c r="U49" s="50"/>
      <c r="V49" s="50"/>
      <c r="W49" s="50"/>
      <c r="X49" s="50"/>
      <c r="Y49" s="50"/>
      <c r="Z49" s="50"/>
      <c r="AA49" s="50"/>
      <c r="AB49" s="50"/>
      <c r="AC49" s="50"/>
      <c r="AD49" s="50"/>
      <c r="AE49" s="52"/>
      <c r="AF49" s="52"/>
      <c r="AG49" s="52"/>
      <c r="AH49" s="52"/>
      <c r="AI49" s="52"/>
      <c r="AJ49" s="52"/>
      <c r="AK49" s="52"/>
      <c r="AL49" s="52"/>
      <c r="AM49" s="52"/>
      <c r="AN49" s="52"/>
      <c r="AO49" s="52"/>
      <c r="AP49" s="52"/>
      <c r="AQ49" s="52"/>
    </row>
    <row r="50" spans="1:43">
      <c r="A50" s="29" t="s">
        <v>184</v>
      </c>
      <c r="B50" s="123">
        <f>'Profit Loss'!B15/'Common Size'!B44</f>
        <v>-2.9987373737373736E-2</v>
      </c>
      <c r="C50" s="123">
        <f>'Profit Loss'!C15/'Common Size'!C44</f>
        <v>-3.1004963671678296E-2</v>
      </c>
      <c r="D50" s="123">
        <f>'Profit Loss'!D15/'Common Size'!D44</f>
        <v>-3.3587677387149684E-2</v>
      </c>
      <c r="E50" s="123">
        <f>'Profit Loss'!E15/'Common Size'!E44</f>
        <v>-3.6668579809961098E-2</v>
      </c>
      <c r="F50" s="123">
        <f>'Profit Loss'!F15/'Common Size'!F44</f>
        <v>-3.5443871392516188E-2</v>
      </c>
      <c r="G50" s="124">
        <f>'Profit Loss'!G15/'Common Size'!G44</f>
        <v>-1.7500000000000002E-2</v>
      </c>
      <c r="H50" s="124">
        <f>'Profit Loss'!H15/'Common Size'!H44</f>
        <v>-1.7500000000000002E-2</v>
      </c>
      <c r="I50" s="124">
        <f>'Profit Loss'!I15/'Common Size'!I44</f>
        <v>-1.7500000000000002E-2</v>
      </c>
      <c r="J50" s="124">
        <f>'Profit Loss'!J15/'Common Size'!J44</f>
        <v>-1.7500000000000002E-2</v>
      </c>
      <c r="K50" s="124">
        <f>'Profit Loss'!K15/'Common Size'!K44</f>
        <v>-1.7500000000000002E-2</v>
      </c>
      <c r="L50" s="53"/>
      <c r="M50" s="53"/>
      <c r="N50" s="53"/>
      <c r="O50" s="53"/>
      <c r="P50" s="53"/>
      <c r="Q50" s="53"/>
      <c r="R50" s="53"/>
      <c r="S50" s="53"/>
      <c r="T50" s="53"/>
      <c r="U50" s="50"/>
      <c r="V50" s="50"/>
      <c r="W50" s="50"/>
      <c r="X50" s="50"/>
      <c r="Y50" s="50"/>
      <c r="Z50" s="50"/>
      <c r="AA50" s="50"/>
      <c r="AB50" s="50"/>
      <c r="AC50" s="50"/>
      <c r="AD50" s="50"/>
      <c r="AE50" s="52"/>
      <c r="AF50" s="52"/>
      <c r="AG50" s="52"/>
      <c r="AH50" s="52"/>
      <c r="AI50" s="52"/>
      <c r="AJ50" s="52"/>
      <c r="AK50" s="52"/>
      <c r="AL50" s="52"/>
      <c r="AM50" s="52"/>
      <c r="AN50" s="52"/>
      <c r="AO50" s="52"/>
      <c r="AP50" s="52"/>
      <c r="AQ50" s="52"/>
    </row>
    <row r="51" spans="1:43">
      <c r="A51" s="29" t="s">
        <v>118</v>
      </c>
      <c r="B51" s="123">
        <f>'Profit Loss'!B19/'Profit Loss'!B18</f>
        <v>0.173840206185567</v>
      </c>
      <c r="C51" s="123">
        <f>'Profit Loss'!C19/'Profit Loss'!C18</f>
        <v>0.15717473561657125</v>
      </c>
      <c r="D51" s="123">
        <f>'Profit Loss'!D19/'Profit Loss'!D18</f>
        <v>0.15359699965905216</v>
      </c>
      <c r="E51" s="123">
        <f>'Profit Loss'!E19/'Profit Loss'!E18</f>
        <v>0.17919202287557739</v>
      </c>
      <c r="F51" s="123">
        <f>'Profit Loss'!F19/'Profit Loss'!F18</f>
        <v>0.15602464927232201</v>
      </c>
      <c r="G51" s="124">
        <f>'Profit Loss'!G19/'Profit Loss'!G18</f>
        <v>0.16</v>
      </c>
      <c r="H51" s="124">
        <f>'Profit Loss'!H19/'Profit Loss'!H18</f>
        <v>0.16</v>
      </c>
      <c r="I51" s="124">
        <f>'Profit Loss'!I19/'Profit Loss'!I18</f>
        <v>0.16</v>
      </c>
      <c r="J51" s="124">
        <f>'Profit Loss'!J19/'Profit Loss'!J18</f>
        <v>0.16</v>
      </c>
      <c r="K51" s="124">
        <f>'Profit Loss'!K19/'Profit Loss'!K18</f>
        <v>0.16</v>
      </c>
      <c r="L51" s="53"/>
      <c r="M51" s="53"/>
      <c r="N51" s="53"/>
      <c r="O51" s="53"/>
      <c r="P51" s="53"/>
      <c r="Q51" s="53"/>
      <c r="R51" s="53"/>
      <c r="S51" s="53"/>
      <c r="T51" s="53"/>
      <c r="U51" s="50"/>
      <c r="V51" s="50"/>
      <c r="W51" s="50"/>
      <c r="X51" s="50"/>
      <c r="Y51" s="50"/>
      <c r="Z51" s="50"/>
      <c r="AA51" s="50"/>
      <c r="AB51" s="50"/>
      <c r="AC51" s="50"/>
      <c r="AD51" s="50"/>
      <c r="AE51" s="52"/>
      <c r="AF51" s="52"/>
      <c r="AG51" s="52"/>
      <c r="AH51" s="52"/>
      <c r="AI51" s="52"/>
      <c r="AJ51" s="52"/>
      <c r="AK51" s="52"/>
      <c r="AL51" s="52"/>
      <c r="AM51" s="52"/>
      <c r="AN51" s="52"/>
      <c r="AO51" s="52"/>
      <c r="AP51" s="52"/>
      <c r="AQ51" s="52"/>
    </row>
    <row r="52" spans="1:43" ht="21.75" customHeight="1">
      <c r="A52" s="53"/>
      <c r="B52" s="125"/>
      <c r="C52" s="125"/>
      <c r="D52" s="125"/>
      <c r="E52" s="125"/>
      <c r="F52" s="125"/>
      <c r="G52" s="125"/>
      <c r="H52" s="125"/>
      <c r="I52" s="125"/>
      <c r="J52" s="125"/>
      <c r="K52" s="125"/>
      <c r="L52" s="53"/>
      <c r="M52" s="53"/>
      <c r="N52" s="53"/>
      <c r="O52" s="53"/>
      <c r="P52" s="53"/>
      <c r="Q52" s="53"/>
      <c r="R52" s="53"/>
      <c r="S52" s="53"/>
      <c r="T52" s="53"/>
      <c r="U52" s="50"/>
      <c r="V52" s="50"/>
      <c r="W52" s="50"/>
      <c r="X52" s="50"/>
      <c r="Y52" s="50"/>
      <c r="Z52" s="50"/>
      <c r="AA52" s="50"/>
      <c r="AB52" s="50"/>
      <c r="AC52" s="50"/>
      <c r="AD52" s="50"/>
      <c r="AE52" s="52"/>
      <c r="AF52" s="52"/>
      <c r="AG52" s="52"/>
      <c r="AH52" s="52"/>
      <c r="AI52" s="52"/>
      <c r="AJ52" s="52"/>
      <c r="AK52" s="52"/>
      <c r="AL52" s="52"/>
      <c r="AM52" s="52"/>
      <c r="AN52" s="52"/>
      <c r="AO52" s="52"/>
      <c r="AP52" s="52"/>
      <c r="AQ52" s="52"/>
    </row>
    <row r="53" spans="1:43">
      <c r="A53" s="5" t="s">
        <v>186</v>
      </c>
      <c r="B53" s="127" t="s">
        <v>119</v>
      </c>
      <c r="C53" s="127" t="s">
        <v>120</v>
      </c>
      <c r="D53" s="127" t="s">
        <v>121</v>
      </c>
      <c r="E53" s="127" t="s">
        <v>122</v>
      </c>
      <c r="F53" s="127" t="s">
        <v>123</v>
      </c>
      <c r="G53" s="127" t="s">
        <v>124</v>
      </c>
      <c r="H53" s="12" t="s">
        <v>125</v>
      </c>
      <c r="I53" s="12" t="s">
        <v>126</v>
      </c>
      <c r="J53" s="127" t="s">
        <v>127</v>
      </c>
      <c r="K53" s="127" t="s">
        <v>128</v>
      </c>
      <c r="L53" s="53"/>
      <c r="M53" s="53"/>
      <c r="N53" s="53"/>
      <c r="O53" s="53"/>
      <c r="P53" s="53"/>
      <c r="Q53" s="53"/>
      <c r="R53" s="53"/>
      <c r="S53" s="53"/>
      <c r="T53" s="53"/>
      <c r="U53" s="50"/>
      <c r="V53" s="50"/>
      <c r="W53" s="50"/>
      <c r="X53" s="50"/>
      <c r="Y53" s="50"/>
      <c r="Z53" s="50"/>
      <c r="AA53" s="50"/>
      <c r="AB53" s="50"/>
      <c r="AC53" s="50"/>
      <c r="AD53" s="50"/>
      <c r="AE53" s="52"/>
      <c r="AF53" s="52"/>
      <c r="AG53" s="52"/>
      <c r="AH53" s="52"/>
      <c r="AI53" s="52"/>
      <c r="AJ53" s="52"/>
      <c r="AK53" s="52"/>
      <c r="AL53" s="52"/>
      <c r="AM53" s="52"/>
      <c r="AN53" s="52"/>
      <c r="AO53" s="52"/>
      <c r="AP53" s="52"/>
      <c r="AQ53" s="52"/>
    </row>
    <row r="54" spans="1:43">
      <c r="A54" s="29" t="s">
        <v>19</v>
      </c>
      <c r="B54" s="129">
        <f>'Profit Loss'!B20</f>
        <v>6411</v>
      </c>
      <c r="C54" s="129">
        <f>'Profit Loss'!C20</f>
        <v>8687</v>
      </c>
      <c r="D54" s="129">
        <f>'Profit Loss'!D20</f>
        <v>9930</v>
      </c>
      <c r="E54" s="129">
        <f>'Profit Loss'!E20</f>
        <v>11195</v>
      </c>
      <c r="F54" s="129">
        <f>'Profit Loss'!F20</f>
        <v>12874</v>
      </c>
      <c r="G54" s="130">
        <f>'Profit Loss'!G20</f>
        <v>14606.824680000003</v>
      </c>
      <c r="H54" s="130">
        <f>'Profit Loss'!H20</f>
        <v>16827.111094079999</v>
      </c>
      <c r="I54" s="130">
        <f>'Profit Loss'!I20</f>
        <v>19033.650836390399</v>
      </c>
      <c r="J54" s="130">
        <f>'Profit Loss'!J20</f>
        <v>21331.217946834437</v>
      </c>
      <c r="K54" s="130">
        <f>'Profit Loss'!K20</f>
        <v>23685.455210398472</v>
      </c>
      <c r="L54" s="53"/>
      <c r="M54" s="53"/>
      <c r="N54" s="53"/>
      <c r="O54" s="53"/>
      <c r="P54" s="53"/>
      <c r="Q54" s="53"/>
      <c r="R54" s="53"/>
      <c r="S54" s="53"/>
      <c r="T54" s="53"/>
      <c r="U54" s="50"/>
      <c r="V54" s="50"/>
      <c r="W54" s="50"/>
      <c r="X54" s="50"/>
      <c r="Y54" s="50"/>
      <c r="Z54" s="50"/>
      <c r="AA54" s="50"/>
      <c r="AB54" s="50"/>
      <c r="AC54" s="50"/>
      <c r="AD54" s="50"/>
      <c r="AE54" s="52"/>
      <c r="AF54" s="52"/>
      <c r="AG54" s="52"/>
      <c r="AH54" s="52"/>
      <c r="AI54" s="52"/>
      <c r="AJ54" s="52"/>
      <c r="AK54" s="52"/>
      <c r="AL54" s="52"/>
      <c r="AM54" s="52"/>
      <c r="AN54" s="52"/>
      <c r="AO54" s="52"/>
      <c r="AP54" s="52"/>
      <c r="AQ54" s="52"/>
    </row>
    <row r="55" spans="1:43">
      <c r="A55" s="29" t="s">
        <v>187</v>
      </c>
      <c r="B55" s="123">
        <f>Assumptions!B39</f>
        <v>0.3</v>
      </c>
      <c r="C55" s="123">
        <f>Assumptions!B39</f>
        <v>0.3</v>
      </c>
      <c r="D55" s="123">
        <f>Assumptions!B39</f>
        <v>0.3</v>
      </c>
      <c r="E55" s="123">
        <f>Assumptions!B39</f>
        <v>0.3</v>
      </c>
      <c r="F55" s="123">
        <f>Assumptions!B39</f>
        <v>0.3</v>
      </c>
      <c r="G55" s="124">
        <f>Assumptions!B39</f>
        <v>0.3</v>
      </c>
      <c r="H55" s="131">
        <f>Assumptions!B39</f>
        <v>0.3</v>
      </c>
      <c r="I55" s="131">
        <f>Assumptions!B39</f>
        <v>0.3</v>
      </c>
      <c r="J55" s="131">
        <f>Assumptions!B39</f>
        <v>0.3</v>
      </c>
      <c r="K55" s="131">
        <f>Assumptions!B39</f>
        <v>0.3</v>
      </c>
      <c r="L55" s="53"/>
      <c r="M55" s="53"/>
      <c r="N55" s="53"/>
      <c r="O55" s="53"/>
      <c r="P55" s="53"/>
      <c r="Q55" s="53"/>
      <c r="R55" s="53"/>
      <c r="S55" s="53"/>
      <c r="T55" s="53"/>
      <c r="U55" s="50"/>
      <c r="V55" s="50"/>
      <c r="W55" s="50"/>
      <c r="X55" s="50"/>
      <c r="Y55" s="50"/>
      <c r="Z55" s="50"/>
      <c r="AA55" s="50"/>
      <c r="AB55" s="50"/>
      <c r="AC55" s="50"/>
      <c r="AD55" s="50"/>
      <c r="AE55" s="52"/>
      <c r="AF55" s="52"/>
      <c r="AG55" s="52"/>
      <c r="AH55" s="52"/>
      <c r="AI55" s="52"/>
      <c r="AJ55" s="52"/>
      <c r="AK55" s="52"/>
      <c r="AL55" s="52"/>
      <c r="AM55" s="52"/>
      <c r="AN55" s="52"/>
      <c r="AO55" s="52"/>
      <c r="AP55" s="52"/>
      <c r="AQ55" s="52"/>
    </row>
    <row r="56" spans="1:43">
      <c r="A56" s="29" t="s">
        <v>188</v>
      </c>
      <c r="B56" s="129">
        <f>B54*B55</f>
        <v>1923.3</v>
      </c>
      <c r="C56" s="129">
        <f t="shared" ref="C56:K56" si="3">C54*C55</f>
        <v>2606.1</v>
      </c>
      <c r="D56" s="129">
        <f t="shared" si="3"/>
        <v>2979</v>
      </c>
      <c r="E56" s="129">
        <f t="shared" si="3"/>
        <v>3358.5</v>
      </c>
      <c r="F56" s="129">
        <f t="shared" si="3"/>
        <v>3862.2</v>
      </c>
      <c r="G56" s="130">
        <f>G54*G55</f>
        <v>4382.0474040000008</v>
      </c>
      <c r="H56" s="130">
        <f t="shared" si="3"/>
        <v>5048.1333282239993</v>
      </c>
      <c r="I56" s="130">
        <f t="shared" si="3"/>
        <v>5710.0952509171193</v>
      </c>
      <c r="J56" s="130">
        <f t="shared" si="3"/>
        <v>6399.3653840503312</v>
      </c>
      <c r="K56" s="130">
        <f t="shared" si="3"/>
        <v>7105.6365631195413</v>
      </c>
      <c r="L56" s="53"/>
      <c r="M56" s="53"/>
      <c r="N56" s="53"/>
      <c r="O56" s="53"/>
      <c r="P56" s="53"/>
      <c r="Q56" s="53"/>
      <c r="R56" s="53"/>
      <c r="S56" s="53"/>
      <c r="T56" s="53"/>
      <c r="U56" s="50"/>
      <c r="V56" s="50"/>
      <c r="W56" s="50"/>
      <c r="X56" s="50"/>
      <c r="Y56" s="50"/>
      <c r="Z56" s="50"/>
      <c r="AA56" s="50"/>
      <c r="AB56" s="50"/>
      <c r="AC56" s="50"/>
      <c r="AD56" s="50"/>
      <c r="AE56" s="52"/>
      <c r="AF56" s="52"/>
      <c r="AG56" s="52"/>
      <c r="AH56" s="52"/>
      <c r="AI56" s="52"/>
      <c r="AJ56" s="52"/>
      <c r="AK56" s="52"/>
      <c r="AL56" s="52"/>
      <c r="AM56" s="52"/>
      <c r="AN56" s="52"/>
      <c r="AO56" s="52"/>
      <c r="AP56" s="52"/>
      <c r="AQ56" s="52"/>
    </row>
    <row r="57" spans="1:43">
      <c r="A57" s="29" t="s">
        <v>189</v>
      </c>
      <c r="B57" s="129">
        <f>B54-B56</f>
        <v>4487.7</v>
      </c>
      <c r="C57" s="129">
        <f t="shared" ref="C57:K57" si="4">C54-C56</f>
        <v>6080.9</v>
      </c>
      <c r="D57" s="129">
        <f t="shared" si="4"/>
        <v>6951</v>
      </c>
      <c r="E57" s="129">
        <f t="shared" si="4"/>
        <v>7836.5</v>
      </c>
      <c r="F57" s="129">
        <f t="shared" si="4"/>
        <v>9011.7999999999993</v>
      </c>
      <c r="G57" s="130">
        <f t="shared" si="4"/>
        <v>10224.777276000003</v>
      </c>
      <c r="H57" s="130">
        <f t="shared" si="4"/>
        <v>11778.977765856</v>
      </c>
      <c r="I57" s="130">
        <f t="shared" si="4"/>
        <v>13323.555585473281</v>
      </c>
      <c r="J57" s="130">
        <f t="shared" si="4"/>
        <v>14931.852562784105</v>
      </c>
      <c r="K57" s="130">
        <f t="shared" si="4"/>
        <v>16579.818647278931</v>
      </c>
      <c r="L57" s="53"/>
      <c r="M57" s="53"/>
      <c r="N57" s="53"/>
      <c r="O57" s="53"/>
      <c r="P57" s="53"/>
      <c r="Q57" s="53"/>
      <c r="R57" s="53"/>
      <c r="S57" s="53"/>
      <c r="T57" s="53"/>
      <c r="U57" s="50"/>
      <c r="V57" s="50"/>
      <c r="W57" s="50"/>
      <c r="X57" s="50"/>
      <c r="Y57" s="50"/>
      <c r="Z57" s="50"/>
      <c r="AA57" s="50"/>
      <c r="AB57" s="50"/>
      <c r="AC57" s="50"/>
      <c r="AD57" s="50"/>
      <c r="AE57" s="52"/>
      <c r="AF57" s="52"/>
      <c r="AG57" s="52"/>
      <c r="AH57" s="52"/>
      <c r="AI57" s="52"/>
      <c r="AJ57" s="52"/>
      <c r="AK57" s="52"/>
      <c r="AL57" s="52"/>
      <c r="AM57" s="52"/>
      <c r="AN57" s="52"/>
      <c r="AO57" s="52"/>
      <c r="AP57" s="52"/>
      <c r="AQ57" s="52"/>
    </row>
    <row r="58" spans="1:43">
      <c r="A58" s="53"/>
      <c r="B58" s="125"/>
      <c r="C58" s="125"/>
      <c r="D58" s="125"/>
      <c r="E58" s="125"/>
      <c r="F58" s="125"/>
      <c r="G58" s="125"/>
      <c r="H58" s="125"/>
      <c r="I58" s="125"/>
      <c r="J58" s="125"/>
      <c r="K58" s="125"/>
      <c r="L58" s="53"/>
      <c r="M58" s="53"/>
      <c r="N58" s="53"/>
      <c r="O58" s="53"/>
      <c r="P58" s="53"/>
      <c r="Q58" s="53"/>
      <c r="R58" s="53"/>
      <c r="S58" s="53"/>
      <c r="T58" s="53"/>
      <c r="U58" s="50"/>
      <c r="V58" s="50"/>
      <c r="W58" s="50"/>
      <c r="X58" s="50"/>
      <c r="Y58" s="50"/>
      <c r="Z58" s="50"/>
      <c r="AA58" s="50"/>
      <c r="AB58" s="50"/>
      <c r="AC58" s="50"/>
      <c r="AD58" s="50"/>
      <c r="AE58" s="52"/>
      <c r="AF58" s="52"/>
      <c r="AG58" s="52"/>
      <c r="AH58" s="52"/>
      <c r="AI58" s="52"/>
      <c r="AJ58" s="52"/>
      <c r="AK58" s="52"/>
      <c r="AL58" s="52"/>
      <c r="AM58" s="52"/>
      <c r="AN58" s="52"/>
      <c r="AO58" s="52"/>
      <c r="AP58" s="52"/>
      <c r="AQ58" s="52"/>
    </row>
    <row r="59" spans="1:43">
      <c r="A59" s="5" t="s">
        <v>761</v>
      </c>
      <c r="B59" s="127" t="s">
        <v>117</v>
      </c>
      <c r="C59" s="125"/>
      <c r="D59" s="125"/>
      <c r="E59" s="125"/>
      <c r="F59" s="125"/>
      <c r="G59" s="125"/>
      <c r="H59" s="125"/>
      <c r="I59" s="125"/>
      <c r="J59" s="125"/>
      <c r="K59" s="125"/>
      <c r="L59" s="53"/>
      <c r="M59" s="53"/>
      <c r="N59" s="53"/>
      <c r="O59" s="53"/>
      <c r="P59" s="53"/>
      <c r="Q59" s="53"/>
      <c r="R59" s="53"/>
      <c r="S59" s="53"/>
      <c r="T59" s="53"/>
      <c r="U59" s="50"/>
      <c r="V59" s="50"/>
      <c r="W59" s="50"/>
      <c r="X59" s="50"/>
      <c r="Y59" s="50"/>
      <c r="Z59" s="50"/>
      <c r="AA59" s="50"/>
      <c r="AB59" s="50"/>
      <c r="AC59" s="50"/>
      <c r="AD59" s="50"/>
      <c r="AE59" s="52"/>
      <c r="AF59" s="52"/>
      <c r="AG59" s="52"/>
      <c r="AH59" s="52"/>
      <c r="AI59" s="52"/>
      <c r="AJ59" s="52"/>
      <c r="AK59" s="52"/>
      <c r="AL59" s="52"/>
      <c r="AM59" s="52"/>
      <c r="AN59" s="52"/>
      <c r="AO59" s="52"/>
      <c r="AP59" s="52"/>
      <c r="AQ59" s="52"/>
    </row>
    <row r="60" spans="1:43">
      <c r="A60" s="29" t="s">
        <v>190</v>
      </c>
      <c r="B60" s="124">
        <v>4.2000000000000003E-2</v>
      </c>
      <c r="C60" s="125"/>
      <c r="D60" s="125"/>
      <c r="E60" s="125"/>
      <c r="F60" s="125"/>
      <c r="G60" s="125"/>
      <c r="H60" s="125"/>
      <c r="I60" s="125"/>
      <c r="J60" s="125"/>
      <c r="K60" s="125"/>
      <c r="L60" s="53"/>
      <c r="M60" s="53"/>
      <c r="N60" s="53"/>
      <c r="O60" s="53"/>
      <c r="P60" s="53"/>
      <c r="Q60" s="53"/>
      <c r="R60" s="53"/>
      <c r="S60" s="53"/>
      <c r="T60" s="53"/>
      <c r="U60" s="50"/>
      <c r="V60" s="50"/>
      <c r="W60" s="50"/>
      <c r="X60" s="50"/>
      <c r="Y60" s="50"/>
      <c r="Z60" s="50"/>
      <c r="AA60" s="50"/>
      <c r="AB60" s="50"/>
      <c r="AC60" s="50"/>
      <c r="AD60" s="50"/>
      <c r="AE60" s="52"/>
      <c r="AF60" s="52"/>
      <c r="AG60" s="52"/>
      <c r="AH60" s="52"/>
      <c r="AI60" s="52"/>
      <c r="AJ60" s="52"/>
      <c r="AK60" s="52"/>
      <c r="AL60" s="52"/>
      <c r="AM60" s="52"/>
      <c r="AN60" s="52"/>
      <c r="AO60" s="52"/>
      <c r="AP60" s="52"/>
      <c r="AQ60" s="52"/>
    </row>
    <row r="61" spans="1:43">
      <c r="A61" s="29" t="s">
        <v>191</v>
      </c>
      <c r="B61" s="132" cm="1">
        <f t="array" ref="B61">Table23[Value]</f>
        <v>1.0354653976641053</v>
      </c>
      <c r="C61" s="125"/>
      <c r="D61" s="125"/>
      <c r="E61" s="33" t="s">
        <v>1809</v>
      </c>
      <c r="F61" s="33"/>
      <c r="G61" s="33"/>
      <c r="H61" s="125"/>
      <c r="I61" s="50"/>
      <c r="J61" s="46" t="s">
        <v>2221</v>
      </c>
      <c r="K61" s="46"/>
      <c r="L61" s="3"/>
      <c r="M61" s="53"/>
      <c r="N61" s="53"/>
      <c r="O61" s="53"/>
      <c r="P61" s="53"/>
      <c r="Q61" s="53"/>
      <c r="R61" s="53"/>
      <c r="S61" s="53"/>
      <c r="T61" s="53"/>
      <c r="U61" s="50"/>
      <c r="V61" s="50"/>
      <c r="W61" s="50"/>
      <c r="X61" s="50"/>
      <c r="Y61" s="50"/>
      <c r="Z61" s="50"/>
      <c r="AA61" s="50"/>
      <c r="AB61" s="50"/>
      <c r="AC61" s="50"/>
      <c r="AD61" s="50"/>
      <c r="AE61" s="52"/>
      <c r="AF61" s="52"/>
      <c r="AG61" s="52"/>
      <c r="AH61" s="52"/>
      <c r="AI61" s="52"/>
      <c r="AJ61" s="52"/>
      <c r="AK61" s="52"/>
      <c r="AL61" s="52"/>
      <c r="AM61" s="52"/>
      <c r="AN61" s="52"/>
      <c r="AO61" s="52"/>
      <c r="AP61" s="52"/>
      <c r="AQ61" s="52"/>
    </row>
    <row r="62" spans="1:43">
      <c r="A62" s="29" t="s">
        <v>192</v>
      </c>
      <c r="B62" s="124">
        <v>5.8000000000000003E-2</v>
      </c>
      <c r="C62" s="125"/>
      <c r="D62" s="125"/>
      <c r="E62" s="30" t="s">
        <v>1281</v>
      </c>
      <c r="F62" s="30"/>
      <c r="G62" s="30"/>
      <c r="H62" s="125"/>
      <c r="I62" s="50"/>
      <c r="J62" s="320" t="s">
        <v>2218</v>
      </c>
      <c r="K62" s="320"/>
      <c r="L62" s="28"/>
      <c r="M62" s="53"/>
      <c r="N62" s="53"/>
      <c r="O62" s="53"/>
      <c r="P62" s="53"/>
      <c r="Q62" s="53"/>
      <c r="R62" s="53"/>
      <c r="S62" s="53"/>
      <c r="T62" s="53"/>
      <c r="U62" s="50"/>
      <c r="V62" s="50"/>
      <c r="W62" s="50"/>
      <c r="X62" s="50"/>
      <c r="Y62" s="50"/>
      <c r="Z62" s="50"/>
      <c r="AA62" s="50"/>
      <c r="AB62" s="50"/>
      <c r="AC62" s="50"/>
      <c r="AD62" s="50"/>
      <c r="AE62" s="52"/>
      <c r="AF62" s="52"/>
      <c r="AG62" s="52"/>
      <c r="AH62" s="52"/>
      <c r="AI62" s="52"/>
      <c r="AJ62" s="52"/>
      <c r="AK62" s="52"/>
      <c r="AL62" s="52"/>
      <c r="AM62" s="52"/>
      <c r="AN62" s="52"/>
      <c r="AO62" s="52"/>
      <c r="AP62" s="52"/>
      <c r="AQ62" s="52"/>
    </row>
    <row r="63" spans="1:43">
      <c r="A63" s="29" t="s">
        <v>193</v>
      </c>
      <c r="B63" s="124">
        <f>B60+B61*B62</f>
        <v>0.10205699306451811</v>
      </c>
      <c r="C63" s="125"/>
      <c r="D63" s="125"/>
      <c r="E63" s="30" t="s">
        <v>2216</v>
      </c>
      <c r="F63" s="320"/>
      <c r="G63" s="320"/>
      <c r="H63" s="125"/>
      <c r="I63" s="50"/>
      <c r="J63" s="320" t="s">
        <v>2219</v>
      </c>
      <c r="K63" s="320"/>
      <c r="L63" s="28"/>
      <c r="M63" s="53"/>
      <c r="N63" s="53"/>
      <c r="O63" s="53"/>
      <c r="P63" s="53"/>
      <c r="Q63" s="53"/>
      <c r="R63" s="53"/>
      <c r="S63" s="53"/>
      <c r="T63" s="53"/>
      <c r="U63" s="50"/>
      <c r="V63" s="50"/>
      <c r="W63" s="50"/>
      <c r="X63" s="50"/>
      <c r="Y63" s="50"/>
      <c r="Z63" s="50"/>
      <c r="AA63" s="50"/>
      <c r="AB63" s="50"/>
      <c r="AC63" s="50"/>
      <c r="AD63" s="50"/>
      <c r="AE63" s="52"/>
      <c r="AF63" s="52"/>
      <c r="AG63" s="52"/>
      <c r="AH63" s="52"/>
      <c r="AI63" s="52"/>
      <c r="AJ63" s="52"/>
      <c r="AK63" s="52"/>
      <c r="AL63" s="52"/>
      <c r="AM63" s="52"/>
      <c r="AN63" s="52"/>
      <c r="AO63" s="52"/>
      <c r="AP63" s="52"/>
      <c r="AQ63" s="52"/>
    </row>
    <row r="64" spans="1:43">
      <c r="A64" s="53"/>
      <c r="B64" s="125"/>
      <c r="C64" s="125"/>
      <c r="D64" s="125"/>
      <c r="E64" s="30" t="s">
        <v>1998</v>
      </c>
      <c r="F64" s="30"/>
      <c r="G64" s="30"/>
      <c r="H64" s="125"/>
      <c r="I64" s="50"/>
      <c r="J64" s="320" t="s">
        <v>2220</v>
      </c>
      <c r="K64" s="30"/>
      <c r="L64" s="28"/>
      <c r="M64" s="53"/>
      <c r="N64" s="53"/>
      <c r="O64" s="53"/>
      <c r="P64" s="53"/>
      <c r="Q64" s="53"/>
      <c r="R64" s="53"/>
      <c r="S64" s="53"/>
      <c r="T64" s="53"/>
      <c r="U64" s="50"/>
      <c r="V64" s="50"/>
      <c r="W64" s="50"/>
      <c r="X64" s="50"/>
      <c r="Y64" s="50"/>
      <c r="Z64" s="50"/>
      <c r="AA64" s="50"/>
      <c r="AB64" s="50"/>
      <c r="AC64" s="50"/>
      <c r="AD64" s="50"/>
      <c r="AE64" s="52"/>
      <c r="AF64" s="52"/>
      <c r="AG64" s="52"/>
      <c r="AH64" s="52"/>
      <c r="AI64" s="52"/>
      <c r="AJ64" s="52"/>
      <c r="AK64" s="52"/>
      <c r="AL64" s="52"/>
      <c r="AM64" s="52"/>
      <c r="AN64" s="52"/>
      <c r="AO64" s="52"/>
      <c r="AP64" s="52"/>
      <c r="AQ64" s="52"/>
    </row>
    <row r="65" spans="1:43">
      <c r="A65" s="5" t="s">
        <v>194</v>
      </c>
      <c r="B65" s="127" t="s">
        <v>117</v>
      </c>
      <c r="C65" s="125"/>
      <c r="D65" s="125"/>
      <c r="E65" s="320" t="s">
        <v>2217</v>
      </c>
      <c r="F65" s="30"/>
      <c r="G65" s="30"/>
      <c r="H65" s="125"/>
      <c r="I65" s="50"/>
      <c r="J65" s="50"/>
      <c r="K65" s="50"/>
      <c r="L65" s="50"/>
      <c r="M65" s="50"/>
      <c r="N65" s="50"/>
      <c r="O65" s="53"/>
      <c r="P65" s="53"/>
      <c r="Q65" s="53"/>
      <c r="R65" s="53"/>
      <c r="S65" s="53"/>
      <c r="T65" s="53"/>
      <c r="U65" s="50"/>
      <c r="V65" s="50"/>
      <c r="W65" s="50"/>
      <c r="X65" s="50"/>
      <c r="Y65" s="50"/>
      <c r="Z65" s="50"/>
      <c r="AA65" s="50"/>
      <c r="AB65" s="50"/>
      <c r="AC65" s="50"/>
      <c r="AD65" s="50"/>
      <c r="AE65" s="52"/>
      <c r="AF65" s="52"/>
      <c r="AG65" s="52"/>
      <c r="AH65" s="52"/>
      <c r="AI65" s="52"/>
      <c r="AJ65" s="52"/>
      <c r="AK65" s="52"/>
      <c r="AL65" s="52"/>
      <c r="AM65" s="52"/>
      <c r="AN65" s="52"/>
      <c r="AO65" s="52"/>
      <c r="AP65" s="52"/>
      <c r="AQ65" s="52"/>
    </row>
    <row r="66" spans="1:43">
      <c r="A66" s="29" t="s">
        <v>195</v>
      </c>
      <c r="B66" s="124">
        <f>WACC!B23</f>
        <v>0.9</v>
      </c>
      <c r="C66" s="125"/>
      <c r="D66" s="125"/>
      <c r="E66" s="125"/>
      <c r="F66" s="125"/>
      <c r="G66" s="125"/>
      <c r="H66" s="125"/>
      <c r="I66" s="125"/>
      <c r="J66" s="125"/>
      <c r="K66" s="125"/>
      <c r="L66" s="53"/>
      <c r="M66" s="53"/>
      <c r="N66" s="53"/>
      <c r="O66" s="53"/>
      <c r="P66" s="53"/>
      <c r="Q66" s="53"/>
      <c r="R66" s="53"/>
      <c r="S66" s="53"/>
      <c r="T66" s="53"/>
      <c r="U66" s="50"/>
      <c r="V66" s="50"/>
      <c r="W66" s="50"/>
      <c r="X66" s="50"/>
      <c r="Y66" s="50"/>
      <c r="Z66" s="50"/>
      <c r="AA66" s="50"/>
      <c r="AB66" s="50"/>
      <c r="AC66" s="50"/>
      <c r="AD66" s="50"/>
      <c r="AE66" s="52"/>
      <c r="AF66" s="52"/>
      <c r="AG66" s="52"/>
      <c r="AH66" s="52"/>
      <c r="AI66" s="52"/>
      <c r="AJ66" s="52"/>
      <c r="AK66" s="52"/>
      <c r="AL66" s="52"/>
      <c r="AM66" s="52"/>
      <c r="AN66" s="52"/>
      <c r="AO66" s="52"/>
      <c r="AP66" s="52"/>
      <c r="AQ66" s="52"/>
    </row>
    <row r="67" spans="1:43">
      <c r="A67" s="29" t="s">
        <v>193</v>
      </c>
      <c r="B67" s="124">
        <f>B63</f>
        <v>0.10205699306451811</v>
      </c>
      <c r="C67" s="125"/>
      <c r="D67" s="125"/>
      <c r="E67" s="33" t="s">
        <v>861</v>
      </c>
      <c r="F67" s="33"/>
      <c r="G67" s="33"/>
      <c r="H67" s="125"/>
      <c r="I67" s="50"/>
      <c r="J67" s="46" t="s">
        <v>2222</v>
      </c>
      <c r="K67" s="22"/>
      <c r="L67" s="568"/>
      <c r="M67" s="568"/>
      <c r="N67" s="53"/>
      <c r="O67" s="19" t="s">
        <v>2231</v>
      </c>
      <c r="P67" s="19"/>
      <c r="Q67" s="19"/>
      <c r="R67" s="19"/>
      <c r="S67" s="19"/>
      <c r="T67" s="568"/>
      <c r="U67" s="496"/>
      <c r="V67" s="50"/>
      <c r="W67" s="50"/>
      <c r="X67" s="50"/>
      <c r="Y67" s="50"/>
      <c r="Z67" s="50"/>
      <c r="AA67" s="50"/>
      <c r="AB67" s="50"/>
      <c r="AC67" s="50"/>
      <c r="AD67" s="50"/>
      <c r="AE67" s="52"/>
      <c r="AF67" s="52"/>
      <c r="AG67" s="52"/>
      <c r="AH67" s="52"/>
      <c r="AI67" s="52"/>
      <c r="AJ67" s="52"/>
      <c r="AK67" s="52"/>
      <c r="AL67" s="52"/>
      <c r="AM67" s="52"/>
      <c r="AN67" s="52"/>
      <c r="AO67" s="52"/>
      <c r="AP67" s="52"/>
      <c r="AQ67" s="52"/>
    </row>
    <row r="68" spans="1:43">
      <c r="A68" s="29" t="s">
        <v>196</v>
      </c>
      <c r="B68" s="124">
        <f>WACC!B24</f>
        <v>0.1</v>
      </c>
      <c r="C68" s="125"/>
      <c r="D68" s="125"/>
      <c r="E68" s="137" t="s">
        <v>2253</v>
      </c>
      <c r="F68" s="137"/>
      <c r="G68" s="137"/>
      <c r="H68" s="125"/>
      <c r="I68" s="125"/>
      <c r="J68" s="30" t="s">
        <v>2223</v>
      </c>
      <c r="K68" s="30"/>
      <c r="L68" s="53"/>
      <c r="M68" s="53"/>
      <c r="N68" s="53"/>
      <c r="O68" s="28" t="s">
        <v>2232</v>
      </c>
      <c r="P68" s="28"/>
      <c r="Q68" s="28"/>
      <c r="R68" s="28"/>
      <c r="S68" s="28"/>
      <c r="T68" s="53"/>
      <c r="U68" s="50"/>
      <c r="V68" s="50"/>
      <c r="W68" s="50"/>
      <c r="X68" s="50"/>
      <c r="Y68" s="50"/>
      <c r="Z68" s="50"/>
      <c r="AA68" s="50"/>
      <c r="AB68" s="50"/>
      <c r="AC68" s="50"/>
      <c r="AD68" s="50"/>
      <c r="AE68" s="52"/>
      <c r="AF68" s="52"/>
      <c r="AG68" s="52"/>
      <c r="AH68" s="52"/>
      <c r="AI68" s="52"/>
      <c r="AJ68" s="52"/>
      <c r="AK68" s="52"/>
      <c r="AL68" s="52"/>
      <c r="AM68" s="52"/>
      <c r="AN68" s="52"/>
      <c r="AO68" s="52"/>
      <c r="AP68" s="52"/>
      <c r="AQ68" s="52"/>
    </row>
    <row r="69" spans="1:43">
      <c r="A69" s="29" t="s">
        <v>197</v>
      </c>
      <c r="B69" s="122">
        <f>WACC!B13</f>
        <v>3.5000000000000003E-2</v>
      </c>
      <c r="C69" s="125"/>
      <c r="D69" s="125"/>
      <c r="E69" s="30" t="s">
        <v>1810</v>
      </c>
      <c r="F69" s="30"/>
      <c r="G69" s="320"/>
      <c r="H69" s="125"/>
      <c r="I69" s="125"/>
      <c r="J69" s="30" t="s">
        <v>2224</v>
      </c>
      <c r="K69" s="30"/>
      <c r="L69" s="53"/>
      <c r="M69" s="53"/>
      <c r="N69" s="53"/>
      <c r="O69" s="28" t="s">
        <v>2233</v>
      </c>
      <c r="P69" s="28"/>
      <c r="Q69" s="28"/>
      <c r="R69" s="28"/>
      <c r="S69" s="28"/>
      <c r="T69" s="53"/>
      <c r="U69" s="50"/>
      <c r="V69" s="50"/>
      <c r="W69" s="50"/>
      <c r="X69" s="50"/>
      <c r="Y69" s="50"/>
      <c r="Z69" s="50"/>
      <c r="AA69" s="50"/>
      <c r="AB69" s="50"/>
      <c r="AC69" s="50"/>
      <c r="AD69" s="50"/>
      <c r="AE69" s="52"/>
      <c r="AF69" s="52"/>
      <c r="AG69" s="52"/>
      <c r="AH69" s="52"/>
      <c r="AI69" s="52"/>
      <c r="AJ69" s="52"/>
      <c r="AK69" s="52"/>
      <c r="AL69" s="52"/>
      <c r="AM69" s="52"/>
      <c r="AN69" s="52"/>
      <c r="AO69" s="52"/>
      <c r="AP69" s="52"/>
      <c r="AQ69" s="52"/>
    </row>
    <row r="70" spans="1:43">
      <c r="A70" s="29" t="s">
        <v>118</v>
      </c>
      <c r="B70" s="122">
        <f>Assumptions!B14</f>
        <v>0.16</v>
      </c>
      <c r="C70" s="125"/>
      <c r="D70" s="125"/>
      <c r="E70" s="30" t="s">
        <v>1811</v>
      </c>
      <c r="F70" s="30"/>
      <c r="G70" s="30"/>
      <c r="H70" s="125"/>
      <c r="I70" s="125"/>
      <c r="J70" s="30" t="s">
        <v>2225</v>
      </c>
      <c r="K70" s="30"/>
      <c r="L70" s="53"/>
      <c r="M70" s="53"/>
      <c r="N70" s="53"/>
      <c r="O70" s="28" t="s">
        <v>2234</v>
      </c>
      <c r="P70" s="28"/>
      <c r="Q70" s="28"/>
      <c r="R70" s="28"/>
      <c r="S70" s="28"/>
      <c r="T70" s="53"/>
      <c r="U70" s="50"/>
      <c r="V70" s="50"/>
      <c r="W70" s="50"/>
      <c r="X70" s="50"/>
      <c r="Y70" s="50"/>
      <c r="Z70" s="50"/>
      <c r="AA70" s="50"/>
      <c r="AB70" s="50"/>
      <c r="AC70" s="50"/>
      <c r="AD70" s="50"/>
      <c r="AE70" s="52"/>
      <c r="AF70" s="52"/>
      <c r="AG70" s="52"/>
      <c r="AH70" s="52"/>
      <c r="AI70" s="52"/>
      <c r="AJ70" s="52"/>
      <c r="AK70" s="52"/>
      <c r="AL70" s="52"/>
      <c r="AM70" s="52"/>
      <c r="AN70" s="52"/>
      <c r="AO70" s="52"/>
      <c r="AP70" s="52"/>
      <c r="AQ70" s="52"/>
    </row>
    <row r="71" spans="1:43">
      <c r="A71" s="29" t="s">
        <v>198</v>
      </c>
      <c r="B71" s="124">
        <f>(B66*B67)+(B68*B69*(1-B70))</f>
        <v>9.4791293758066303E-2</v>
      </c>
      <c r="C71" s="125"/>
      <c r="D71" s="125"/>
      <c r="E71" s="30" t="s">
        <v>1446</v>
      </c>
      <c r="F71" s="30"/>
      <c r="G71" s="30"/>
      <c r="H71" s="125"/>
      <c r="I71" s="125"/>
      <c r="J71" s="30" t="s">
        <v>2226</v>
      </c>
      <c r="K71" s="30"/>
      <c r="L71" s="53"/>
      <c r="M71" s="53"/>
      <c r="N71" s="53"/>
      <c r="O71" s="50"/>
      <c r="P71" s="50"/>
      <c r="Q71" s="50"/>
      <c r="R71" s="50"/>
      <c r="S71" s="50"/>
      <c r="T71" s="50"/>
      <c r="U71" s="50"/>
      <c r="V71" s="50"/>
      <c r="W71" s="50"/>
      <c r="X71" s="50"/>
      <c r="Y71" s="50"/>
      <c r="Z71" s="50"/>
      <c r="AA71" s="50"/>
      <c r="AB71" s="50"/>
      <c r="AC71" s="50"/>
      <c r="AD71" s="50"/>
      <c r="AE71" s="52"/>
      <c r="AF71" s="52"/>
      <c r="AG71" s="52"/>
      <c r="AH71" s="52"/>
      <c r="AI71" s="52"/>
      <c r="AJ71" s="52"/>
      <c r="AK71" s="52"/>
      <c r="AL71" s="52"/>
      <c r="AM71" s="52"/>
      <c r="AN71" s="52"/>
      <c r="AO71" s="52"/>
      <c r="AP71" s="52"/>
      <c r="AQ71" s="52"/>
    </row>
    <row r="72" spans="1:43" ht="17.25" customHeight="1">
      <c r="A72" s="53"/>
      <c r="B72" s="125"/>
      <c r="C72" s="125"/>
      <c r="D72" s="125"/>
      <c r="E72" s="125"/>
      <c r="F72" s="125"/>
      <c r="G72" s="125"/>
      <c r="H72" s="125"/>
      <c r="I72" s="125"/>
      <c r="J72" s="50"/>
      <c r="K72" s="50"/>
      <c r="L72" s="50"/>
      <c r="M72" s="50"/>
      <c r="N72" s="53"/>
      <c r="O72" s="53"/>
      <c r="P72" s="53"/>
      <c r="Q72" s="53"/>
      <c r="R72" s="53"/>
      <c r="S72" s="53"/>
      <c r="T72" s="53"/>
      <c r="U72" s="50"/>
      <c r="V72" s="50"/>
      <c r="W72" s="50"/>
      <c r="X72" s="50"/>
      <c r="Y72" s="50"/>
      <c r="Z72" s="50"/>
      <c r="AA72" s="50"/>
      <c r="AB72" s="50"/>
      <c r="AC72" s="50"/>
      <c r="AD72" s="50"/>
      <c r="AE72" s="52"/>
      <c r="AF72" s="52"/>
      <c r="AG72" s="52"/>
      <c r="AH72" s="52"/>
      <c r="AI72" s="52"/>
      <c r="AJ72" s="52"/>
      <c r="AK72" s="52"/>
      <c r="AL72" s="52"/>
      <c r="AM72" s="52"/>
      <c r="AN72" s="52"/>
      <c r="AO72" s="52"/>
      <c r="AP72" s="52"/>
      <c r="AQ72" s="52"/>
    </row>
    <row r="73" spans="1:43">
      <c r="A73" s="5" t="s">
        <v>199</v>
      </c>
      <c r="B73" s="12" t="s">
        <v>119</v>
      </c>
      <c r="C73" s="12" t="s">
        <v>120</v>
      </c>
      <c r="D73" s="12" t="s">
        <v>121</v>
      </c>
      <c r="E73" s="12" t="s">
        <v>122</v>
      </c>
      <c r="F73" s="127" t="s">
        <v>123</v>
      </c>
      <c r="G73" s="127" t="s">
        <v>124</v>
      </c>
      <c r="H73" s="127" t="s">
        <v>125</v>
      </c>
      <c r="I73" s="127" t="s">
        <v>126</v>
      </c>
      <c r="J73" s="127" t="s">
        <v>127</v>
      </c>
      <c r="K73" s="127" t="s">
        <v>128</v>
      </c>
      <c r="L73" s="53"/>
      <c r="M73" s="250" t="s">
        <v>2254</v>
      </c>
      <c r="N73" s="250"/>
      <c r="O73" s="569"/>
      <c r="P73" s="53"/>
      <c r="Q73" s="53"/>
      <c r="R73" s="53"/>
      <c r="S73" s="53"/>
      <c r="T73" s="53"/>
      <c r="U73" s="50"/>
      <c r="V73" s="50"/>
      <c r="W73" s="50"/>
      <c r="X73" s="50"/>
      <c r="Y73" s="50"/>
      <c r="Z73" s="50"/>
      <c r="AA73" s="50"/>
      <c r="AB73" s="50"/>
      <c r="AC73" s="50"/>
      <c r="AD73" s="50"/>
      <c r="AE73" s="52"/>
      <c r="AF73" s="52"/>
      <c r="AG73" s="52"/>
      <c r="AH73" s="52"/>
      <c r="AI73" s="52"/>
      <c r="AJ73" s="52"/>
      <c r="AK73" s="52"/>
      <c r="AL73" s="52"/>
      <c r="AM73" s="52"/>
      <c r="AN73" s="52"/>
      <c r="AO73" s="52"/>
      <c r="AP73" s="52"/>
      <c r="AQ73" s="52"/>
    </row>
    <row r="74" spans="1:43">
      <c r="A74" s="29" t="s">
        <v>200</v>
      </c>
      <c r="B74" s="99">
        <f>'Profit Loss'!B25</f>
        <v>8661</v>
      </c>
      <c r="C74" s="99">
        <f>'Profit Loss'!C25</f>
        <v>10808</v>
      </c>
      <c r="D74" s="99">
        <f>'Profit Loss'!D25</f>
        <v>13014</v>
      </c>
      <c r="E74" s="99">
        <f>'Profit Loss'!E25</f>
        <v>14807</v>
      </c>
      <c r="F74" s="128">
        <f>'Profit Loss'!F11</f>
        <v>15582</v>
      </c>
      <c r="G74" s="133">
        <f>'Profit Loss'!G11</f>
        <v>17350.872000000003</v>
      </c>
      <c r="H74" s="133">
        <f>'Profit Loss'!H11</f>
        <v>19962.966912</v>
      </c>
      <c r="I74" s="133">
        <f>'Profit Loss'!I11</f>
        <v>22558.152610560002</v>
      </c>
      <c r="J74" s="133">
        <f>'Profit Loss'!J11</f>
        <v>25261.138330444806</v>
      </c>
      <c r="K74" s="133">
        <f>'Profit Loss'!K11</f>
        <v>28030.999989484808</v>
      </c>
      <c r="L74" s="53"/>
      <c r="M74" s="28" t="s">
        <v>1810</v>
      </c>
      <c r="N74" s="28"/>
      <c r="O74" s="53"/>
      <c r="P74" s="53"/>
      <c r="Q74" s="53"/>
      <c r="R74" s="53"/>
      <c r="S74" s="53"/>
      <c r="T74" s="53"/>
      <c r="U74" s="50"/>
      <c r="V74" s="50"/>
      <c r="W74" s="50"/>
      <c r="X74" s="50"/>
      <c r="Y74" s="50"/>
      <c r="Z74" s="50"/>
      <c r="AA74" s="50"/>
      <c r="AB74" s="50"/>
      <c r="AC74" s="50"/>
      <c r="AD74" s="50"/>
      <c r="AE74" s="52"/>
      <c r="AF74" s="52"/>
      <c r="AG74" s="52"/>
      <c r="AH74" s="52"/>
      <c r="AI74" s="52"/>
      <c r="AJ74" s="52"/>
      <c r="AK74" s="52"/>
      <c r="AL74" s="52"/>
      <c r="AM74" s="52"/>
      <c r="AN74" s="52"/>
      <c r="AO74" s="52"/>
      <c r="AP74" s="52"/>
      <c r="AQ74" s="52"/>
    </row>
    <row r="75" spans="1:43">
      <c r="A75" s="29" t="s">
        <v>118</v>
      </c>
      <c r="B75" s="134">
        <f>'Profit Loss'!B19/'Profit Loss'!B18</f>
        <v>0.173840206185567</v>
      </c>
      <c r="C75" s="134">
        <f>'Profit Loss'!C19/'Profit Loss'!C18</f>
        <v>0.15717473561657125</v>
      </c>
      <c r="D75" s="134">
        <f>'Profit Loss'!D19/'Profit Loss'!D18</f>
        <v>0.15359699965905216</v>
      </c>
      <c r="E75" s="134">
        <f>'Profit Loss'!E19/'Profit Loss'!E18</f>
        <v>0.17919202287557739</v>
      </c>
      <c r="F75" s="123">
        <f>'Profit Loss'!F19/'Profit Loss'!F18</f>
        <v>0.15602464927232201</v>
      </c>
      <c r="G75" s="124">
        <f>'Profit Loss'!G19/'Profit Loss'!G18</f>
        <v>0.16</v>
      </c>
      <c r="H75" s="124">
        <f>'Profit Loss'!H19/'Profit Loss'!H18</f>
        <v>0.16</v>
      </c>
      <c r="I75" s="124">
        <f>'Profit Loss'!I19/'Profit Loss'!I18</f>
        <v>0.16</v>
      </c>
      <c r="J75" s="124">
        <f>'Profit Loss'!J19/'Profit Loss'!J18</f>
        <v>0.16</v>
      </c>
      <c r="K75" s="124">
        <f>'Profit Loss'!K19/'Profit Loss'!K18</f>
        <v>0.16</v>
      </c>
      <c r="L75" s="53"/>
      <c r="M75" s="28" t="s">
        <v>2255</v>
      </c>
      <c r="N75" s="28"/>
      <c r="O75" s="53"/>
      <c r="P75" s="53"/>
      <c r="Q75" s="53"/>
      <c r="R75" s="53"/>
      <c r="S75" s="53"/>
      <c r="T75" s="53"/>
      <c r="U75" s="50"/>
      <c r="V75" s="50"/>
      <c r="W75" s="50"/>
      <c r="X75" s="50"/>
      <c r="Y75" s="50"/>
      <c r="Z75" s="50"/>
      <c r="AA75" s="50"/>
      <c r="AB75" s="50"/>
      <c r="AC75" s="50"/>
      <c r="AD75" s="50"/>
      <c r="AE75" s="52"/>
      <c r="AF75" s="52"/>
      <c r="AG75" s="52"/>
      <c r="AH75" s="52"/>
      <c r="AI75" s="52"/>
      <c r="AJ75" s="52"/>
      <c r="AK75" s="52"/>
      <c r="AL75" s="52"/>
      <c r="AM75" s="52"/>
      <c r="AN75" s="52"/>
      <c r="AO75" s="52"/>
      <c r="AP75" s="52"/>
      <c r="AQ75" s="52"/>
    </row>
    <row r="76" spans="1:43">
      <c r="A76" s="29" t="s">
        <v>201</v>
      </c>
      <c r="B76" s="109">
        <f t="shared" ref="B76:K76" si="5">B74*(1-B75)</f>
        <v>7155.3699742268036</v>
      </c>
      <c r="C76" s="109">
        <f t="shared" si="5"/>
        <v>9109.2554574560982</v>
      </c>
      <c r="D76" s="109">
        <f t="shared" si="5"/>
        <v>11015.088646437096</v>
      </c>
      <c r="E76" s="109">
        <f t="shared" si="5"/>
        <v>12153.703717281325</v>
      </c>
      <c r="F76" s="129">
        <f t="shared" si="5"/>
        <v>13150.823915038678</v>
      </c>
      <c r="G76" s="130">
        <f t="shared" si="5"/>
        <v>14574.732480000002</v>
      </c>
      <c r="H76" s="130">
        <f t="shared" si="5"/>
        <v>16768.89220608</v>
      </c>
      <c r="I76" s="130">
        <f t="shared" si="5"/>
        <v>18948.848192870402</v>
      </c>
      <c r="J76" s="130">
        <f t="shared" si="5"/>
        <v>21219.356197573637</v>
      </c>
      <c r="K76" s="130">
        <f t="shared" si="5"/>
        <v>23546.039991167239</v>
      </c>
      <c r="L76" s="53"/>
      <c r="M76" s="28" t="s">
        <v>2256</v>
      </c>
      <c r="N76" s="28"/>
      <c r="O76" s="53"/>
      <c r="P76" s="53"/>
      <c r="Q76" s="53"/>
      <c r="R76" s="53"/>
      <c r="S76" s="53"/>
      <c r="T76" s="53"/>
      <c r="U76" s="50"/>
      <c r="V76" s="50"/>
      <c r="W76" s="50"/>
      <c r="X76" s="50"/>
      <c r="Y76" s="50"/>
      <c r="Z76" s="50"/>
      <c r="AA76" s="50"/>
      <c r="AB76" s="50"/>
      <c r="AC76" s="50"/>
      <c r="AD76" s="50"/>
      <c r="AE76" s="52"/>
      <c r="AF76" s="52"/>
      <c r="AG76" s="52"/>
      <c r="AH76" s="52"/>
      <c r="AI76" s="52"/>
      <c r="AJ76" s="52"/>
      <c r="AK76" s="52"/>
      <c r="AL76" s="52"/>
      <c r="AM76" s="52"/>
      <c r="AN76" s="52"/>
      <c r="AO76" s="52"/>
      <c r="AP76" s="52"/>
      <c r="AQ76" s="52"/>
    </row>
    <row r="77" spans="1:43">
      <c r="A77" s="29" t="s">
        <v>202</v>
      </c>
      <c r="B77" s="99">
        <f>'Profit Loss'!B8</f>
        <v>580</v>
      </c>
      <c r="C77" s="99">
        <f>'Profit Loss'!C8</f>
        <v>726</v>
      </c>
      <c r="D77" s="99">
        <f>'Profit Loss'!D8</f>
        <v>750</v>
      </c>
      <c r="E77" s="99">
        <f>'Profit Loss'!E8</f>
        <v>799</v>
      </c>
      <c r="F77" s="128">
        <f>'Profit Loss'!F8</f>
        <v>897</v>
      </c>
      <c r="G77" s="133">
        <f>'Profit Loss'!G8</f>
        <v>946.41120000000012</v>
      </c>
      <c r="H77" s="133">
        <f>'Profit Loss'!H8</f>
        <v>1033.7965007999999</v>
      </c>
      <c r="I77" s="133">
        <f>'Profit Loss'!I8</f>
        <v>1117.926147072</v>
      </c>
      <c r="J77" s="133">
        <f>'Profit Loss'!J8</f>
        <v>1196.5802367052804</v>
      </c>
      <c r="K77" s="133">
        <f>'Profit Loss'!K8</f>
        <v>1267.4886951767044</v>
      </c>
      <c r="L77" s="53"/>
      <c r="M77" s="28" t="s">
        <v>2257</v>
      </c>
      <c r="N77" s="28"/>
      <c r="O77" s="53"/>
      <c r="P77" s="53"/>
      <c r="Q77" s="53"/>
      <c r="R77" s="53"/>
      <c r="S77" s="53"/>
      <c r="T77" s="53"/>
      <c r="U77" s="50"/>
      <c r="V77" s="50"/>
      <c r="W77" s="50"/>
      <c r="X77" s="50"/>
      <c r="Y77" s="50"/>
      <c r="Z77" s="50"/>
      <c r="AA77" s="50"/>
      <c r="AB77" s="50"/>
      <c r="AC77" s="50"/>
      <c r="AD77" s="50"/>
      <c r="AE77" s="52"/>
      <c r="AF77" s="52"/>
      <c r="AG77" s="52"/>
      <c r="AH77" s="52"/>
      <c r="AI77" s="52"/>
      <c r="AJ77" s="52"/>
      <c r="AK77" s="52"/>
      <c r="AL77" s="52"/>
      <c r="AM77" s="52"/>
      <c r="AN77" s="52"/>
      <c r="AO77" s="52"/>
      <c r="AP77" s="52"/>
      <c r="AQ77" s="52"/>
    </row>
    <row r="78" spans="1:43">
      <c r="A78" s="29" t="s">
        <v>203</v>
      </c>
      <c r="B78" s="135">
        <f>'Cash Flow'!B32+'Cash Flow'!B33</f>
        <v>-708</v>
      </c>
      <c r="C78" s="135">
        <f>'Cash Flow'!C32+'Cash Flow'!C33</f>
        <v>-814</v>
      </c>
      <c r="D78" s="135">
        <f>'Cash Flow'!D32+'Cash Flow'!D33</f>
        <v>-1097</v>
      </c>
      <c r="E78" s="135">
        <f>'Cash Flow'!E32+'Cash Flow'!E33</f>
        <v>-1088</v>
      </c>
      <c r="F78" s="128">
        <f>'Cash Flow'!F32+'Cash Flow'!F33</f>
        <v>-1194</v>
      </c>
      <c r="G78" s="133">
        <f>'Cash Flow'!G32+'Cash Flow'!G33</f>
        <v>-1253.7</v>
      </c>
      <c r="H78" s="133">
        <f>'Cash Flow'!H32+'Cash Flow'!H33</f>
        <v>-1316.3850000000002</v>
      </c>
      <c r="I78" s="133">
        <f>'Cash Flow'!I32+'Cash Flow'!I33</f>
        <v>-1382.2042500000002</v>
      </c>
      <c r="J78" s="133">
        <f>'Cash Flow'!J32+'Cash Flow'!J33</f>
        <v>-1451.3144625000004</v>
      </c>
      <c r="K78" s="133">
        <f>'Cash Flow'!K32+'Cash Flow'!K33</f>
        <v>-1523.8801856250004</v>
      </c>
      <c r="L78" s="53"/>
      <c r="M78" s="28" t="s">
        <v>2258</v>
      </c>
      <c r="N78" s="28"/>
      <c r="O78" s="53"/>
      <c r="P78" s="53"/>
      <c r="Q78" s="53"/>
      <c r="R78" s="53"/>
      <c r="S78" s="53"/>
      <c r="T78" s="53"/>
      <c r="U78" s="50"/>
      <c r="V78" s="50"/>
      <c r="W78" s="50"/>
      <c r="X78" s="50"/>
      <c r="Y78" s="50"/>
      <c r="Z78" s="50"/>
      <c r="AA78" s="50"/>
      <c r="AB78" s="50"/>
      <c r="AC78" s="50"/>
      <c r="AD78" s="50"/>
      <c r="AE78" s="52"/>
      <c r="AF78" s="52"/>
      <c r="AG78" s="52"/>
      <c r="AH78" s="52"/>
      <c r="AI78" s="52"/>
      <c r="AJ78" s="52"/>
      <c r="AK78" s="52"/>
      <c r="AL78" s="52"/>
      <c r="AM78" s="52"/>
      <c r="AN78" s="52"/>
      <c r="AO78" s="52"/>
      <c r="AP78" s="52"/>
      <c r="AQ78" s="52"/>
    </row>
    <row r="79" spans="1:43">
      <c r="A79" s="29" t="s">
        <v>2321</v>
      </c>
      <c r="B79" s="135"/>
      <c r="C79" s="135"/>
      <c r="D79" s="135"/>
      <c r="E79" s="135"/>
      <c r="F79" s="128"/>
      <c r="G79" s="130">
        <v>0.92</v>
      </c>
      <c r="H79" s="130">
        <v>0.85</v>
      </c>
      <c r="I79" s="130">
        <v>0.78</v>
      </c>
      <c r="J79" s="130">
        <v>0.72</v>
      </c>
      <c r="K79" s="130">
        <v>0.66</v>
      </c>
      <c r="L79" s="53"/>
      <c r="M79" s="28" t="s">
        <v>2259</v>
      </c>
      <c r="N79" s="28"/>
      <c r="O79" s="53"/>
      <c r="P79" s="53"/>
      <c r="Q79" s="53"/>
      <c r="R79" s="53"/>
      <c r="S79" s="53"/>
      <c r="T79" s="53"/>
      <c r="U79" s="50"/>
      <c r="V79" s="50"/>
      <c r="W79" s="50"/>
      <c r="X79" s="50"/>
      <c r="Y79" s="50"/>
      <c r="Z79" s="50"/>
      <c r="AA79" s="50"/>
      <c r="AB79" s="50"/>
      <c r="AC79" s="50"/>
      <c r="AD79" s="50"/>
      <c r="AE79" s="52"/>
      <c r="AF79" s="52"/>
      <c r="AG79" s="52"/>
      <c r="AH79" s="52"/>
      <c r="AI79" s="52"/>
      <c r="AJ79" s="52"/>
      <c r="AK79" s="52"/>
      <c r="AL79" s="52"/>
      <c r="AM79" s="52"/>
      <c r="AN79" s="52"/>
      <c r="AO79" s="52"/>
      <c r="AP79" s="52"/>
      <c r="AQ79" s="52"/>
    </row>
    <row r="80" spans="1:43">
      <c r="A80" s="29" t="s">
        <v>427</v>
      </c>
      <c r="B80" s="135"/>
      <c r="C80" s="135"/>
      <c r="D80" s="135"/>
      <c r="E80" s="135"/>
      <c r="F80" s="128"/>
      <c r="G80" s="133">
        <f>G87*G79</f>
        <v>22712.436512640001</v>
      </c>
      <c r="H80" s="133">
        <f>H87*H79</f>
        <v>24021.755964023996</v>
      </c>
      <c r="I80" s="133">
        <f>I87*I79</f>
        <v>24860.242704967495</v>
      </c>
      <c r="J80" s="133">
        <f>J87*J79</f>
        <v>25634.00654458093</v>
      </c>
      <c r="K80" s="133">
        <f>K87*K79</f>
        <v>25998.47572474878</v>
      </c>
      <c r="L80" s="53"/>
      <c r="M80" s="50"/>
      <c r="N80" s="50"/>
      <c r="O80" s="50"/>
      <c r="P80" s="53"/>
      <c r="Q80" s="53"/>
      <c r="R80" s="53"/>
      <c r="S80" s="53"/>
      <c r="T80" s="53"/>
      <c r="U80" s="50"/>
      <c r="V80" s="50"/>
      <c r="W80" s="50"/>
      <c r="X80" s="50"/>
      <c r="Y80" s="50"/>
      <c r="Z80" s="50"/>
      <c r="AA80" s="50"/>
      <c r="AB80" s="50"/>
      <c r="AC80" s="50"/>
      <c r="AD80" s="50"/>
      <c r="AE80" s="52"/>
      <c r="AF80" s="52"/>
      <c r="AG80" s="52"/>
      <c r="AH80" s="52"/>
      <c r="AI80" s="52"/>
      <c r="AJ80" s="52"/>
      <c r="AK80" s="52"/>
      <c r="AL80" s="52"/>
      <c r="AM80" s="52"/>
      <c r="AN80" s="52"/>
      <c r="AO80" s="52"/>
      <c r="AP80" s="52"/>
      <c r="AQ80" s="52"/>
    </row>
    <row r="81" spans="1:43">
      <c r="A81" s="28" t="s">
        <v>428</v>
      </c>
      <c r="B81" s="135"/>
      <c r="C81" s="135"/>
      <c r="D81" s="135"/>
      <c r="E81" s="135"/>
      <c r="F81" s="128"/>
      <c r="G81" s="130">
        <f>K87*1.03/(0.0948-0.03)</f>
        <v>626132.38861979148</v>
      </c>
      <c r="H81" s="133"/>
      <c r="I81" s="133"/>
      <c r="J81" s="133"/>
      <c r="K81" s="133"/>
      <c r="L81" s="53"/>
      <c r="M81" s="53"/>
      <c r="N81" s="53"/>
      <c r="O81" s="53"/>
      <c r="P81" s="53"/>
      <c r="Q81" s="53"/>
      <c r="R81" s="53"/>
      <c r="S81" s="53"/>
      <c r="T81" s="53"/>
      <c r="U81" s="50"/>
      <c r="V81" s="50"/>
      <c r="W81" s="50"/>
      <c r="X81" s="50"/>
      <c r="Y81" s="50"/>
      <c r="Z81" s="50"/>
      <c r="AA81" s="50"/>
      <c r="AB81" s="50"/>
      <c r="AC81" s="50"/>
      <c r="AD81" s="50"/>
      <c r="AE81" s="52"/>
      <c r="AF81" s="52"/>
      <c r="AG81" s="52"/>
      <c r="AH81" s="52"/>
      <c r="AI81" s="52"/>
      <c r="AJ81" s="52"/>
      <c r="AK81" s="52"/>
      <c r="AL81" s="52"/>
      <c r="AM81" s="52"/>
      <c r="AN81" s="52"/>
      <c r="AO81" s="52"/>
      <c r="AP81" s="52"/>
      <c r="AQ81" s="52"/>
    </row>
    <row r="82" spans="1:43">
      <c r="A82" s="28" t="s">
        <v>417</v>
      </c>
      <c r="B82" s="135"/>
      <c r="C82" s="135"/>
      <c r="D82" s="135"/>
      <c r="E82" s="135"/>
      <c r="F82" s="128"/>
      <c r="G82" s="133">
        <f>G81*K79</f>
        <v>413247.37648906239</v>
      </c>
      <c r="H82" s="133"/>
      <c r="I82" s="133"/>
      <c r="J82" s="133"/>
      <c r="K82" s="133"/>
      <c r="L82" s="53"/>
      <c r="M82" s="53"/>
      <c r="N82" s="53"/>
      <c r="O82" s="53"/>
      <c r="P82" s="53"/>
      <c r="Q82" s="53"/>
      <c r="R82" s="53"/>
      <c r="S82" s="53"/>
      <c r="T82" s="53"/>
      <c r="U82" s="50"/>
      <c r="V82" s="50"/>
      <c r="W82" s="50"/>
      <c r="X82" s="50"/>
      <c r="Y82" s="50"/>
      <c r="Z82" s="50"/>
      <c r="AA82" s="50"/>
      <c r="AB82" s="50"/>
      <c r="AC82" s="50"/>
      <c r="AD82" s="50"/>
      <c r="AE82" s="52"/>
      <c r="AF82" s="52"/>
      <c r="AG82" s="52"/>
      <c r="AH82" s="52"/>
      <c r="AI82" s="52"/>
      <c r="AJ82" s="52"/>
      <c r="AK82" s="52"/>
      <c r="AL82" s="52"/>
      <c r="AM82" s="52"/>
      <c r="AN82" s="52"/>
      <c r="AO82" s="52"/>
      <c r="AP82" s="52"/>
      <c r="AQ82" s="52"/>
    </row>
    <row r="83" spans="1:43" ht="15.75" customHeight="1">
      <c r="A83" s="28" t="s">
        <v>429</v>
      </c>
      <c r="B83" s="135"/>
      <c r="C83" s="135"/>
      <c r="D83" s="135"/>
      <c r="E83" s="135"/>
      <c r="F83" s="128"/>
      <c r="G83" s="133">
        <f>SUM(G80:K80)+G82</f>
        <v>536474.29394002364</v>
      </c>
      <c r="H83" s="133"/>
      <c r="I83" s="133"/>
      <c r="J83" s="133"/>
      <c r="K83" s="133"/>
      <c r="L83" s="53"/>
      <c r="M83" s="53"/>
      <c r="N83" s="53"/>
      <c r="O83" s="53"/>
      <c r="P83" s="53"/>
      <c r="Q83" s="53"/>
      <c r="R83" s="53"/>
      <c r="S83" s="53"/>
      <c r="T83" s="53"/>
      <c r="U83" s="50"/>
      <c r="V83" s="50"/>
      <c r="W83" s="50"/>
      <c r="X83" s="50"/>
      <c r="Y83" s="50"/>
      <c r="Z83" s="50"/>
      <c r="AA83" s="50"/>
      <c r="AB83" s="50"/>
      <c r="AC83" s="50"/>
      <c r="AD83" s="50"/>
      <c r="AE83" s="52"/>
      <c r="AF83" s="52"/>
      <c r="AG83" s="52"/>
      <c r="AH83" s="52"/>
      <c r="AI83" s="52"/>
      <c r="AJ83" s="52"/>
      <c r="AK83" s="52"/>
      <c r="AL83" s="52"/>
      <c r="AM83" s="52"/>
      <c r="AN83" s="52"/>
      <c r="AO83" s="52"/>
      <c r="AP83" s="52"/>
      <c r="AQ83" s="52"/>
    </row>
    <row r="84" spans="1:43" ht="18.75" customHeight="1">
      <c r="A84" s="28" t="s">
        <v>430</v>
      </c>
      <c r="B84" s="135"/>
      <c r="C84" s="135"/>
      <c r="D84" s="135"/>
      <c r="E84" s="135"/>
      <c r="F84" s="128"/>
      <c r="G84" s="133">
        <f>G83-B93+B94+B95</f>
        <v>528564.29394002364</v>
      </c>
      <c r="H84" s="133"/>
      <c r="I84" s="133"/>
      <c r="J84" s="133"/>
      <c r="K84" s="133"/>
      <c r="L84" s="53"/>
      <c r="M84" s="53"/>
      <c r="N84" s="53"/>
      <c r="O84" s="53"/>
      <c r="P84" s="53"/>
      <c r="Q84" s="53"/>
      <c r="R84" s="53"/>
      <c r="S84" s="53"/>
      <c r="T84" s="53"/>
      <c r="U84" s="50"/>
      <c r="V84" s="50"/>
      <c r="W84" s="50"/>
      <c r="X84" s="50"/>
      <c r="Y84" s="50"/>
      <c r="Z84" s="50"/>
      <c r="AA84" s="50"/>
      <c r="AB84" s="50"/>
      <c r="AC84" s="50"/>
      <c r="AD84" s="50"/>
      <c r="AE84" s="52"/>
      <c r="AF84" s="52"/>
      <c r="AG84" s="52"/>
      <c r="AH84" s="52"/>
      <c r="AI84" s="52"/>
      <c r="AJ84" s="52"/>
      <c r="AK84" s="52"/>
      <c r="AL84" s="52"/>
      <c r="AM84" s="52"/>
      <c r="AN84" s="52"/>
      <c r="AO84" s="52"/>
      <c r="AP84" s="52"/>
      <c r="AQ84" s="52"/>
    </row>
    <row r="85" spans="1:43" ht="15" customHeight="1">
      <c r="A85" s="28" t="s">
        <v>431</v>
      </c>
      <c r="B85" s="135"/>
      <c r="C85" s="135"/>
      <c r="D85" s="135"/>
      <c r="E85" s="135"/>
      <c r="F85" s="128"/>
      <c r="G85" s="133">
        <f>G84/'Profit Loss'!G24</f>
        <v>581.82450954364924</v>
      </c>
      <c r="H85" s="133"/>
      <c r="I85" s="133"/>
      <c r="J85" s="133"/>
      <c r="K85" s="133"/>
      <c r="L85" s="53"/>
      <c r="M85" s="53"/>
      <c r="N85" s="53"/>
      <c r="O85" s="53"/>
      <c r="P85" s="53"/>
      <c r="Q85" s="53"/>
      <c r="R85" s="53"/>
      <c r="S85" s="53"/>
      <c r="T85" s="53"/>
      <c r="U85" s="50"/>
      <c r="V85" s="50"/>
      <c r="W85" s="50"/>
      <c r="X85" s="50"/>
      <c r="Y85" s="50"/>
      <c r="Z85" s="50"/>
      <c r="AA85" s="50"/>
      <c r="AB85" s="50"/>
      <c r="AC85" s="50"/>
      <c r="AD85" s="50"/>
      <c r="AE85" s="52"/>
      <c r="AF85" s="52"/>
      <c r="AG85" s="52"/>
      <c r="AH85" s="52"/>
      <c r="AI85" s="52"/>
      <c r="AJ85" s="52"/>
      <c r="AK85" s="52"/>
      <c r="AL85" s="52"/>
      <c r="AM85" s="52"/>
      <c r="AN85" s="52"/>
      <c r="AO85" s="52"/>
      <c r="AP85" s="52"/>
      <c r="AQ85" s="52"/>
    </row>
    <row r="86" spans="1:43" ht="13.5" customHeight="1">
      <c r="A86" s="29" t="s">
        <v>204</v>
      </c>
      <c r="B86" s="109">
        <f>Balance_Sheet!B7+Balance_Sheet!B8+Balance_Sheet!B10-Balance_Sheet!B19-Balance_Sheet!B23-Balance_Sheet!B25-Balance_Sheet!B20</f>
        <v>-2425</v>
      </c>
      <c r="C86" s="109">
        <f>Balance_Sheet!C7+Balance_Sheet!C8+Balance_Sheet!C10-Balance_Sheet!C19-Balance_Sheet!C23-Balance_Sheet!C25-Balance_Sheet!C20</f>
        <v>-3061</v>
      </c>
      <c r="D86" s="109">
        <f>Balance_Sheet!D7+Balance_Sheet!D8+Balance_Sheet!D10-Balance_Sheet!D19-Balance_Sheet!D23-Balance_Sheet!D25-Balance_Sheet!D20</f>
        <v>-4194</v>
      </c>
      <c r="E86" s="109">
        <f>Balance_Sheet!E7+Balance_Sheet!E8+Balance_Sheet!E10-Balance_Sheet!E19-Balance_Sheet!E23-Balance_Sheet!E25-Balance_Sheet!E20</f>
        <v>-5096</v>
      </c>
      <c r="F86" s="109">
        <f>Balance_Sheet!F7+Balance_Sheet!F8+Balance_Sheet!F10-Balance_Sheet!F19-Balance_Sheet!F23-Balance_Sheet!F25-Balance_Sheet!F20</f>
        <v>-8571</v>
      </c>
      <c r="G86" s="83">
        <f>Balance_Sheet!G7+Balance_Sheet!G8+Balance_Sheet!G10-Balance_Sheet!G19-Balance_Sheet!G23-Balance_Sheet!G25-Balance_Sheet!G20</f>
        <v>-10419.987311999999</v>
      </c>
      <c r="H86" s="83">
        <f>Balance_Sheet!H7+Balance_Sheet!H8+Balance_Sheet!H10-Balance_Sheet!H19-Balance_Sheet!H23-Balance_Sheet!H25-Balance_Sheet!H20</f>
        <v>-11774.585662559999</v>
      </c>
      <c r="I86" s="83">
        <f>Balance_Sheet!I7+Balance_Sheet!I8+Balance_Sheet!I10-Balance_Sheet!I19-Balance_Sheet!I23-Balance_Sheet!I25-Balance_Sheet!I20</f>
        <v>-13187.535942067203</v>
      </c>
      <c r="J86" s="83">
        <f>Balance_Sheet!J7+Balance_Sheet!J8+Balance_Sheet!J10-Balance_Sheet!J19-Balance_Sheet!J23-Balance_Sheet!J25-Balance_Sheet!J20</f>
        <v>-14638.164895694594</v>
      </c>
      <c r="K86" s="83">
        <f>Balance_Sheet!K7+Balance_Sheet!K8+Balance_Sheet!K10-Balance_Sheet!K19-Balance_Sheet!K23-Balance_Sheet!K25-Balance_Sheet!K20</f>
        <v>-16101.981385264058</v>
      </c>
      <c r="L86" s="53"/>
      <c r="M86" s="53"/>
      <c r="N86" s="53"/>
      <c r="O86" s="53"/>
      <c r="P86" s="53"/>
      <c r="Q86" s="53"/>
      <c r="R86" s="53"/>
      <c r="S86" s="53"/>
      <c r="T86" s="53"/>
      <c r="U86" s="50"/>
      <c r="V86" s="50"/>
      <c r="W86" s="50"/>
      <c r="X86" s="50"/>
      <c r="Y86" s="50"/>
      <c r="Z86" s="50"/>
      <c r="AA86" s="50"/>
      <c r="AB86" s="50"/>
      <c r="AC86" s="50"/>
      <c r="AD86" s="50"/>
      <c r="AE86" s="52"/>
      <c r="AF86" s="52"/>
      <c r="AG86" s="52"/>
      <c r="AH86" s="52"/>
      <c r="AI86" s="52"/>
      <c r="AJ86" s="52"/>
      <c r="AK86" s="52"/>
      <c r="AL86" s="52"/>
      <c r="AM86" s="52"/>
      <c r="AN86" s="52"/>
      <c r="AO86" s="52"/>
      <c r="AP86" s="52"/>
      <c r="AQ86" s="52"/>
    </row>
    <row r="87" spans="1:43">
      <c r="A87" s="29" t="s">
        <v>205</v>
      </c>
      <c r="B87" s="109">
        <f>B76+B77+B78-B86</f>
        <v>9452.3699742268036</v>
      </c>
      <c r="C87" s="109">
        <f t="shared" ref="C87:K87" si="6">C76+C77+C78-C86</f>
        <v>12082.255457456098</v>
      </c>
      <c r="D87" s="109">
        <f t="shared" si="6"/>
        <v>14862.088646437096</v>
      </c>
      <c r="E87" s="109">
        <f t="shared" si="6"/>
        <v>16960.703717281325</v>
      </c>
      <c r="F87" s="109">
        <f t="shared" si="6"/>
        <v>21424.82391503868</v>
      </c>
      <c r="G87" s="83">
        <f>G76+G77+G78-G86</f>
        <v>24687.430992000001</v>
      </c>
      <c r="H87" s="83">
        <f t="shared" si="6"/>
        <v>28260.889369439996</v>
      </c>
      <c r="I87" s="83">
        <f t="shared" si="6"/>
        <v>31872.106032009608</v>
      </c>
      <c r="J87" s="83">
        <f t="shared" si="6"/>
        <v>35602.786867473515</v>
      </c>
      <c r="K87" s="83">
        <f t="shared" si="6"/>
        <v>39391.629885982999</v>
      </c>
      <c r="L87" s="53"/>
      <c r="M87" s="53"/>
      <c r="N87" s="53"/>
      <c r="O87" s="53"/>
      <c r="P87" s="53"/>
      <c r="Q87" s="53"/>
      <c r="R87" s="53"/>
      <c r="S87" s="53"/>
      <c r="T87" s="53"/>
      <c r="U87" s="50"/>
      <c r="V87" s="50"/>
      <c r="W87" s="50"/>
      <c r="X87" s="50"/>
      <c r="Y87" s="50"/>
      <c r="Z87" s="50"/>
      <c r="AA87" s="50"/>
      <c r="AB87" s="50"/>
      <c r="AC87" s="50"/>
      <c r="AD87" s="50"/>
      <c r="AE87" s="52"/>
      <c r="AF87" s="52"/>
      <c r="AG87" s="52"/>
      <c r="AH87" s="52"/>
      <c r="AI87" s="52"/>
      <c r="AJ87" s="52"/>
      <c r="AK87" s="52"/>
      <c r="AL87" s="52"/>
      <c r="AM87" s="52"/>
      <c r="AN87" s="52"/>
      <c r="AO87" s="52"/>
      <c r="AP87" s="52"/>
      <c r="AQ87" s="52"/>
    </row>
    <row r="88" spans="1:43">
      <c r="A88" s="29" t="s">
        <v>206</v>
      </c>
      <c r="B88" s="135">
        <f>C44-B44</f>
        <v>1229</v>
      </c>
      <c r="C88" s="135">
        <f t="shared" ref="C88:K88" si="7">B44-C44</f>
        <v>-1229</v>
      </c>
      <c r="D88" s="135">
        <f t="shared" si="7"/>
        <v>-122</v>
      </c>
      <c r="E88" s="135">
        <f t="shared" si="7"/>
        <v>-1658</v>
      </c>
      <c r="F88" s="135">
        <f>E44-F44</f>
        <v>-2545</v>
      </c>
      <c r="G88" s="136">
        <f t="shared" si="7"/>
        <v>976</v>
      </c>
      <c r="H88" s="136">
        <f t="shared" si="7"/>
        <v>1000</v>
      </c>
      <c r="I88" s="136">
        <f t="shared" si="7"/>
        <v>1000</v>
      </c>
      <c r="J88" s="136">
        <f t="shared" si="7"/>
        <v>1000</v>
      </c>
      <c r="K88" s="136">
        <f t="shared" si="7"/>
        <v>1000</v>
      </c>
      <c r="L88" s="53"/>
      <c r="M88" s="53"/>
      <c r="N88" s="53"/>
      <c r="O88" s="53"/>
      <c r="P88" s="53"/>
      <c r="Q88" s="53"/>
      <c r="R88" s="53"/>
      <c r="S88" s="53"/>
      <c r="T88" s="53"/>
      <c r="U88" s="50"/>
      <c r="V88" s="50"/>
      <c r="W88" s="50"/>
      <c r="X88" s="50"/>
      <c r="Y88" s="50"/>
      <c r="Z88" s="50"/>
      <c r="AA88" s="50"/>
      <c r="AB88" s="50"/>
      <c r="AC88" s="50"/>
      <c r="AD88" s="50"/>
      <c r="AE88" s="52"/>
      <c r="AF88" s="52"/>
      <c r="AG88" s="52"/>
      <c r="AH88" s="52"/>
      <c r="AI88" s="52"/>
      <c r="AJ88" s="52"/>
      <c r="AK88" s="52"/>
      <c r="AL88" s="52"/>
      <c r="AM88" s="52"/>
      <c r="AN88" s="52"/>
      <c r="AO88" s="52"/>
      <c r="AP88" s="52"/>
      <c r="AQ88" s="52"/>
    </row>
    <row r="89" spans="1:43">
      <c r="A89" s="29" t="s">
        <v>207</v>
      </c>
      <c r="B89" s="109">
        <f t="shared" ref="B89:K89" si="8">B16+B77-B78-B86+B88</f>
        <v>4942.4189922227306</v>
      </c>
      <c r="C89" s="109">
        <f t="shared" si="8"/>
        <v>3372.4600190637575</v>
      </c>
      <c r="D89" s="109">
        <f t="shared" si="8"/>
        <v>5919.4465530422267</v>
      </c>
      <c r="E89" s="109">
        <f t="shared" si="8"/>
        <v>5325.4460514782058</v>
      </c>
      <c r="F89" s="109">
        <f t="shared" si="8"/>
        <v>8117.4570596797676</v>
      </c>
      <c r="G89" s="83">
        <f t="shared" si="8"/>
        <v>13596.56152928086</v>
      </c>
      <c r="H89" s="83">
        <f t="shared" si="8"/>
        <v>15125.239196512899</v>
      </c>
      <c r="I89" s="83">
        <f t="shared" si="8"/>
        <v>16688.143063138203</v>
      </c>
      <c r="J89" s="83">
        <f t="shared" si="8"/>
        <v>18286.540918982369</v>
      </c>
      <c r="K89" s="83">
        <f t="shared" si="8"/>
        <v>19893.836125890637</v>
      </c>
      <c r="L89" s="53"/>
      <c r="M89" s="53"/>
      <c r="N89" s="53"/>
      <c r="O89" s="53"/>
      <c r="P89" s="53"/>
      <c r="Q89" s="53"/>
      <c r="R89" s="53"/>
      <c r="S89" s="53"/>
      <c r="T89" s="53"/>
      <c r="U89" s="50"/>
      <c r="V89" s="50"/>
      <c r="W89" s="50"/>
      <c r="X89" s="50"/>
      <c r="Y89" s="50"/>
      <c r="Z89" s="50"/>
      <c r="AA89" s="50"/>
      <c r="AB89" s="50"/>
      <c r="AC89" s="50"/>
      <c r="AD89" s="50"/>
      <c r="AE89" s="52"/>
      <c r="AF89" s="52"/>
      <c r="AG89" s="52"/>
      <c r="AH89" s="52"/>
      <c r="AI89" s="52"/>
      <c r="AJ89" s="52"/>
      <c r="AK89" s="52"/>
      <c r="AL89" s="52"/>
      <c r="AM89" s="52"/>
      <c r="AN89" s="52"/>
      <c r="AO89" s="52"/>
      <c r="AP89" s="52"/>
      <c r="AQ89" s="52"/>
    </row>
    <row r="90" spans="1:43">
      <c r="A90" s="53"/>
      <c r="B90" s="125"/>
      <c r="C90" s="125"/>
      <c r="D90" s="125"/>
      <c r="E90" s="125"/>
      <c r="F90" s="125"/>
      <c r="G90" s="125"/>
      <c r="H90" s="125"/>
      <c r="I90" s="125"/>
      <c r="J90" s="125"/>
      <c r="K90" s="125"/>
      <c r="L90" s="53"/>
      <c r="M90" s="53"/>
      <c r="N90" s="53"/>
      <c r="O90" s="53"/>
      <c r="P90" s="53"/>
      <c r="Q90" s="53"/>
      <c r="R90" s="53"/>
      <c r="S90" s="53"/>
      <c r="T90" s="53"/>
      <c r="U90" s="50"/>
      <c r="V90" s="50"/>
      <c r="W90" s="50"/>
      <c r="X90" s="50"/>
      <c r="Y90" s="50"/>
      <c r="Z90" s="50"/>
      <c r="AA90" s="50"/>
      <c r="AB90" s="50"/>
      <c r="AC90" s="50"/>
      <c r="AD90" s="50"/>
      <c r="AE90" s="52"/>
      <c r="AF90" s="52"/>
      <c r="AG90" s="52"/>
      <c r="AH90" s="52"/>
      <c r="AI90" s="52"/>
      <c r="AJ90" s="52"/>
      <c r="AK90" s="52"/>
      <c r="AL90" s="52"/>
      <c r="AM90" s="52"/>
      <c r="AN90" s="52"/>
      <c r="AO90" s="52"/>
      <c r="AP90" s="52"/>
      <c r="AQ90" s="52"/>
    </row>
    <row r="91" spans="1:43">
      <c r="A91" s="5" t="s">
        <v>208</v>
      </c>
      <c r="B91" s="127" t="s">
        <v>247</v>
      </c>
      <c r="C91" s="125"/>
      <c r="D91" s="125"/>
      <c r="E91" s="125"/>
      <c r="F91" s="12" t="s">
        <v>432</v>
      </c>
      <c r="G91" s="12" t="s">
        <v>450</v>
      </c>
      <c r="H91" s="125"/>
      <c r="I91" s="125"/>
      <c r="J91" s="125"/>
      <c r="K91" s="125"/>
      <c r="L91" s="53"/>
      <c r="M91" s="53"/>
      <c r="N91" s="53"/>
      <c r="O91" s="53"/>
      <c r="P91" s="53"/>
      <c r="Q91" s="53"/>
      <c r="R91" s="53"/>
      <c r="S91" s="53"/>
      <c r="T91" s="53"/>
      <c r="U91" s="50"/>
      <c r="V91" s="50"/>
      <c r="W91" s="50"/>
      <c r="X91" s="50"/>
      <c r="Y91" s="50"/>
      <c r="Z91" s="50"/>
      <c r="AA91" s="50"/>
      <c r="AB91" s="50"/>
      <c r="AC91" s="50"/>
      <c r="AD91" s="50"/>
      <c r="AE91" s="52"/>
      <c r="AF91" s="52"/>
      <c r="AG91" s="52"/>
      <c r="AH91" s="52"/>
      <c r="AI91" s="52"/>
      <c r="AJ91" s="52"/>
      <c r="AK91" s="52"/>
      <c r="AL91" s="52"/>
      <c r="AM91" s="52"/>
      <c r="AN91" s="52"/>
      <c r="AO91" s="52"/>
      <c r="AP91" s="52"/>
      <c r="AQ91" s="52"/>
    </row>
    <row r="92" spans="1:43">
      <c r="A92" s="29" t="s">
        <v>209</v>
      </c>
      <c r="B92" s="86">
        <f>450*'Profit Loss'!F24</f>
        <v>417150</v>
      </c>
      <c r="C92" s="125"/>
      <c r="D92" s="125"/>
      <c r="E92" s="125"/>
      <c r="F92" s="30" t="s">
        <v>447</v>
      </c>
      <c r="G92" s="101">
        <v>0.12</v>
      </c>
      <c r="H92" s="125"/>
      <c r="I92" s="125"/>
      <c r="J92" s="125"/>
      <c r="K92" s="125"/>
      <c r="L92" s="53"/>
      <c r="M92" s="53"/>
      <c r="N92" s="53"/>
      <c r="O92" s="53"/>
      <c r="P92" s="53"/>
      <c r="Q92" s="53"/>
      <c r="R92" s="53"/>
      <c r="S92" s="53"/>
      <c r="T92" s="53"/>
      <c r="U92" s="50"/>
      <c r="V92" s="50"/>
      <c r="W92" s="50"/>
      <c r="X92" s="50"/>
      <c r="Y92" s="50"/>
      <c r="Z92" s="50"/>
      <c r="AA92" s="50"/>
      <c r="AB92" s="50"/>
      <c r="AC92" s="50"/>
      <c r="AD92" s="50"/>
      <c r="AE92" s="52"/>
      <c r="AF92" s="52"/>
      <c r="AG92" s="52"/>
      <c r="AH92" s="52"/>
      <c r="AI92" s="52"/>
      <c r="AJ92" s="52"/>
      <c r="AK92" s="52"/>
      <c r="AL92" s="52"/>
      <c r="AM92" s="52"/>
      <c r="AN92" s="52"/>
      <c r="AO92" s="52"/>
      <c r="AP92" s="52"/>
      <c r="AQ92" s="52"/>
    </row>
    <row r="93" spans="1:43">
      <c r="A93" s="29" t="s">
        <v>182</v>
      </c>
      <c r="B93" s="133">
        <f>Balance_Sheet!F27+Balance_Sheet!F24</f>
        <v>18226</v>
      </c>
      <c r="C93" s="125"/>
      <c r="D93" s="125"/>
      <c r="E93" s="125"/>
      <c r="F93" s="30" t="s">
        <v>448</v>
      </c>
      <c r="G93" s="131">
        <v>0.03</v>
      </c>
      <c r="H93" s="125"/>
      <c r="I93" s="125"/>
      <c r="J93" s="125"/>
      <c r="K93" s="125"/>
      <c r="L93" s="53"/>
      <c r="M93" s="53"/>
      <c r="N93" s="53"/>
      <c r="O93" s="53"/>
      <c r="P93" s="53"/>
      <c r="Q93" s="53"/>
      <c r="R93" s="53"/>
      <c r="S93" s="53"/>
      <c r="T93" s="53"/>
      <c r="U93" s="50"/>
      <c r="V93" s="50"/>
      <c r="W93" s="50"/>
      <c r="X93" s="50"/>
      <c r="Y93" s="50"/>
      <c r="Z93" s="50"/>
      <c r="AA93" s="50"/>
      <c r="AB93" s="50"/>
      <c r="AC93" s="50"/>
      <c r="AD93" s="50"/>
      <c r="AE93" s="52"/>
      <c r="AF93" s="52"/>
      <c r="AG93" s="52"/>
      <c r="AH93" s="52"/>
      <c r="AI93" s="52"/>
      <c r="AJ93" s="52"/>
      <c r="AK93" s="52"/>
      <c r="AL93" s="52"/>
      <c r="AM93" s="52"/>
      <c r="AN93" s="52"/>
      <c r="AO93" s="52"/>
      <c r="AP93" s="52"/>
      <c r="AQ93" s="52"/>
    </row>
    <row r="94" spans="1:43">
      <c r="A94" s="29" t="s">
        <v>163</v>
      </c>
      <c r="B94" s="86">
        <f>Balance_Sheet!F4</f>
        <v>8442</v>
      </c>
      <c r="C94" s="125"/>
      <c r="D94" s="125"/>
      <c r="E94" s="125"/>
      <c r="F94" s="30" t="s">
        <v>449</v>
      </c>
      <c r="G94" s="82">
        <v>5</v>
      </c>
      <c r="H94" s="125"/>
      <c r="I94" s="125"/>
      <c r="J94" s="125"/>
      <c r="K94" s="125"/>
      <c r="L94" s="53"/>
      <c r="M94" s="53"/>
      <c r="N94" s="53"/>
      <c r="O94" s="53"/>
      <c r="P94" s="53"/>
      <c r="Q94" s="53"/>
      <c r="R94" s="53"/>
      <c r="S94" s="53"/>
      <c r="T94" s="53"/>
      <c r="U94" s="50"/>
      <c r="V94" s="50"/>
      <c r="W94" s="50"/>
      <c r="X94" s="50"/>
      <c r="Y94" s="50"/>
      <c r="Z94" s="50"/>
      <c r="AA94" s="50"/>
      <c r="AB94" s="50"/>
      <c r="AC94" s="50"/>
      <c r="AD94" s="50"/>
      <c r="AE94" s="52"/>
      <c r="AF94" s="52"/>
      <c r="AG94" s="52"/>
      <c r="AH94" s="52"/>
      <c r="AI94" s="52"/>
      <c r="AJ94" s="52"/>
      <c r="AK94" s="52"/>
      <c r="AL94" s="52"/>
      <c r="AM94" s="52"/>
      <c r="AN94" s="52"/>
      <c r="AO94" s="52"/>
      <c r="AP94" s="52"/>
      <c r="AQ94" s="52"/>
    </row>
    <row r="95" spans="1:43">
      <c r="A95" s="29" t="s">
        <v>210</v>
      </c>
      <c r="B95" s="133">
        <f>Balance_Sheet!F6</f>
        <v>1874</v>
      </c>
      <c r="C95" s="125"/>
      <c r="D95" s="125"/>
      <c r="E95" s="125"/>
      <c r="F95" s="125"/>
      <c r="G95" s="56"/>
      <c r="H95" s="56"/>
      <c r="I95" s="56"/>
      <c r="J95" s="125"/>
      <c r="K95" s="125"/>
      <c r="L95" s="53"/>
      <c r="M95" s="53"/>
      <c r="N95" s="53"/>
      <c r="O95" s="53"/>
      <c r="P95" s="53"/>
      <c r="Q95" s="53"/>
      <c r="R95" s="53"/>
      <c r="S95" s="53"/>
      <c r="T95" s="53"/>
      <c r="U95" s="50"/>
      <c r="V95" s="50"/>
      <c r="W95" s="50"/>
      <c r="X95" s="50"/>
      <c r="Y95" s="50"/>
      <c r="Z95" s="50"/>
      <c r="AA95" s="50"/>
      <c r="AB95" s="50"/>
      <c r="AC95" s="50"/>
      <c r="AD95" s="50"/>
      <c r="AE95" s="52"/>
      <c r="AF95" s="52"/>
      <c r="AG95" s="52"/>
      <c r="AH95" s="52"/>
      <c r="AI95" s="52"/>
      <c r="AJ95" s="52"/>
      <c r="AK95" s="52"/>
      <c r="AL95" s="52"/>
      <c r="AM95" s="52"/>
      <c r="AN95" s="52"/>
      <c r="AO95" s="52"/>
      <c r="AP95" s="52"/>
      <c r="AQ95" s="52"/>
    </row>
    <row r="96" spans="1:43">
      <c r="A96" s="29" t="s">
        <v>211</v>
      </c>
      <c r="B96" s="133">
        <f>B92+B93-B94-B95</f>
        <v>425060</v>
      </c>
      <c r="C96" s="125"/>
      <c r="D96" s="125"/>
      <c r="E96" s="125"/>
      <c r="F96" s="12" t="s">
        <v>475</v>
      </c>
      <c r="G96" s="77" t="s">
        <v>476</v>
      </c>
      <c r="H96" s="56"/>
      <c r="I96" s="56"/>
      <c r="J96" s="125"/>
      <c r="K96" s="125"/>
      <c r="L96" s="53"/>
      <c r="M96" s="53"/>
      <c r="N96" s="53"/>
      <c r="O96" s="53"/>
      <c r="P96" s="53"/>
      <c r="Q96" s="53"/>
      <c r="R96" s="53"/>
      <c r="S96" s="53"/>
      <c r="T96" s="53"/>
      <c r="U96" s="50"/>
      <c r="V96" s="50"/>
      <c r="W96" s="50"/>
      <c r="X96" s="50"/>
      <c r="Y96" s="50"/>
      <c r="Z96" s="50"/>
      <c r="AA96" s="50"/>
      <c r="AB96" s="50"/>
      <c r="AC96" s="50"/>
      <c r="AD96" s="50"/>
      <c r="AE96" s="52"/>
      <c r="AF96" s="52"/>
      <c r="AG96" s="52"/>
      <c r="AH96" s="52"/>
      <c r="AI96" s="52"/>
      <c r="AJ96" s="52"/>
      <c r="AK96" s="52"/>
      <c r="AL96" s="52"/>
      <c r="AM96" s="52"/>
      <c r="AN96" s="52"/>
      <c r="AO96" s="52"/>
      <c r="AP96" s="52"/>
      <c r="AQ96" s="52"/>
    </row>
    <row r="97" spans="1:43">
      <c r="A97" s="53"/>
      <c r="B97" s="125"/>
      <c r="C97" s="125"/>
      <c r="D97" s="125"/>
      <c r="E97" s="125"/>
      <c r="F97" s="30" t="s">
        <v>474</v>
      </c>
      <c r="G97" s="131">
        <f>B71</f>
        <v>9.4791293758066303E-2</v>
      </c>
      <c r="H97" s="125"/>
      <c r="I97" s="125"/>
      <c r="J97" s="125"/>
      <c r="K97" s="125"/>
      <c r="L97" s="53"/>
      <c r="M97" s="53"/>
      <c r="N97" s="53"/>
      <c r="O97" s="53"/>
      <c r="P97" s="53"/>
      <c r="Q97" s="53"/>
      <c r="R97" s="53"/>
      <c r="S97" s="53"/>
      <c r="T97" s="53"/>
      <c r="U97" s="50"/>
      <c r="V97" s="50"/>
      <c r="W97" s="50"/>
      <c r="X97" s="50"/>
      <c r="Y97" s="50"/>
      <c r="Z97" s="50"/>
      <c r="AA97" s="50"/>
      <c r="AB97" s="50"/>
      <c r="AC97" s="50"/>
      <c r="AD97" s="50"/>
      <c r="AE97" s="52"/>
      <c r="AF97" s="52"/>
      <c r="AG97" s="52"/>
      <c r="AH97" s="52"/>
      <c r="AI97" s="52"/>
      <c r="AJ97" s="52"/>
      <c r="AK97" s="52"/>
      <c r="AL97" s="52"/>
      <c r="AM97" s="52"/>
      <c r="AN97" s="52"/>
      <c r="AO97" s="52"/>
      <c r="AP97" s="52"/>
      <c r="AQ97" s="52"/>
    </row>
    <row r="98" spans="1:43" ht="23.5" customHeight="1">
      <c r="A98" s="5" t="s">
        <v>212</v>
      </c>
      <c r="B98" s="127" t="s">
        <v>213</v>
      </c>
      <c r="C98" s="127" t="s">
        <v>247</v>
      </c>
      <c r="D98" s="125"/>
      <c r="E98" s="125"/>
      <c r="F98" s="30" t="s">
        <v>473</v>
      </c>
      <c r="G98" s="101">
        <v>0.75</v>
      </c>
      <c r="H98" s="125"/>
      <c r="I98" s="137" t="s">
        <v>2267</v>
      </c>
      <c r="J98" s="137"/>
      <c r="K98" s="125"/>
      <c r="L98" s="53"/>
      <c r="M98" s="53"/>
      <c r="N98" s="53"/>
      <c r="O98" s="53"/>
      <c r="P98" s="53"/>
      <c r="Q98" s="53"/>
      <c r="R98" s="53"/>
      <c r="S98" s="53"/>
      <c r="T98" s="53"/>
      <c r="U98" s="50"/>
      <c r="V98" s="50"/>
      <c r="W98" s="50"/>
      <c r="X98" s="50"/>
      <c r="Y98" s="50"/>
      <c r="Z98" s="50"/>
      <c r="AA98" s="50"/>
      <c r="AB98" s="50"/>
      <c r="AC98" s="50"/>
      <c r="AD98" s="50"/>
      <c r="AE98" s="52"/>
      <c r="AF98" s="52"/>
      <c r="AG98" s="52"/>
      <c r="AH98" s="52"/>
      <c r="AI98" s="52"/>
      <c r="AJ98" s="52"/>
      <c r="AK98" s="52"/>
      <c r="AL98" s="52"/>
      <c r="AM98" s="52"/>
      <c r="AN98" s="52"/>
      <c r="AO98" s="52"/>
      <c r="AP98" s="52"/>
      <c r="AQ98" s="52"/>
    </row>
    <row r="99" spans="1:43" ht="28">
      <c r="A99" s="29" t="s">
        <v>214</v>
      </c>
      <c r="B99" s="86" t="s">
        <v>215</v>
      </c>
      <c r="C99" s="130">
        <f>B92/'Profit Loss'!F20</f>
        <v>32.402516700326238</v>
      </c>
      <c r="D99" s="125"/>
      <c r="E99" s="125"/>
      <c r="F99" s="203" t="s">
        <v>1814</v>
      </c>
      <c r="G99" s="203"/>
      <c r="H99" s="137"/>
      <c r="I99" s="137"/>
      <c r="J99" s="137"/>
      <c r="K99" s="137"/>
      <c r="L99" s="64"/>
      <c r="M99" s="53"/>
      <c r="N99" s="53"/>
      <c r="O99" s="53"/>
      <c r="P99" s="53"/>
      <c r="Q99" s="53"/>
      <c r="R99" s="53"/>
      <c r="S99" s="53"/>
      <c r="T99" s="53"/>
      <c r="U99" s="50"/>
      <c r="V99" s="50"/>
      <c r="W99" s="50"/>
      <c r="X99" s="50"/>
      <c r="Y99" s="50"/>
      <c r="Z99" s="50"/>
      <c r="AA99" s="50"/>
      <c r="AB99" s="50"/>
      <c r="AC99" s="50"/>
      <c r="AD99" s="50"/>
      <c r="AE99" s="52"/>
      <c r="AF99" s="52"/>
      <c r="AG99" s="52"/>
      <c r="AH99" s="52"/>
      <c r="AI99" s="52"/>
      <c r="AJ99" s="52"/>
      <c r="AK99" s="52"/>
      <c r="AL99" s="52"/>
      <c r="AM99" s="52"/>
      <c r="AN99" s="52"/>
      <c r="AO99" s="52"/>
      <c r="AP99" s="52"/>
      <c r="AQ99" s="52"/>
    </row>
    <row r="100" spans="1:43">
      <c r="A100" s="29" t="s">
        <v>216</v>
      </c>
      <c r="B100" s="86" t="s">
        <v>217</v>
      </c>
      <c r="C100" s="130">
        <f>B92/Balance_Sheet!F40</f>
        <v>64.029163468917886</v>
      </c>
      <c r="D100" s="125"/>
      <c r="E100" s="125"/>
      <c r="F100" s="203" t="s">
        <v>1815</v>
      </c>
      <c r="G100" s="203"/>
      <c r="H100" s="137"/>
      <c r="I100" s="137"/>
      <c r="J100" s="137"/>
      <c r="K100" s="137"/>
      <c r="L100" s="64"/>
      <c r="M100" s="64"/>
      <c r="N100" s="53"/>
      <c r="O100" s="53"/>
      <c r="P100" s="53"/>
      <c r="Q100" s="53"/>
      <c r="R100" s="53"/>
      <c r="S100" s="53"/>
      <c r="T100" s="53"/>
      <c r="U100" s="50"/>
      <c r="V100" s="50"/>
      <c r="W100" s="50"/>
      <c r="X100" s="50"/>
      <c r="Y100" s="50"/>
      <c r="Z100" s="50"/>
      <c r="AA100" s="50"/>
      <c r="AB100" s="50"/>
      <c r="AC100" s="50"/>
      <c r="AD100" s="50"/>
      <c r="AE100" s="52"/>
      <c r="AF100" s="52"/>
      <c r="AG100" s="52"/>
      <c r="AH100" s="52"/>
      <c r="AI100" s="52"/>
      <c r="AJ100" s="52"/>
      <c r="AK100" s="52"/>
      <c r="AL100" s="52"/>
      <c r="AM100" s="52"/>
      <c r="AN100" s="52"/>
      <c r="AO100" s="52"/>
      <c r="AP100" s="52"/>
      <c r="AQ100" s="52"/>
    </row>
    <row r="101" spans="1:43">
      <c r="A101" s="29" t="s">
        <v>218</v>
      </c>
      <c r="B101" s="86" t="s">
        <v>219</v>
      </c>
      <c r="C101" s="130">
        <f>B96/'Profit Loss'!F25</f>
        <v>25.794040900540082</v>
      </c>
      <c r="D101" s="125"/>
      <c r="E101" s="125"/>
      <c r="F101" s="137" t="s">
        <v>1816</v>
      </c>
      <c r="G101" s="137"/>
      <c r="H101" s="137"/>
      <c r="I101" s="137"/>
      <c r="J101" s="137"/>
      <c r="K101" s="125"/>
      <c r="L101" s="53"/>
      <c r="M101" s="50"/>
      <c r="N101" s="50"/>
      <c r="O101" s="50"/>
      <c r="P101" s="50"/>
      <c r="Q101" s="50"/>
      <c r="R101" s="53"/>
      <c r="S101" s="53"/>
      <c r="T101" s="53"/>
      <c r="U101" s="50"/>
      <c r="V101" s="50"/>
      <c r="W101" s="50"/>
      <c r="X101" s="50"/>
      <c r="Y101" s="50"/>
      <c r="Z101" s="50"/>
      <c r="AA101" s="50"/>
      <c r="AB101" s="50"/>
      <c r="AC101" s="50"/>
      <c r="AD101" s="50"/>
      <c r="AE101" s="52"/>
      <c r="AF101" s="52"/>
      <c r="AG101" s="52"/>
      <c r="AH101" s="52"/>
      <c r="AI101" s="52"/>
      <c r="AJ101" s="52"/>
      <c r="AK101" s="52"/>
      <c r="AL101" s="52"/>
      <c r="AM101" s="52"/>
      <c r="AN101" s="52"/>
      <c r="AO101" s="52"/>
      <c r="AP101" s="52"/>
      <c r="AQ101" s="52"/>
    </row>
    <row r="102" spans="1:43">
      <c r="A102" s="29" t="s">
        <v>220</v>
      </c>
      <c r="B102" s="86" t="s">
        <v>221</v>
      </c>
      <c r="C102" s="130">
        <f>B96/'Profit Loss'!F11</f>
        <v>27.278911564625851</v>
      </c>
      <c r="D102" s="125"/>
      <c r="E102" s="125"/>
      <c r="F102" s="63" t="s">
        <v>2200</v>
      </c>
      <c r="G102" s="63"/>
      <c r="H102" s="63"/>
      <c r="I102" s="63"/>
      <c r="J102" s="50"/>
      <c r="K102" s="50"/>
      <c r="L102" s="50"/>
      <c r="M102" s="53"/>
      <c r="N102" s="53"/>
      <c r="O102" s="53"/>
      <c r="P102" s="53"/>
      <c r="Q102" s="53"/>
      <c r="R102" s="53"/>
      <c r="S102" s="53"/>
      <c r="T102" s="53"/>
      <c r="U102" s="50"/>
      <c r="V102" s="50"/>
      <c r="W102" s="50"/>
      <c r="X102" s="50"/>
      <c r="Y102" s="50"/>
      <c r="Z102" s="50"/>
      <c r="AA102" s="50"/>
      <c r="AB102" s="50"/>
      <c r="AC102" s="50"/>
      <c r="AD102" s="50"/>
      <c r="AE102" s="52"/>
      <c r="AF102" s="52"/>
      <c r="AG102" s="52"/>
      <c r="AH102" s="52"/>
      <c r="AI102" s="52"/>
      <c r="AJ102" s="52"/>
      <c r="AK102" s="52"/>
      <c r="AL102" s="52"/>
      <c r="AM102" s="52"/>
      <c r="AN102" s="52"/>
      <c r="AO102" s="52"/>
      <c r="AP102" s="52"/>
      <c r="AQ102" s="52"/>
    </row>
    <row r="103" spans="1:43" ht="28">
      <c r="A103" s="29" t="s">
        <v>222</v>
      </c>
      <c r="B103" s="86" t="s">
        <v>223</v>
      </c>
      <c r="C103" s="130">
        <f>B92/'Profit Loss'!F4</f>
        <v>14.809883906699328</v>
      </c>
      <c r="D103" s="125"/>
      <c r="E103" s="125"/>
      <c r="F103" s="137" t="s">
        <v>2210</v>
      </c>
      <c r="G103" s="137"/>
      <c r="H103" s="137"/>
      <c r="I103" s="137"/>
      <c r="J103" s="137"/>
      <c r="K103" s="137"/>
      <c r="L103" s="64"/>
      <c r="M103" s="53"/>
      <c r="N103" s="53"/>
      <c r="O103" s="53"/>
      <c r="P103" s="53"/>
      <c r="Q103" s="53"/>
      <c r="R103" s="53"/>
      <c r="S103" s="53"/>
      <c r="T103" s="53"/>
      <c r="U103" s="50"/>
      <c r="V103" s="50"/>
      <c r="W103" s="50"/>
      <c r="X103" s="50"/>
      <c r="Y103" s="50"/>
      <c r="Z103" s="50"/>
      <c r="AA103" s="50"/>
      <c r="AB103" s="50"/>
      <c r="AC103" s="50"/>
      <c r="AD103" s="50"/>
      <c r="AE103" s="52"/>
      <c r="AF103" s="52"/>
      <c r="AG103" s="52"/>
      <c r="AH103" s="52"/>
      <c r="AI103" s="52"/>
      <c r="AJ103" s="52"/>
      <c r="AK103" s="52"/>
      <c r="AL103" s="52"/>
      <c r="AM103" s="52"/>
      <c r="AN103" s="52"/>
      <c r="AO103" s="52"/>
      <c r="AP103" s="52"/>
      <c r="AQ103" s="52"/>
    </row>
    <row r="104" spans="1:43">
      <c r="A104" s="53"/>
      <c r="B104" s="53"/>
      <c r="C104" s="53"/>
      <c r="D104" s="53"/>
      <c r="E104" s="53"/>
      <c r="F104" s="64" t="s">
        <v>2211</v>
      </c>
      <c r="G104" s="64"/>
      <c r="H104" s="64"/>
      <c r="I104" s="64"/>
      <c r="J104" s="64"/>
      <c r="K104" s="64"/>
      <c r="L104" s="64"/>
      <c r="M104" s="64"/>
      <c r="N104" s="53"/>
      <c r="O104" s="53"/>
      <c r="P104" s="53"/>
      <c r="Q104" s="53"/>
      <c r="R104" s="53"/>
      <c r="S104" s="53"/>
      <c r="T104" s="53"/>
      <c r="U104" s="50"/>
      <c r="V104" s="50"/>
      <c r="W104" s="50"/>
      <c r="X104" s="50"/>
      <c r="Y104" s="50"/>
      <c r="Z104" s="50"/>
      <c r="AA104" s="50"/>
      <c r="AB104" s="50"/>
      <c r="AC104" s="50"/>
      <c r="AD104" s="50"/>
      <c r="AE104" s="52"/>
      <c r="AF104" s="52"/>
      <c r="AG104" s="52"/>
      <c r="AH104" s="52"/>
      <c r="AI104" s="52"/>
      <c r="AJ104" s="52"/>
      <c r="AK104" s="52"/>
      <c r="AL104" s="52"/>
      <c r="AM104" s="52"/>
      <c r="AN104" s="52"/>
      <c r="AO104" s="52"/>
      <c r="AP104" s="52"/>
      <c r="AQ104" s="52"/>
    </row>
    <row r="105" spans="1:43">
      <c r="A105" s="250" t="s">
        <v>1244</v>
      </c>
      <c r="B105" s="3"/>
      <c r="C105" s="3"/>
      <c r="D105" s="3"/>
      <c r="E105" s="53"/>
      <c r="F105" s="64" t="s">
        <v>2212</v>
      </c>
      <c r="G105" s="64"/>
      <c r="H105" s="64"/>
      <c r="I105" s="64"/>
      <c r="J105" s="64"/>
      <c r="K105" s="64"/>
      <c r="L105" s="64"/>
      <c r="M105" s="64"/>
      <c r="N105" s="53"/>
      <c r="O105" s="53"/>
      <c r="P105" s="53"/>
      <c r="Q105" s="53"/>
      <c r="R105" s="53"/>
      <c r="S105" s="53"/>
      <c r="T105" s="53"/>
      <c r="U105" s="50"/>
      <c r="V105" s="50"/>
      <c r="W105" s="50"/>
      <c r="X105" s="50"/>
      <c r="Y105" s="50"/>
      <c r="Z105" s="50"/>
      <c r="AA105" s="50"/>
      <c r="AB105" s="50"/>
      <c r="AC105" s="50"/>
      <c r="AD105" s="50"/>
      <c r="AE105" s="52"/>
      <c r="AF105" s="52"/>
      <c r="AG105" s="52"/>
      <c r="AH105" s="52"/>
      <c r="AI105" s="52"/>
      <c r="AJ105" s="52"/>
      <c r="AK105" s="52"/>
      <c r="AL105" s="52"/>
      <c r="AM105" s="52"/>
      <c r="AN105" s="52"/>
      <c r="AO105" s="52"/>
      <c r="AP105" s="52"/>
      <c r="AQ105" s="52"/>
    </row>
    <row r="106" spans="1:43">
      <c r="A106" s="28" t="s">
        <v>1817</v>
      </c>
      <c r="B106" s="395">
        <v>0.02</v>
      </c>
      <c r="C106" s="395">
        <v>0.03</v>
      </c>
      <c r="D106" s="395">
        <v>0.04</v>
      </c>
      <c r="E106" s="53"/>
      <c r="F106" s="64" t="s">
        <v>2213</v>
      </c>
      <c r="G106" s="64"/>
      <c r="H106" s="64"/>
      <c r="I106" s="64"/>
      <c r="J106" s="64"/>
      <c r="K106" s="64"/>
      <c r="L106" s="64"/>
      <c r="M106" s="64"/>
      <c r="N106" s="53"/>
      <c r="O106" s="53"/>
      <c r="P106" s="53"/>
      <c r="Q106" s="53"/>
      <c r="R106" s="53"/>
      <c r="S106" s="53"/>
      <c r="T106" s="53"/>
      <c r="U106" s="50"/>
      <c r="V106" s="50"/>
      <c r="W106" s="50"/>
      <c r="X106" s="50"/>
      <c r="Y106" s="50"/>
      <c r="Z106" s="50"/>
      <c r="AA106" s="50"/>
      <c r="AB106" s="50"/>
      <c r="AC106" s="50"/>
      <c r="AD106" s="50"/>
      <c r="AE106" s="52"/>
      <c r="AF106" s="52"/>
      <c r="AG106" s="52"/>
      <c r="AH106" s="52"/>
      <c r="AI106" s="52"/>
      <c r="AJ106" s="52"/>
      <c r="AK106" s="52"/>
      <c r="AL106" s="52"/>
      <c r="AM106" s="52"/>
      <c r="AN106" s="52"/>
      <c r="AO106" s="52"/>
      <c r="AP106" s="52"/>
      <c r="AQ106" s="52"/>
    </row>
    <row r="107" spans="1:43">
      <c r="A107" s="396">
        <v>8.5000000000000006E-2</v>
      </c>
      <c r="B107" s="28">
        <v>620</v>
      </c>
      <c r="C107" s="28">
        <v>680</v>
      </c>
      <c r="D107" s="28">
        <v>750</v>
      </c>
      <c r="E107" s="53"/>
      <c r="F107" s="63" t="s">
        <v>2214</v>
      </c>
      <c r="G107" s="63"/>
      <c r="H107" s="63"/>
      <c r="I107" s="63"/>
      <c r="J107" s="63"/>
      <c r="K107" s="63"/>
      <c r="L107" s="63"/>
      <c r="M107" s="63"/>
      <c r="N107" s="50"/>
      <c r="O107" s="50"/>
      <c r="P107" s="53"/>
      <c r="Q107" s="53"/>
      <c r="R107" s="53"/>
      <c r="S107" s="53"/>
      <c r="T107" s="53"/>
      <c r="U107" s="50"/>
      <c r="V107" s="50"/>
      <c r="W107" s="50"/>
      <c r="X107" s="50"/>
      <c r="Y107" s="50"/>
      <c r="Z107" s="50"/>
      <c r="AA107" s="50"/>
      <c r="AB107" s="50"/>
      <c r="AC107" s="50"/>
      <c r="AD107" s="50"/>
      <c r="AE107" s="52"/>
      <c r="AF107" s="52"/>
      <c r="AG107" s="52"/>
      <c r="AH107" s="52"/>
      <c r="AI107" s="52"/>
      <c r="AJ107" s="52"/>
      <c r="AK107" s="52"/>
      <c r="AL107" s="52"/>
      <c r="AM107" s="52"/>
      <c r="AN107" s="52"/>
      <c r="AO107" s="52"/>
      <c r="AP107" s="52"/>
      <c r="AQ107" s="52"/>
    </row>
    <row r="108" spans="1:43">
      <c r="A108" s="396">
        <v>9.5000000000000001E-2</v>
      </c>
      <c r="B108" s="28">
        <v>520</v>
      </c>
      <c r="C108" s="28">
        <v>568</v>
      </c>
      <c r="D108" s="28">
        <v>610</v>
      </c>
      <c r="E108" s="53"/>
      <c r="F108" s="64" t="s">
        <v>2227</v>
      </c>
      <c r="G108" s="64"/>
      <c r="H108" s="64"/>
      <c r="I108" s="64"/>
      <c r="J108" s="64"/>
      <c r="K108" s="64"/>
      <c r="L108" s="64"/>
      <c r="M108" s="64"/>
      <c r="N108" s="53"/>
      <c r="O108" s="53"/>
      <c r="P108" s="53"/>
      <c r="Q108" s="53"/>
      <c r="R108" s="53"/>
      <c r="S108" s="53"/>
      <c r="T108" s="53"/>
      <c r="U108" s="50"/>
      <c r="V108" s="50"/>
      <c r="W108" s="50"/>
      <c r="X108" s="50"/>
      <c r="Y108" s="50"/>
      <c r="Z108" s="50"/>
      <c r="AA108" s="50"/>
      <c r="AB108" s="50"/>
      <c r="AC108" s="50"/>
      <c r="AD108" s="50"/>
      <c r="AE108" s="52"/>
      <c r="AF108" s="52"/>
      <c r="AG108" s="52"/>
      <c r="AH108" s="52"/>
      <c r="AI108" s="52"/>
      <c r="AJ108" s="52"/>
      <c r="AK108" s="52"/>
      <c r="AL108" s="52"/>
      <c r="AM108" s="52"/>
      <c r="AN108" s="52"/>
      <c r="AO108" s="52"/>
      <c r="AP108" s="52"/>
      <c r="AQ108" s="52"/>
    </row>
    <row r="109" spans="1:43">
      <c r="A109" s="396">
        <v>0.105</v>
      </c>
      <c r="B109" s="28">
        <v>450</v>
      </c>
      <c r="C109" s="28">
        <v>500</v>
      </c>
      <c r="D109" s="28">
        <v>540</v>
      </c>
      <c r="E109" s="53"/>
      <c r="F109" s="53"/>
      <c r="G109" s="53"/>
      <c r="H109" s="53"/>
      <c r="I109" s="53"/>
      <c r="J109" s="53"/>
      <c r="K109" s="53"/>
      <c r="L109" s="53"/>
      <c r="M109" s="53"/>
      <c r="N109" s="53"/>
      <c r="O109" s="53"/>
      <c r="P109" s="53"/>
      <c r="Q109" s="53"/>
      <c r="R109" s="53"/>
      <c r="S109" s="53"/>
      <c r="T109" s="53"/>
      <c r="U109" s="50"/>
      <c r="V109" s="50"/>
      <c r="W109" s="50"/>
      <c r="X109" s="50"/>
      <c r="Y109" s="50"/>
      <c r="Z109" s="50"/>
      <c r="AA109" s="50"/>
      <c r="AB109" s="50"/>
      <c r="AC109" s="50"/>
      <c r="AD109" s="50"/>
      <c r="AE109" s="52"/>
      <c r="AF109" s="52"/>
      <c r="AG109" s="52"/>
      <c r="AH109" s="52"/>
      <c r="AI109" s="52"/>
      <c r="AJ109" s="52"/>
      <c r="AK109" s="52"/>
      <c r="AL109" s="52"/>
      <c r="AM109" s="52"/>
      <c r="AN109" s="52"/>
      <c r="AO109" s="52"/>
      <c r="AP109" s="52"/>
      <c r="AQ109" s="52"/>
    </row>
    <row r="110" spans="1:43">
      <c r="A110" s="53"/>
      <c r="B110" s="53"/>
      <c r="C110" s="53"/>
      <c r="D110" s="53"/>
      <c r="E110" s="53"/>
      <c r="F110" s="64" t="s">
        <v>2228</v>
      </c>
      <c r="G110" s="64"/>
      <c r="H110" s="53"/>
      <c r="I110" s="53"/>
      <c r="J110" s="53"/>
      <c r="K110" s="53"/>
      <c r="L110" s="53"/>
      <c r="M110" s="53"/>
      <c r="N110" s="53"/>
      <c r="O110" s="53"/>
      <c r="P110" s="53"/>
      <c r="Q110" s="53"/>
      <c r="R110" s="53"/>
      <c r="S110" s="53"/>
      <c r="T110" s="53"/>
      <c r="U110" s="50"/>
      <c r="V110" s="50"/>
      <c r="W110" s="50"/>
      <c r="X110" s="50"/>
      <c r="Y110" s="50"/>
      <c r="Z110" s="50"/>
      <c r="AA110" s="50"/>
      <c r="AB110" s="50"/>
      <c r="AC110" s="50"/>
      <c r="AD110" s="50"/>
      <c r="AE110" s="52"/>
      <c r="AF110" s="52"/>
      <c r="AG110" s="52"/>
      <c r="AH110" s="52"/>
      <c r="AI110" s="52"/>
      <c r="AJ110" s="52"/>
      <c r="AK110" s="52"/>
      <c r="AL110" s="52"/>
      <c r="AM110" s="52"/>
      <c r="AN110" s="52"/>
      <c r="AO110" s="52"/>
      <c r="AP110" s="52"/>
      <c r="AQ110" s="52"/>
    </row>
    <row r="111" spans="1:43">
      <c r="A111" s="19" t="s">
        <v>1266</v>
      </c>
      <c r="B111" s="19" t="s">
        <v>198</v>
      </c>
      <c r="C111" s="19" t="s">
        <v>448</v>
      </c>
      <c r="D111" s="19" t="s">
        <v>143</v>
      </c>
      <c r="E111" s="19" t="s">
        <v>1605</v>
      </c>
      <c r="F111" s="64" t="s">
        <v>2229</v>
      </c>
      <c r="G111" s="64"/>
      <c r="H111" s="64"/>
      <c r="I111" s="64"/>
      <c r="J111" s="64"/>
      <c r="K111" s="64"/>
      <c r="L111" s="53"/>
      <c r="M111" s="53"/>
      <c r="N111" s="53"/>
      <c r="O111" s="53"/>
      <c r="P111" s="53"/>
      <c r="Q111" s="53"/>
      <c r="R111" s="53"/>
      <c r="S111" s="53"/>
      <c r="T111" s="53"/>
      <c r="U111" s="50"/>
      <c r="V111" s="50"/>
      <c r="W111" s="50"/>
      <c r="X111" s="50"/>
      <c r="Y111" s="50"/>
      <c r="Z111" s="50"/>
      <c r="AA111" s="50"/>
      <c r="AB111" s="50"/>
      <c r="AC111" s="50"/>
      <c r="AD111" s="50"/>
      <c r="AE111" s="52"/>
      <c r="AF111" s="52"/>
      <c r="AG111" s="52"/>
      <c r="AH111" s="52"/>
      <c r="AI111" s="52"/>
      <c r="AJ111" s="52"/>
      <c r="AK111" s="52"/>
      <c r="AL111" s="52"/>
      <c r="AM111" s="52"/>
      <c r="AN111" s="52"/>
      <c r="AO111" s="52"/>
      <c r="AP111" s="52"/>
      <c r="AQ111" s="52"/>
    </row>
    <row r="112" spans="1:43">
      <c r="A112" s="28" t="s">
        <v>954</v>
      </c>
      <c r="B112" s="396">
        <v>0.105</v>
      </c>
      <c r="C112" s="396">
        <v>2.5000000000000001E-2</v>
      </c>
      <c r="D112" s="28" t="s">
        <v>2201</v>
      </c>
      <c r="E112" s="28" t="s">
        <v>2202</v>
      </c>
      <c r="F112" s="50"/>
      <c r="G112" s="50"/>
      <c r="H112" s="50"/>
      <c r="I112" s="50"/>
      <c r="J112" s="50"/>
      <c r="K112" s="50"/>
      <c r="L112" s="50"/>
      <c r="M112" s="53"/>
      <c r="N112" s="53"/>
      <c r="O112" s="53"/>
      <c r="P112" s="53"/>
      <c r="Q112" s="53"/>
      <c r="R112" s="53"/>
      <c r="S112" s="53"/>
      <c r="T112" s="53"/>
      <c r="U112" s="50"/>
      <c r="V112" s="50"/>
      <c r="W112" s="50"/>
      <c r="X112" s="50"/>
      <c r="Y112" s="50"/>
      <c r="Z112" s="50"/>
      <c r="AA112" s="50"/>
      <c r="AB112" s="50"/>
      <c r="AC112" s="50"/>
      <c r="AD112" s="50"/>
      <c r="AE112" s="52"/>
      <c r="AF112" s="52"/>
      <c r="AG112" s="52"/>
      <c r="AH112" s="52"/>
      <c r="AI112" s="52"/>
      <c r="AJ112" s="52"/>
      <c r="AK112" s="52"/>
      <c r="AL112" s="52"/>
      <c r="AM112" s="52"/>
      <c r="AN112" s="52"/>
      <c r="AO112" s="52"/>
      <c r="AP112" s="52"/>
      <c r="AQ112" s="52"/>
    </row>
    <row r="113" spans="1:43">
      <c r="A113" s="28" t="s">
        <v>952</v>
      </c>
      <c r="B113" s="396">
        <v>9.5200000000000007E-2</v>
      </c>
      <c r="C113" s="396">
        <v>0.03</v>
      </c>
      <c r="D113" s="28" t="s">
        <v>2203</v>
      </c>
      <c r="E113" s="28" t="s">
        <v>2203</v>
      </c>
      <c r="F113" s="64" t="s">
        <v>2265</v>
      </c>
      <c r="G113" s="64"/>
      <c r="H113" s="53"/>
      <c r="I113" s="53"/>
      <c r="J113" s="53"/>
      <c r="K113" s="53"/>
      <c r="L113" s="53"/>
      <c r="M113" s="53"/>
      <c r="N113" s="53"/>
      <c r="O113" s="53"/>
      <c r="P113" s="53"/>
      <c r="Q113" s="53"/>
      <c r="R113" s="53"/>
      <c r="S113" s="53"/>
      <c r="T113" s="53"/>
      <c r="U113" s="50"/>
      <c r="V113" s="50"/>
      <c r="W113" s="50"/>
      <c r="X113" s="50"/>
      <c r="Y113" s="50"/>
      <c r="Z113" s="50"/>
      <c r="AA113" s="50"/>
      <c r="AB113" s="50"/>
      <c r="AC113" s="50"/>
      <c r="AD113" s="50"/>
      <c r="AE113" s="52"/>
      <c r="AF113" s="52"/>
      <c r="AG113" s="52"/>
      <c r="AH113" s="52"/>
      <c r="AI113" s="52"/>
      <c r="AJ113" s="52"/>
      <c r="AK113" s="52"/>
      <c r="AL113" s="52"/>
      <c r="AM113" s="52"/>
      <c r="AN113" s="52"/>
      <c r="AO113" s="52"/>
      <c r="AP113" s="52"/>
      <c r="AQ113" s="52"/>
    </row>
    <row r="114" spans="1:43">
      <c r="A114" s="28" t="s">
        <v>950</v>
      </c>
      <c r="B114" s="396">
        <v>8.5000000000000006E-2</v>
      </c>
      <c r="C114" s="28" t="s">
        <v>2204</v>
      </c>
      <c r="D114" s="28" t="s">
        <v>2205</v>
      </c>
      <c r="E114" s="28" t="s">
        <v>2206</v>
      </c>
      <c r="F114" s="64" t="s">
        <v>2230</v>
      </c>
      <c r="G114" s="64"/>
      <c r="H114" s="64"/>
      <c r="I114" s="64"/>
      <c r="J114" s="64"/>
      <c r="K114" s="64"/>
      <c r="L114" s="64"/>
      <c r="M114" s="64"/>
      <c r="N114" s="64"/>
      <c r="O114" s="64"/>
      <c r="P114" s="64"/>
      <c r="Q114" s="64"/>
      <c r="R114" s="53"/>
      <c r="S114" s="53"/>
      <c r="T114" s="53"/>
      <c r="U114" s="50"/>
      <c r="V114" s="50"/>
      <c r="W114" s="50"/>
      <c r="X114" s="50"/>
      <c r="Y114" s="50"/>
      <c r="Z114" s="50"/>
      <c r="AA114" s="50"/>
      <c r="AB114" s="50"/>
      <c r="AC114" s="50"/>
      <c r="AD114" s="50"/>
      <c r="AE114" s="52"/>
      <c r="AF114" s="52"/>
      <c r="AG114" s="52"/>
      <c r="AH114" s="52"/>
      <c r="AI114" s="52"/>
      <c r="AJ114" s="52"/>
      <c r="AK114" s="52"/>
      <c r="AL114" s="52"/>
      <c r="AM114" s="52"/>
      <c r="AN114" s="52"/>
      <c r="AO114" s="52"/>
      <c r="AP114" s="52"/>
      <c r="AQ114" s="52"/>
    </row>
    <row r="115" spans="1:43">
      <c r="A115" s="53"/>
      <c r="B115" s="53"/>
      <c r="C115" s="53"/>
      <c r="D115" s="53"/>
      <c r="E115" s="53"/>
      <c r="F115" s="53"/>
      <c r="G115" s="53"/>
      <c r="H115" s="53"/>
      <c r="I115" s="53"/>
      <c r="J115" s="53"/>
      <c r="K115" s="53"/>
      <c r="L115" s="53"/>
      <c r="M115" s="53"/>
      <c r="N115" s="53"/>
      <c r="O115" s="53"/>
      <c r="P115" s="53"/>
      <c r="Q115" s="53"/>
      <c r="R115" s="53"/>
      <c r="S115" s="53"/>
      <c r="T115" s="53"/>
      <c r="U115" s="50"/>
      <c r="V115" s="50"/>
      <c r="W115" s="50"/>
      <c r="X115" s="50"/>
      <c r="Y115" s="50"/>
      <c r="Z115" s="50"/>
      <c r="AA115" s="50"/>
      <c r="AB115" s="50"/>
      <c r="AC115" s="50"/>
      <c r="AD115" s="50"/>
      <c r="AE115" s="52"/>
      <c r="AF115" s="52"/>
      <c r="AG115" s="52"/>
      <c r="AH115" s="52"/>
      <c r="AI115" s="52"/>
      <c r="AJ115" s="52"/>
      <c r="AK115" s="52"/>
      <c r="AL115" s="52"/>
      <c r="AM115" s="52"/>
      <c r="AN115" s="52"/>
      <c r="AO115" s="52"/>
      <c r="AP115" s="52"/>
      <c r="AQ115" s="52"/>
    </row>
    <row r="116" spans="1:43">
      <c r="A116" s="19" t="s">
        <v>1266</v>
      </c>
      <c r="B116" s="19" t="s">
        <v>864</v>
      </c>
      <c r="C116" s="53"/>
      <c r="D116" s="53"/>
      <c r="E116" s="53"/>
      <c r="F116" s="64" t="s">
        <v>2235</v>
      </c>
      <c r="G116" s="64"/>
      <c r="H116" s="64"/>
      <c r="I116" s="64"/>
      <c r="J116" s="64"/>
      <c r="K116" s="64"/>
      <c r="L116" s="64"/>
      <c r="M116" s="64"/>
      <c r="N116" s="64"/>
      <c r="O116" s="53"/>
      <c r="P116" s="53"/>
      <c r="Q116" s="53"/>
      <c r="R116" s="53"/>
      <c r="S116" s="53"/>
      <c r="T116" s="53"/>
      <c r="U116" s="50"/>
      <c r="V116" s="50"/>
      <c r="W116" s="50"/>
      <c r="X116" s="50"/>
      <c r="Y116" s="50"/>
      <c r="Z116" s="50"/>
      <c r="AA116" s="50"/>
      <c r="AB116" s="50"/>
      <c r="AC116" s="50"/>
      <c r="AD116" s="50"/>
      <c r="AE116" s="52"/>
      <c r="AF116" s="52"/>
      <c r="AG116" s="52"/>
      <c r="AH116" s="52"/>
      <c r="AI116" s="52"/>
      <c r="AJ116" s="52"/>
      <c r="AK116" s="52"/>
      <c r="AL116" s="52"/>
      <c r="AM116" s="52"/>
      <c r="AN116" s="52"/>
      <c r="AO116" s="52"/>
      <c r="AP116" s="52"/>
      <c r="AQ116" s="52"/>
    </row>
    <row r="117" spans="1:43">
      <c r="A117" s="28" t="s">
        <v>954</v>
      </c>
      <c r="B117" s="28" t="s">
        <v>2207</v>
      </c>
      <c r="C117" s="53"/>
      <c r="D117" s="53"/>
      <c r="E117" s="53"/>
      <c r="F117" s="53"/>
      <c r="G117" s="53"/>
      <c r="H117" s="53"/>
      <c r="I117" s="53"/>
      <c r="J117" s="53"/>
      <c r="K117" s="53"/>
      <c r="L117" s="53"/>
      <c r="M117" s="53"/>
      <c r="N117" s="53"/>
      <c r="O117" s="53"/>
      <c r="P117" s="53"/>
      <c r="Q117" s="53"/>
      <c r="R117" s="53"/>
      <c r="S117" s="53"/>
      <c r="T117" s="53"/>
      <c r="U117" s="50"/>
      <c r="V117" s="50"/>
      <c r="W117" s="50"/>
      <c r="X117" s="50"/>
      <c r="Y117" s="50"/>
      <c r="Z117" s="50"/>
      <c r="AA117" s="50"/>
      <c r="AB117" s="50"/>
      <c r="AC117" s="50"/>
      <c r="AD117" s="50"/>
      <c r="AE117" s="52"/>
      <c r="AF117" s="52"/>
      <c r="AG117" s="52"/>
      <c r="AH117" s="52"/>
      <c r="AI117" s="52"/>
      <c r="AJ117" s="52"/>
      <c r="AK117" s="52"/>
      <c r="AL117" s="52"/>
      <c r="AM117" s="52"/>
      <c r="AN117" s="52"/>
      <c r="AO117" s="52"/>
      <c r="AP117" s="52"/>
      <c r="AQ117" s="52"/>
    </row>
    <row r="118" spans="1:43">
      <c r="A118" s="28" t="s">
        <v>952</v>
      </c>
      <c r="B118" s="28" t="s">
        <v>2208</v>
      </c>
      <c r="C118" s="53"/>
      <c r="D118" s="53"/>
      <c r="E118" s="53"/>
      <c r="F118" s="64" t="s">
        <v>2322</v>
      </c>
      <c r="G118" s="64"/>
      <c r="H118" s="64"/>
      <c r="I118" s="64"/>
      <c r="J118" s="64"/>
      <c r="K118" s="64"/>
      <c r="L118" s="64"/>
      <c r="M118" s="64"/>
      <c r="N118" s="64"/>
      <c r="O118" s="64"/>
      <c r="P118" s="64"/>
      <c r="Q118" s="64"/>
      <c r="R118" s="64"/>
      <c r="S118" s="64"/>
      <c r="T118" s="64"/>
      <c r="U118" s="63"/>
      <c r="V118" s="63"/>
      <c r="W118" s="63"/>
      <c r="X118" s="63"/>
      <c r="Y118" s="63"/>
      <c r="Z118" s="63"/>
      <c r="AA118" s="63"/>
      <c r="AB118" s="63"/>
      <c r="AC118" s="63"/>
      <c r="AD118" s="63"/>
      <c r="AE118" s="390"/>
      <c r="AF118" s="390"/>
      <c r="AG118" s="52"/>
      <c r="AH118" s="52"/>
      <c r="AI118" s="52"/>
      <c r="AJ118" s="52"/>
      <c r="AK118" s="52"/>
      <c r="AL118" s="52"/>
      <c r="AM118" s="52"/>
      <c r="AN118" s="52"/>
      <c r="AO118" s="52"/>
      <c r="AP118" s="52"/>
      <c r="AQ118" s="52"/>
    </row>
    <row r="119" spans="1:43">
      <c r="A119" s="28" t="s">
        <v>950</v>
      </c>
      <c r="B119" s="28" t="s">
        <v>2209</v>
      </c>
      <c r="C119" s="53"/>
      <c r="D119" s="53"/>
      <c r="E119" s="53"/>
      <c r="F119" s="53"/>
      <c r="G119" s="53"/>
      <c r="H119" s="53"/>
      <c r="I119" s="53"/>
      <c r="J119" s="53"/>
      <c r="K119" s="53"/>
      <c r="L119" s="53"/>
      <c r="M119" s="53"/>
      <c r="N119" s="53"/>
      <c r="O119" s="53"/>
      <c r="P119" s="53"/>
      <c r="Q119" s="53"/>
      <c r="R119" s="53"/>
      <c r="S119" s="53"/>
      <c r="T119" s="53"/>
      <c r="U119" s="50"/>
      <c r="V119" s="50"/>
      <c r="W119" s="50"/>
      <c r="X119" s="50"/>
      <c r="Y119" s="50"/>
      <c r="Z119" s="50"/>
      <c r="AA119" s="50"/>
      <c r="AB119" s="50"/>
      <c r="AC119" s="50"/>
      <c r="AD119" s="50"/>
      <c r="AE119" s="52"/>
      <c r="AF119" s="52"/>
      <c r="AG119" s="52"/>
      <c r="AH119" s="52"/>
      <c r="AI119" s="52"/>
      <c r="AJ119" s="52"/>
      <c r="AK119" s="52"/>
      <c r="AL119" s="52"/>
      <c r="AM119" s="52"/>
      <c r="AN119" s="52"/>
      <c r="AO119" s="52"/>
      <c r="AP119" s="52"/>
      <c r="AQ119" s="52"/>
    </row>
    <row r="120" spans="1:43">
      <c r="A120" s="50"/>
      <c r="B120" s="50"/>
      <c r="C120" s="50"/>
      <c r="D120" s="50"/>
      <c r="E120" s="50"/>
      <c r="F120" s="63" t="s">
        <v>2260</v>
      </c>
      <c r="G120" s="63"/>
      <c r="H120" s="63"/>
      <c r="I120" s="63"/>
      <c r="J120" s="63"/>
      <c r="K120" s="63"/>
      <c r="L120" s="64"/>
      <c r="M120" s="64"/>
      <c r="N120" s="64"/>
      <c r="O120" s="53"/>
      <c r="P120" s="53"/>
      <c r="Q120" s="53"/>
      <c r="R120" s="53"/>
      <c r="S120" s="53"/>
      <c r="T120" s="53"/>
      <c r="U120" s="50"/>
      <c r="V120" s="50"/>
      <c r="W120" s="50"/>
      <c r="X120" s="50"/>
      <c r="Y120" s="50"/>
      <c r="Z120" s="50"/>
      <c r="AA120" s="50"/>
      <c r="AB120" s="50"/>
      <c r="AC120" s="50"/>
      <c r="AD120" s="50"/>
      <c r="AE120" s="52"/>
      <c r="AF120" s="52"/>
      <c r="AG120" s="52"/>
      <c r="AH120" s="52"/>
      <c r="AI120" s="52"/>
      <c r="AJ120" s="52"/>
      <c r="AK120" s="52"/>
      <c r="AL120" s="52"/>
      <c r="AM120" s="52"/>
      <c r="AN120" s="52"/>
      <c r="AO120" s="52"/>
      <c r="AP120" s="52"/>
      <c r="AQ120" s="52"/>
    </row>
    <row r="121" spans="1:43">
      <c r="A121" s="50"/>
      <c r="B121" s="50"/>
      <c r="C121" s="50"/>
      <c r="D121" s="50"/>
      <c r="E121" s="50"/>
      <c r="F121" s="50"/>
      <c r="G121" s="50"/>
      <c r="H121" s="50"/>
      <c r="I121" s="50"/>
      <c r="J121" s="50"/>
      <c r="K121" s="50"/>
      <c r="L121" s="53"/>
      <c r="M121" s="53"/>
      <c r="N121" s="53"/>
      <c r="O121" s="53"/>
      <c r="P121" s="53"/>
      <c r="Q121" s="53"/>
      <c r="R121" s="53"/>
      <c r="S121" s="53"/>
      <c r="T121" s="53"/>
      <c r="U121" s="50"/>
      <c r="V121" s="50"/>
      <c r="W121" s="50"/>
      <c r="X121" s="50"/>
      <c r="Y121" s="50"/>
      <c r="Z121" s="50"/>
      <c r="AA121" s="50"/>
      <c r="AB121" s="50"/>
      <c r="AC121" s="50"/>
      <c r="AD121" s="50"/>
      <c r="AE121" s="52"/>
      <c r="AF121" s="52"/>
      <c r="AG121" s="52"/>
      <c r="AH121" s="52"/>
      <c r="AI121" s="52"/>
      <c r="AJ121" s="52"/>
      <c r="AK121" s="52"/>
      <c r="AL121" s="52"/>
      <c r="AM121" s="52"/>
      <c r="AN121" s="52"/>
      <c r="AO121" s="52"/>
      <c r="AP121" s="52"/>
      <c r="AQ121" s="52"/>
    </row>
    <row r="122" spans="1:43">
      <c r="A122" s="50"/>
      <c r="B122" s="50"/>
      <c r="C122" s="50"/>
      <c r="D122" s="50"/>
      <c r="E122" s="50"/>
      <c r="F122" s="63" t="s">
        <v>2261</v>
      </c>
      <c r="G122" s="63"/>
      <c r="H122" s="63"/>
      <c r="I122" s="63"/>
      <c r="J122" s="63"/>
      <c r="K122" s="63"/>
      <c r="L122" s="64"/>
      <c r="M122" s="64"/>
      <c r="N122" s="64"/>
      <c r="O122" s="53"/>
      <c r="P122" s="53"/>
      <c r="Q122" s="53"/>
      <c r="R122" s="53"/>
      <c r="S122" s="53"/>
      <c r="T122" s="53"/>
      <c r="U122" s="50"/>
      <c r="V122" s="50"/>
      <c r="W122" s="50"/>
      <c r="X122" s="50"/>
      <c r="Y122" s="50"/>
      <c r="Z122" s="50"/>
      <c r="AA122" s="50"/>
      <c r="AB122" s="50"/>
      <c r="AC122" s="50"/>
      <c r="AD122" s="50"/>
      <c r="AE122" s="52"/>
      <c r="AF122" s="52"/>
      <c r="AG122" s="52"/>
      <c r="AH122" s="52"/>
      <c r="AI122" s="52"/>
      <c r="AJ122" s="52"/>
      <c r="AK122" s="52"/>
      <c r="AL122" s="52"/>
      <c r="AM122" s="52"/>
      <c r="AN122" s="52"/>
      <c r="AO122" s="52"/>
      <c r="AP122" s="52"/>
      <c r="AQ122" s="52"/>
    </row>
    <row r="123" spans="1:4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2"/>
      <c r="AF123" s="52"/>
      <c r="AG123" s="52"/>
      <c r="AH123" s="52"/>
      <c r="AI123" s="52"/>
      <c r="AJ123" s="52"/>
      <c r="AK123" s="52"/>
      <c r="AL123" s="52"/>
      <c r="AM123" s="52"/>
      <c r="AN123" s="52"/>
      <c r="AO123" s="52"/>
      <c r="AP123" s="52"/>
      <c r="AQ123" s="52"/>
    </row>
    <row r="124" spans="1:43">
      <c r="A124" s="50"/>
      <c r="B124" s="50"/>
      <c r="C124" s="50"/>
      <c r="D124" s="50"/>
      <c r="E124" s="50"/>
      <c r="F124" s="63" t="s">
        <v>2262</v>
      </c>
      <c r="G124" s="63"/>
      <c r="H124" s="63"/>
      <c r="I124" s="63"/>
      <c r="J124" s="63"/>
      <c r="K124" s="50"/>
      <c r="L124" s="50"/>
      <c r="M124" s="50"/>
      <c r="N124" s="50"/>
      <c r="O124" s="50"/>
      <c r="P124" s="50"/>
      <c r="Q124" s="50"/>
      <c r="R124" s="50"/>
      <c r="S124" s="50"/>
      <c r="T124" s="50"/>
      <c r="U124" s="50"/>
      <c r="V124" s="50"/>
      <c r="W124" s="50"/>
      <c r="X124" s="50"/>
      <c r="Y124" s="50"/>
      <c r="Z124" s="50"/>
      <c r="AA124" s="50"/>
      <c r="AB124" s="50"/>
      <c r="AC124" s="50"/>
      <c r="AD124" s="50"/>
      <c r="AE124" s="52"/>
      <c r="AF124" s="52"/>
      <c r="AG124" s="52"/>
      <c r="AH124" s="52"/>
      <c r="AI124" s="52"/>
      <c r="AJ124" s="52"/>
      <c r="AK124" s="52"/>
      <c r="AL124" s="52"/>
      <c r="AM124" s="52"/>
      <c r="AN124" s="52"/>
      <c r="AO124" s="52"/>
      <c r="AP124" s="52"/>
      <c r="AQ124" s="52"/>
    </row>
    <row r="125" spans="1:43">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2"/>
      <c r="AF125" s="52"/>
      <c r="AG125" s="52"/>
      <c r="AH125" s="52"/>
      <c r="AI125" s="52"/>
      <c r="AJ125" s="52"/>
      <c r="AK125" s="52"/>
      <c r="AL125" s="52"/>
      <c r="AM125" s="52"/>
      <c r="AN125" s="52"/>
      <c r="AO125" s="52"/>
      <c r="AP125" s="52"/>
      <c r="AQ125" s="52"/>
    </row>
    <row r="126" spans="1:43">
      <c r="A126" s="50"/>
      <c r="B126" s="50"/>
      <c r="C126" s="50"/>
      <c r="D126" s="50"/>
      <c r="E126" s="50"/>
      <c r="F126" s="63" t="s">
        <v>2263</v>
      </c>
      <c r="G126" s="63"/>
      <c r="H126" s="63"/>
      <c r="I126" s="63"/>
      <c r="J126" s="63"/>
      <c r="K126" s="63"/>
      <c r="L126" s="50"/>
      <c r="M126" s="50"/>
      <c r="N126" s="50"/>
      <c r="O126" s="50"/>
      <c r="P126" s="50"/>
      <c r="Q126" s="50"/>
      <c r="R126" s="50"/>
      <c r="S126" s="50"/>
      <c r="T126" s="50"/>
      <c r="U126" s="50"/>
      <c r="V126" s="50"/>
      <c r="W126" s="50"/>
      <c r="X126" s="50"/>
      <c r="Y126" s="50"/>
      <c r="Z126" s="50"/>
      <c r="AA126" s="50"/>
      <c r="AB126" s="50"/>
      <c r="AC126" s="50"/>
      <c r="AD126" s="50"/>
      <c r="AE126" s="52"/>
      <c r="AF126" s="52"/>
      <c r="AG126" s="52"/>
      <c r="AH126" s="52"/>
      <c r="AI126" s="52"/>
      <c r="AJ126" s="52"/>
      <c r="AK126" s="52"/>
      <c r="AL126" s="52"/>
      <c r="AM126" s="52"/>
      <c r="AN126" s="52"/>
      <c r="AO126" s="52"/>
      <c r="AP126" s="52"/>
      <c r="AQ126" s="52"/>
    </row>
    <row r="127" spans="1:43">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2"/>
      <c r="AF127" s="52"/>
      <c r="AG127" s="52"/>
      <c r="AH127" s="52"/>
      <c r="AI127" s="52"/>
      <c r="AJ127" s="52"/>
      <c r="AK127" s="52"/>
      <c r="AL127" s="52"/>
      <c r="AM127" s="52"/>
      <c r="AN127" s="52"/>
      <c r="AO127" s="52"/>
      <c r="AP127" s="52"/>
      <c r="AQ127" s="52"/>
    </row>
    <row r="128" spans="1:43">
      <c r="A128" s="50"/>
      <c r="B128" s="50"/>
      <c r="C128" s="50"/>
      <c r="D128" s="50"/>
      <c r="E128" s="50"/>
      <c r="F128" s="63" t="s">
        <v>2264</v>
      </c>
      <c r="G128" s="63"/>
      <c r="H128" s="63"/>
      <c r="I128" s="63"/>
      <c r="J128" s="63"/>
      <c r="K128" s="63"/>
      <c r="L128" s="63"/>
      <c r="M128" s="50"/>
      <c r="N128" s="50"/>
      <c r="O128" s="50"/>
      <c r="P128" s="50"/>
      <c r="Q128" s="50"/>
      <c r="R128" s="50"/>
      <c r="S128" s="50"/>
      <c r="T128" s="50"/>
      <c r="U128" s="50"/>
      <c r="V128" s="50"/>
      <c r="W128" s="50"/>
      <c r="X128" s="50"/>
      <c r="Y128" s="50"/>
      <c r="Z128" s="50"/>
      <c r="AA128" s="50"/>
      <c r="AB128" s="50"/>
      <c r="AC128" s="50"/>
      <c r="AD128" s="50"/>
      <c r="AE128" s="52"/>
      <c r="AF128" s="52"/>
      <c r="AG128" s="52"/>
      <c r="AH128" s="52"/>
      <c r="AI128" s="52"/>
      <c r="AJ128" s="52"/>
      <c r="AK128" s="52"/>
      <c r="AL128" s="52"/>
      <c r="AM128" s="52"/>
      <c r="AN128" s="52"/>
      <c r="AO128" s="52"/>
      <c r="AP128" s="52"/>
      <c r="AQ128" s="52"/>
    </row>
    <row r="129" spans="1:43">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2"/>
      <c r="AF129" s="52"/>
      <c r="AG129" s="52"/>
      <c r="AH129" s="52"/>
      <c r="AI129" s="52"/>
      <c r="AJ129" s="52"/>
      <c r="AK129" s="52"/>
      <c r="AL129" s="52"/>
      <c r="AM129" s="52"/>
      <c r="AN129" s="52"/>
      <c r="AO129" s="52"/>
      <c r="AP129" s="52"/>
      <c r="AQ129" s="52"/>
    </row>
    <row r="130" spans="1:43">
      <c r="A130" s="50"/>
      <c r="B130" s="50"/>
      <c r="C130" s="50"/>
      <c r="D130" s="50"/>
      <c r="E130" s="50"/>
      <c r="F130" s="63" t="s">
        <v>2266</v>
      </c>
      <c r="G130" s="63"/>
      <c r="H130" s="63"/>
      <c r="I130" s="63"/>
      <c r="J130" s="63"/>
      <c r="K130" s="63"/>
      <c r="L130" s="63"/>
      <c r="M130" s="50"/>
      <c r="N130" s="50"/>
      <c r="O130" s="50"/>
      <c r="P130" s="50"/>
      <c r="Q130" s="50"/>
      <c r="R130" s="50"/>
      <c r="S130" s="50"/>
      <c r="T130" s="50"/>
      <c r="U130" s="50"/>
      <c r="V130" s="50"/>
      <c r="W130" s="50"/>
      <c r="X130" s="50"/>
      <c r="Y130" s="50"/>
      <c r="Z130" s="50"/>
      <c r="AA130" s="50"/>
      <c r="AB130" s="50"/>
      <c r="AC130" s="50"/>
      <c r="AD130" s="50"/>
      <c r="AE130" s="52"/>
      <c r="AF130" s="52"/>
      <c r="AG130" s="52"/>
      <c r="AH130" s="52"/>
      <c r="AI130" s="52"/>
      <c r="AJ130" s="52"/>
      <c r="AK130" s="52"/>
      <c r="AL130" s="52"/>
      <c r="AM130" s="52"/>
      <c r="AN130" s="52"/>
      <c r="AO130" s="52"/>
      <c r="AP130" s="52"/>
      <c r="AQ130" s="52"/>
    </row>
    <row r="131" spans="1:43">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2"/>
      <c r="AF131" s="52"/>
      <c r="AG131" s="52"/>
      <c r="AH131" s="52"/>
      <c r="AI131" s="52"/>
      <c r="AJ131" s="52"/>
      <c r="AK131" s="52"/>
      <c r="AL131" s="52"/>
      <c r="AM131" s="52"/>
      <c r="AN131" s="52"/>
      <c r="AO131" s="52"/>
      <c r="AP131" s="52"/>
      <c r="AQ131" s="52"/>
    </row>
    <row r="132" spans="1:43">
      <c r="A132" s="50"/>
      <c r="B132" s="50"/>
      <c r="C132" s="50"/>
      <c r="D132" s="50"/>
      <c r="E132" s="50"/>
      <c r="F132" s="63" t="s">
        <v>2268</v>
      </c>
      <c r="G132" s="63"/>
      <c r="H132" s="63"/>
      <c r="I132" s="63"/>
      <c r="J132" s="63"/>
      <c r="K132" s="63"/>
      <c r="L132" s="63"/>
      <c r="M132" s="63"/>
      <c r="N132" s="63"/>
      <c r="O132" s="63"/>
      <c r="P132" s="63"/>
      <c r="Q132" s="50"/>
      <c r="R132" s="50"/>
      <c r="S132" s="50"/>
      <c r="T132" s="50"/>
      <c r="U132" s="50"/>
      <c r="V132" s="50"/>
      <c r="W132" s="50"/>
      <c r="X132" s="50"/>
      <c r="Y132" s="50"/>
      <c r="Z132" s="50"/>
      <c r="AA132" s="50"/>
      <c r="AB132" s="50"/>
      <c r="AC132" s="50"/>
      <c r="AD132" s="50"/>
      <c r="AE132" s="52"/>
      <c r="AF132" s="52"/>
      <c r="AG132" s="52"/>
      <c r="AH132" s="52"/>
      <c r="AI132" s="52"/>
      <c r="AJ132" s="52"/>
      <c r="AK132" s="52"/>
      <c r="AL132" s="52"/>
      <c r="AM132" s="52"/>
      <c r="AN132" s="52"/>
      <c r="AO132" s="52"/>
      <c r="AP132" s="52"/>
      <c r="AQ132" s="52"/>
    </row>
    <row r="133" spans="1:4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2"/>
      <c r="AF133" s="52"/>
      <c r="AG133" s="52"/>
      <c r="AH133" s="52"/>
      <c r="AI133" s="52"/>
      <c r="AJ133" s="52"/>
      <c r="AK133" s="52"/>
      <c r="AL133" s="52"/>
      <c r="AM133" s="52"/>
      <c r="AN133" s="52"/>
      <c r="AO133" s="52"/>
      <c r="AP133" s="52"/>
      <c r="AQ133" s="52"/>
    </row>
    <row r="134" spans="1:43">
      <c r="A134" s="50"/>
      <c r="B134" s="50"/>
      <c r="C134" s="50"/>
      <c r="D134" s="50"/>
      <c r="E134" s="50"/>
      <c r="F134" s="63" t="s">
        <v>1893</v>
      </c>
      <c r="G134" s="63"/>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2"/>
      <c r="AF134" s="52"/>
      <c r="AG134" s="52"/>
      <c r="AH134" s="52"/>
      <c r="AI134" s="52"/>
      <c r="AJ134" s="52"/>
      <c r="AK134" s="52"/>
      <c r="AL134" s="52"/>
      <c r="AM134" s="52"/>
      <c r="AN134" s="52"/>
      <c r="AO134" s="52"/>
      <c r="AP134" s="52"/>
      <c r="AQ134" s="52"/>
    </row>
    <row r="135" spans="1:43">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row>
    <row r="136" spans="1:43">
      <c r="A136" s="52"/>
      <c r="B136" s="52"/>
      <c r="C136" s="52"/>
      <c r="D136" s="52"/>
      <c r="E136" s="52"/>
      <c r="F136" s="63" t="s">
        <v>2320</v>
      </c>
      <c r="G136" s="63"/>
      <c r="H136" s="63"/>
      <c r="I136" s="63"/>
      <c r="J136" s="63"/>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row>
    <row r="137" spans="1:43">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row>
    <row r="138" spans="1:43">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row>
    <row r="139" spans="1:43">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row>
    <row r="140" spans="1:43">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row>
    <row r="141" spans="1:43">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row>
    <row r="142" spans="1:43">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row>
    <row r="143" spans="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row>
    <row r="144" spans="1:43">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row>
    <row r="145" spans="1:43">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row>
    <row r="146" spans="1:43">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row>
    <row r="147" spans="1:43">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row>
    <row r="148" spans="1:43">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row>
    <row r="149" spans="1:43">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row>
    <row r="150" spans="1:43">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row>
    <row r="151" spans="1:43">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row>
    <row r="152" spans="1:43">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row>
    <row r="153" spans="1:4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row>
    <row r="154" spans="1:43">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row>
    <row r="155" spans="1:43">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row>
    <row r="156" spans="1:43">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row>
    <row r="157" spans="1:43">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row>
    <row r="158" spans="1:43">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row>
    <row r="159" spans="1:43">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row>
    <row r="160" spans="1:43">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row>
    <row r="161" spans="1:43">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row>
    <row r="162" spans="1:43">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row>
    <row r="163" spans="1:4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row>
    <row r="164" spans="1:43">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row>
    <row r="165" spans="1:43">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row>
    <row r="166" spans="1:43">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row>
    <row r="167" spans="1:43">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row>
    <row r="168" spans="1:43">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row>
    <row r="169" spans="1:43">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row>
    <row r="170" spans="1:43">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row>
    <row r="171" spans="1:43">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row>
    <row r="172" spans="1:43">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row>
    <row r="173" spans="1:4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row>
    <row r="174" spans="1:43">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row>
    <row r="175" spans="1:43">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row>
    <row r="176" spans="1:43">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row>
    <row r="177" spans="1:43">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row>
    <row r="178" spans="1:43">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row>
    <row r="179" spans="1:43">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row>
    <row r="180" spans="1:43">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row>
    <row r="181" spans="1:43">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row>
    <row r="182" spans="1:43">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row>
    <row r="183" spans="1:4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row>
    <row r="184" spans="1:43">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row>
    <row r="185" spans="1:43">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row>
    <row r="186" spans="1:43">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row>
    <row r="187" spans="1:43">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row>
    <row r="188" spans="1:43">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row>
    <row r="189" spans="1:43">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row>
    <row r="190" spans="1:43">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row>
    <row r="191" spans="1:43">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row>
    <row r="192" spans="1:43">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row>
    <row r="193" spans="1:4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row>
    <row r="194" spans="1:43">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row>
    <row r="195" spans="1:43">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row>
    <row r="196" spans="1:43">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row>
    <row r="197" spans="1:43">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row>
    <row r="198" spans="1:43">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row>
    <row r="199" spans="1:43">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row>
    <row r="200" spans="1:43">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row>
  </sheetData>
  <phoneticPr fontId="2" type="noConversion"/>
  <pageMargins left="0.7" right="0.7" top="0.75" bottom="0.75" header="0.3" footer="0.3"/>
  <pageSetup orientation="portrait" r:id="rId1"/>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54C4-B607-494C-A3E0-B14B77E5F4FD}">
  <dimension ref="A1:X98"/>
  <sheetViews>
    <sheetView zoomScale="90" zoomScaleNormal="90" workbookViewId="0"/>
  </sheetViews>
  <sheetFormatPr defaultRowHeight="14"/>
  <cols>
    <col min="1" max="1" width="68" customWidth="1"/>
    <col min="2" max="2" width="15.1640625" customWidth="1"/>
    <col min="3" max="3" width="14" customWidth="1"/>
    <col min="4" max="4" width="14.83203125" customWidth="1"/>
    <col min="5" max="5" width="15.75" customWidth="1"/>
    <col min="6" max="6" width="16.25" customWidth="1"/>
    <col min="7" max="7" width="11.75" customWidth="1"/>
  </cols>
  <sheetData>
    <row r="1" spans="1:24">
      <c r="A1" s="15" t="s">
        <v>2199</v>
      </c>
      <c r="B1" s="16" t="s">
        <v>119</v>
      </c>
      <c r="C1" s="16" t="s">
        <v>120</v>
      </c>
      <c r="D1" s="16" t="s">
        <v>121</v>
      </c>
      <c r="E1" s="16" t="s">
        <v>122</v>
      </c>
      <c r="F1" s="17" t="s">
        <v>123</v>
      </c>
      <c r="G1" s="53"/>
      <c r="H1" s="53"/>
      <c r="I1" s="54"/>
      <c r="J1" s="54"/>
      <c r="K1" s="54"/>
      <c r="L1" s="54"/>
      <c r="M1" s="54"/>
      <c r="N1" s="54"/>
      <c r="O1" s="54"/>
      <c r="P1" s="54"/>
      <c r="Q1" s="54"/>
      <c r="R1" s="54"/>
      <c r="S1" s="51"/>
      <c r="T1" s="51"/>
      <c r="U1" s="51"/>
      <c r="V1" s="51"/>
      <c r="W1" s="51"/>
      <c r="X1" s="51"/>
    </row>
    <row r="2" spans="1:24">
      <c r="A2" s="31" t="s">
        <v>116</v>
      </c>
      <c r="B2" s="14"/>
      <c r="C2" s="14"/>
      <c r="D2" s="14"/>
      <c r="E2" s="14"/>
      <c r="F2" s="78"/>
      <c r="G2" s="53"/>
      <c r="H2" s="53"/>
      <c r="I2" s="54"/>
      <c r="J2" s="54"/>
      <c r="K2" s="54"/>
      <c r="L2" s="54"/>
      <c r="M2" s="54"/>
      <c r="N2" s="54"/>
      <c r="O2" s="54"/>
      <c r="P2" s="54"/>
      <c r="Q2" s="54"/>
      <c r="R2" s="54"/>
      <c r="S2" s="51"/>
      <c r="T2" s="51"/>
      <c r="U2" s="51"/>
      <c r="V2" s="51"/>
      <c r="W2" s="51"/>
      <c r="X2" s="51"/>
    </row>
    <row r="3" spans="1:24" ht="12.65" customHeight="1">
      <c r="A3" s="37" t="s">
        <v>892</v>
      </c>
      <c r="B3" s="138">
        <v>132310</v>
      </c>
      <c r="C3" s="138">
        <v>162672</v>
      </c>
      <c r="D3" s="138">
        <v>183399</v>
      </c>
      <c r="E3" s="138">
        <v>196337</v>
      </c>
      <c r="F3" s="139">
        <v>222366</v>
      </c>
      <c r="G3" s="53"/>
      <c r="H3" s="53"/>
      <c r="I3" s="54"/>
      <c r="J3" s="54"/>
      <c r="K3" s="54"/>
      <c r="L3" s="54"/>
      <c r="M3" s="54"/>
      <c r="N3" s="54"/>
      <c r="O3" s="54"/>
      <c r="P3" s="54"/>
      <c r="Q3" s="54"/>
      <c r="R3" s="54"/>
      <c r="S3" s="51"/>
      <c r="T3" s="51"/>
      <c r="U3" s="51"/>
      <c r="V3" s="51"/>
      <c r="W3" s="51"/>
      <c r="X3" s="51"/>
    </row>
    <row r="4" spans="1:24" ht="14.15" customHeight="1">
      <c r="A4" s="37" t="s">
        <v>4</v>
      </c>
      <c r="B4" s="86"/>
      <c r="C4" s="86"/>
      <c r="D4" s="86"/>
      <c r="E4" s="86"/>
      <c r="F4" s="140"/>
      <c r="G4" s="53"/>
      <c r="H4" s="53"/>
      <c r="I4" s="54"/>
      <c r="J4" s="54"/>
      <c r="K4" s="54"/>
      <c r="L4" s="54"/>
      <c r="M4" s="54"/>
      <c r="N4" s="54"/>
      <c r="O4" s="54"/>
      <c r="P4" s="54"/>
      <c r="Q4" s="54"/>
      <c r="R4" s="54"/>
      <c r="S4" s="51"/>
      <c r="T4" s="51"/>
      <c r="U4" s="51"/>
      <c r="V4" s="51"/>
      <c r="W4" s="51"/>
      <c r="X4" s="51"/>
    </row>
    <row r="5" spans="1:24" ht="17.5" customHeight="1">
      <c r="A5" s="37" t="s">
        <v>151</v>
      </c>
      <c r="B5" s="138">
        <v>15843</v>
      </c>
      <c r="C5" s="138">
        <v>18675</v>
      </c>
      <c r="D5" s="138">
        <v>19642</v>
      </c>
      <c r="E5" s="138">
        <v>21409</v>
      </c>
      <c r="F5" s="139">
        <v>23108</v>
      </c>
      <c r="G5" s="53"/>
      <c r="H5" s="53"/>
      <c r="I5" s="54"/>
      <c r="J5" s="54"/>
      <c r="K5" s="54"/>
      <c r="L5" s="54"/>
      <c r="M5" s="54"/>
      <c r="N5" s="54"/>
      <c r="O5" s="54"/>
      <c r="P5" s="54"/>
      <c r="Q5" s="54"/>
      <c r="R5" s="54"/>
      <c r="S5" s="51"/>
      <c r="T5" s="51"/>
      <c r="U5" s="51"/>
      <c r="V5" s="51"/>
      <c r="W5" s="51"/>
      <c r="X5" s="51"/>
    </row>
    <row r="6" spans="1:24" ht="17.149999999999999" customHeight="1">
      <c r="A6" s="37" t="s">
        <v>152</v>
      </c>
      <c r="B6" s="138">
        <v>7324</v>
      </c>
      <c r="C6" s="138">
        <v>8067</v>
      </c>
      <c r="D6" s="138">
        <v>7560</v>
      </c>
      <c r="E6" s="138">
        <v>7213</v>
      </c>
      <c r="F6" s="139">
        <v>7416</v>
      </c>
      <c r="G6" s="53"/>
      <c r="H6" s="53"/>
      <c r="I6" s="54"/>
      <c r="J6" s="54"/>
      <c r="K6" s="54"/>
      <c r="L6" s="54"/>
      <c r="M6" s="54"/>
      <c r="N6" s="54"/>
      <c r="O6" s="54"/>
      <c r="P6" s="54"/>
      <c r="Q6" s="54"/>
      <c r="R6" s="54"/>
      <c r="S6" s="51"/>
      <c r="T6" s="51"/>
      <c r="U6" s="51"/>
      <c r="V6" s="51"/>
      <c r="W6" s="51"/>
      <c r="X6" s="51"/>
    </row>
    <row r="7" spans="1:24" ht="14.15" customHeight="1">
      <c r="A7" s="37" t="s">
        <v>153</v>
      </c>
      <c r="B7" s="138">
        <v>3277</v>
      </c>
      <c r="C7" s="138">
        <v>3607</v>
      </c>
      <c r="D7" s="138">
        <v>3646</v>
      </c>
      <c r="E7" s="138">
        <v>3806</v>
      </c>
      <c r="F7" s="139">
        <v>4109</v>
      </c>
      <c r="G7" s="53"/>
      <c r="H7" s="53"/>
      <c r="I7" s="54"/>
      <c r="J7" s="54"/>
      <c r="K7" s="54"/>
      <c r="L7" s="54"/>
      <c r="M7" s="54"/>
      <c r="N7" s="54"/>
      <c r="O7" s="54"/>
      <c r="P7" s="54"/>
      <c r="Q7" s="54"/>
      <c r="R7" s="54"/>
      <c r="S7" s="51"/>
      <c r="T7" s="51"/>
      <c r="U7" s="51"/>
      <c r="V7" s="51"/>
      <c r="W7" s="51"/>
      <c r="X7" s="51"/>
    </row>
    <row r="8" spans="1:24" ht="14.5" customHeight="1">
      <c r="A8" s="37" t="s">
        <v>154</v>
      </c>
      <c r="B8" s="138">
        <v>84</v>
      </c>
      <c r="C8" s="138">
        <v>97</v>
      </c>
      <c r="D8" s="138">
        <v>1224</v>
      </c>
      <c r="E8" s="138">
        <v>1466</v>
      </c>
      <c r="F8" s="139">
        <v>1142</v>
      </c>
      <c r="G8" s="53"/>
      <c r="H8" s="53"/>
      <c r="I8" s="54"/>
      <c r="J8" s="54"/>
      <c r="K8" s="54"/>
      <c r="L8" s="54"/>
      <c r="M8" s="54"/>
      <c r="N8" s="54"/>
      <c r="O8" s="54"/>
      <c r="P8" s="54"/>
      <c r="Q8" s="54"/>
      <c r="R8" s="54"/>
      <c r="S8" s="51"/>
      <c r="T8" s="51"/>
      <c r="U8" s="51"/>
      <c r="V8" s="51"/>
      <c r="W8" s="51"/>
      <c r="X8" s="51"/>
    </row>
    <row r="9" spans="1:24">
      <c r="A9" s="37" t="s">
        <v>155</v>
      </c>
      <c r="B9" s="138">
        <v>89910</v>
      </c>
      <c r="C9" s="138">
        <v>103424</v>
      </c>
      <c r="D9" s="138">
        <v>111197</v>
      </c>
      <c r="E9" s="138">
        <v>117306</v>
      </c>
      <c r="F9" s="139">
        <v>130026</v>
      </c>
      <c r="G9" s="53"/>
      <c r="H9" s="53"/>
      <c r="I9" s="54"/>
      <c r="J9" s="54"/>
      <c r="K9" s="54"/>
      <c r="L9" s="54"/>
      <c r="M9" s="54"/>
      <c r="N9" s="54"/>
      <c r="O9" s="54"/>
      <c r="P9" s="54"/>
      <c r="Q9" s="54"/>
      <c r="R9" s="54"/>
      <c r="S9" s="51"/>
      <c r="T9" s="51"/>
      <c r="U9" s="51"/>
      <c r="V9" s="51"/>
      <c r="W9" s="51"/>
      <c r="X9" s="51"/>
    </row>
    <row r="10" spans="1:24">
      <c r="A10" s="37" t="s">
        <v>144</v>
      </c>
      <c r="B10" s="138">
        <v>42400</v>
      </c>
      <c r="C10" s="138">
        <v>59248</v>
      </c>
      <c r="D10" s="138">
        <v>72202</v>
      </c>
      <c r="E10" s="138">
        <v>79031</v>
      </c>
      <c r="F10" s="139">
        <v>92340</v>
      </c>
      <c r="G10" s="53"/>
      <c r="H10" s="53"/>
      <c r="I10" s="54"/>
      <c r="J10" s="54"/>
      <c r="K10" s="54"/>
      <c r="L10" s="54"/>
      <c r="M10" s="54"/>
      <c r="N10" s="54"/>
      <c r="O10" s="54"/>
      <c r="P10" s="54"/>
      <c r="Q10" s="54"/>
      <c r="R10" s="54"/>
      <c r="S10" s="51"/>
      <c r="T10" s="51"/>
      <c r="U10" s="51"/>
      <c r="V10" s="51"/>
      <c r="W10" s="51"/>
      <c r="X10" s="51"/>
    </row>
    <row r="11" spans="1:24">
      <c r="A11" s="37" t="s">
        <v>11</v>
      </c>
      <c r="B11" s="138"/>
      <c r="C11" s="138"/>
      <c r="D11" s="138"/>
      <c r="E11" s="138"/>
      <c r="F11" s="139"/>
      <c r="G11" s="53"/>
      <c r="H11" s="53"/>
      <c r="I11" s="54"/>
      <c r="J11" s="54"/>
      <c r="K11" s="54"/>
      <c r="L11" s="54"/>
      <c r="M11" s="54"/>
      <c r="N11" s="54"/>
      <c r="O11" s="54"/>
      <c r="P11" s="54"/>
      <c r="Q11" s="54"/>
      <c r="R11" s="54"/>
      <c r="S11" s="51"/>
      <c r="T11" s="51"/>
      <c r="U11" s="51"/>
      <c r="V11" s="51"/>
      <c r="W11" s="51"/>
      <c r="X11" s="51"/>
    </row>
    <row r="12" spans="1:24">
      <c r="A12" s="37" t="s">
        <v>156</v>
      </c>
      <c r="B12" s="138">
        <v>1234</v>
      </c>
      <c r="C12" s="138">
        <v>1017</v>
      </c>
      <c r="D12" s="138">
        <v>1207</v>
      </c>
      <c r="E12" s="138">
        <v>1692</v>
      </c>
      <c r="F12" s="139">
        <v>1925</v>
      </c>
      <c r="G12" s="53"/>
      <c r="H12" s="53"/>
      <c r="I12" s="54"/>
      <c r="J12" s="54"/>
      <c r="K12" s="54"/>
      <c r="L12" s="54"/>
      <c r="M12" s="54"/>
      <c r="N12" s="54"/>
      <c r="O12" s="54"/>
      <c r="P12" s="54"/>
      <c r="Q12" s="54"/>
      <c r="R12" s="54"/>
      <c r="S12" s="51"/>
      <c r="T12" s="51"/>
      <c r="U12" s="51"/>
      <c r="V12" s="51"/>
      <c r="W12" s="51"/>
      <c r="X12" s="51"/>
    </row>
    <row r="13" spans="1:24" ht="13.5" customHeight="1">
      <c r="A13" s="37" t="s">
        <v>890</v>
      </c>
      <c r="B13" s="138">
        <v>30</v>
      </c>
      <c r="C13" s="138">
        <v>645</v>
      </c>
      <c r="D13" s="86">
        <v>-145</v>
      </c>
      <c r="E13" s="138">
        <v>-61</v>
      </c>
      <c r="F13" s="139">
        <v>-29</v>
      </c>
      <c r="G13" s="53"/>
      <c r="H13" s="53"/>
      <c r="I13" s="54"/>
      <c r="J13" s="54"/>
      <c r="K13" s="54"/>
      <c r="L13" s="54"/>
      <c r="M13" s="54"/>
      <c r="N13" s="54"/>
      <c r="O13" s="54"/>
      <c r="P13" s="54"/>
      <c r="Q13" s="54"/>
      <c r="R13" s="54"/>
      <c r="S13" s="51"/>
      <c r="T13" s="51"/>
      <c r="U13" s="51"/>
      <c r="V13" s="51"/>
      <c r="W13" s="51"/>
      <c r="X13" s="51"/>
    </row>
    <row r="14" spans="1:24">
      <c r="A14" s="37" t="s">
        <v>157</v>
      </c>
      <c r="B14" s="138">
        <v>-3630</v>
      </c>
      <c r="C14" s="138">
        <v>-4105</v>
      </c>
      <c r="D14" s="138">
        <v>-4267</v>
      </c>
      <c r="E14" s="138">
        <v>-4742</v>
      </c>
      <c r="F14" s="139">
        <v>-5043</v>
      </c>
      <c r="G14" s="53"/>
      <c r="H14" s="53"/>
      <c r="I14" s="54"/>
      <c r="J14" s="54"/>
      <c r="K14" s="54"/>
      <c r="L14" s="54"/>
      <c r="M14" s="54"/>
      <c r="N14" s="54"/>
      <c r="O14" s="54"/>
      <c r="P14" s="54"/>
      <c r="Q14" s="54"/>
      <c r="R14" s="54"/>
      <c r="S14" s="51"/>
      <c r="T14" s="51"/>
      <c r="U14" s="51"/>
      <c r="V14" s="51"/>
      <c r="W14" s="51"/>
      <c r="X14" s="51"/>
    </row>
    <row r="15" spans="1:24" ht="15.65" customHeight="1">
      <c r="A15" s="37" t="s">
        <v>11</v>
      </c>
      <c r="B15" s="138">
        <v>1506</v>
      </c>
      <c r="C15" s="138">
        <v>1146</v>
      </c>
      <c r="D15" s="138">
        <v>-680</v>
      </c>
      <c r="E15" s="138">
        <v>104</v>
      </c>
      <c r="F15" s="139">
        <v>115</v>
      </c>
      <c r="G15" s="53"/>
      <c r="H15" s="53"/>
      <c r="I15" s="54"/>
      <c r="J15" s="54"/>
      <c r="K15" s="54"/>
      <c r="L15" s="54"/>
      <c r="M15" s="54"/>
      <c r="N15" s="54"/>
      <c r="O15" s="54"/>
      <c r="P15" s="54"/>
      <c r="Q15" s="54"/>
      <c r="R15" s="54"/>
      <c r="S15" s="51"/>
      <c r="T15" s="51"/>
      <c r="U15" s="51"/>
      <c r="V15" s="51"/>
      <c r="W15" s="51"/>
      <c r="X15" s="51"/>
    </row>
    <row r="16" spans="1:24">
      <c r="A16" s="37" t="s">
        <v>891</v>
      </c>
      <c r="B16" s="138">
        <v>-860</v>
      </c>
      <c r="C16" s="138">
        <v>-1297</v>
      </c>
      <c r="D16" s="138">
        <v>-3885</v>
      </c>
      <c r="E16" s="138">
        <v>-3007</v>
      </c>
      <c r="F16" s="139">
        <v>-3032</v>
      </c>
      <c r="G16" s="53"/>
      <c r="H16" s="53"/>
      <c r="I16" s="54"/>
      <c r="J16" s="54"/>
      <c r="K16" s="54"/>
      <c r="L16" s="54"/>
      <c r="M16" s="54"/>
      <c r="N16" s="54"/>
      <c r="O16" s="54"/>
      <c r="P16" s="54"/>
      <c r="Q16" s="54"/>
      <c r="R16" s="54"/>
      <c r="S16" s="51"/>
      <c r="T16" s="51"/>
      <c r="U16" s="51"/>
      <c r="V16" s="51"/>
      <c r="W16" s="51"/>
      <c r="X16" s="51"/>
    </row>
    <row r="17" spans="1:24">
      <c r="A17" s="37" t="s">
        <v>893</v>
      </c>
      <c r="B17" s="138">
        <v>41540</v>
      </c>
      <c r="C17" s="138">
        <v>57951</v>
      </c>
      <c r="D17" s="138">
        <v>68317</v>
      </c>
      <c r="E17" s="138">
        <v>76024</v>
      </c>
      <c r="F17" s="139">
        <v>89308</v>
      </c>
      <c r="G17" s="53"/>
      <c r="H17" s="53"/>
      <c r="I17" s="54"/>
      <c r="J17" s="54"/>
      <c r="K17" s="54"/>
      <c r="L17" s="54"/>
      <c r="M17" s="54"/>
      <c r="N17" s="54"/>
      <c r="O17" s="54"/>
      <c r="P17" s="54"/>
      <c r="Q17" s="54"/>
      <c r="R17" s="54"/>
      <c r="S17" s="51"/>
      <c r="T17" s="51"/>
      <c r="U17" s="51"/>
      <c r="V17" s="51"/>
      <c r="W17" s="51"/>
      <c r="X17" s="51"/>
    </row>
    <row r="18" spans="1:24">
      <c r="A18" s="37" t="s">
        <v>160</v>
      </c>
      <c r="B18" s="138">
        <v>8269</v>
      </c>
      <c r="C18" s="138">
        <v>9730</v>
      </c>
      <c r="D18" s="138">
        <v>10165</v>
      </c>
      <c r="E18" s="138">
        <v>12721</v>
      </c>
      <c r="F18" s="139">
        <v>13176</v>
      </c>
      <c r="G18" s="53"/>
      <c r="H18" s="53"/>
      <c r="I18" s="54"/>
      <c r="J18" s="54"/>
      <c r="K18" s="54"/>
      <c r="L18" s="54"/>
      <c r="M18" s="54"/>
      <c r="N18" s="54"/>
      <c r="O18" s="54"/>
      <c r="P18" s="54"/>
      <c r="Q18" s="54"/>
      <c r="R18" s="54"/>
      <c r="S18" s="51"/>
      <c r="T18" s="51"/>
      <c r="U18" s="51"/>
      <c r="V18" s="51"/>
      <c r="W18" s="51"/>
      <c r="X18" s="51"/>
    </row>
    <row r="19" spans="1:24">
      <c r="A19" s="207" t="s">
        <v>896</v>
      </c>
      <c r="B19" s="208">
        <v>33271</v>
      </c>
      <c r="C19" s="208">
        <v>48221</v>
      </c>
      <c r="D19" s="208">
        <v>58152</v>
      </c>
      <c r="E19" s="208">
        <v>63303</v>
      </c>
      <c r="F19" s="209">
        <v>76132</v>
      </c>
      <c r="G19" s="53"/>
      <c r="H19" s="53"/>
      <c r="I19" s="54"/>
      <c r="J19" s="54"/>
      <c r="K19" s="54"/>
      <c r="L19" s="54"/>
      <c r="M19" s="54"/>
      <c r="N19" s="54"/>
      <c r="O19" s="54"/>
      <c r="P19" s="54"/>
      <c r="Q19" s="54"/>
      <c r="R19" s="54"/>
      <c r="S19" s="51"/>
      <c r="T19" s="51"/>
      <c r="U19" s="51"/>
      <c r="V19" s="51"/>
      <c r="W19" s="51"/>
      <c r="X19" s="51"/>
    </row>
    <row r="20" spans="1:24">
      <c r="A20" s="37" t="s">
        <v>894</v>
      </c>
      <c r="B20" s="138">
        <v>4.2</v>
      </c>
      <c r="C20" s="138">
        <v>6.1</v>
      </c>
      <c r="D20" s="138">
        <v>7.3</v>
      </c>
      <c r="E20" s="138">
        <v>8.4</v>
      </c>
      <c r="F20" s="139">
        <v>9.9</v>
      </c>
      <c r="G20" s="53"/>
      <c r="H20" s="53"/>
      <c r="I20" s="54"/>
      <c r="J20" s="54"/>
      <c r="K20" s="54"/>
      <c r="L20" s="54"/>
      <c r="M20" s="54"/>
      <c r="N20" s="54"/>
      <c r="O20" s="54"/>
      <c r="P20" s="54"/>
      <c r="Q20" s="54"/>
      <c r="R20" s="54"/>
      <c r="S20" s="51"/>
      <c r="T20" s="51"/>
      <c r="U20" s="51"/>
      <c r="V20" s="51"/>
      <c r="W20" s="51"/>
      <c r="X20" s="51"/>
    </row>
    <row r="21" spans="1:24">
      <c r="A21" s="32" t="s">
        <v>895</v>
      </c>
      <c r="B21" s="141">
        <v>4.0999999999999996</v>
      </c>
      <c r="C21" s="141">
        <v>6</v>
      </c>
      <c r="D21" s="141">
        <v>7.2</v>
      </c>
      <c r="E21" s="141">
        <v>8.3000000000000007</v>
      </c>
      <c r="F21" s="142">
        <v>9.8000000000000007</v>
      </c>
      <c r="G21" s="53"/>
      <c r="H21" s="53"/>
      <c r="I21" s="54"/>
      <c r="J21" s="54"/>
      <c r="K21" s="54"/>
      <c r="L21" s="54"/>
      <c r="M21" s="54"/>
      <c r="N21" s="54"/>
      <c r="O21" s="54"/>
      <c r="P21" s="54"/>
      <c r="Q21" s="54"/>
      <c r="R21" s="54"/>
      <c r="S21" s="51"/>
      <c r="T21" s="51"/>
      <c r="U21" s="51"/>
      <c r="V21" s="51"/>
      <c r="W21" s="51"/>
      <c r="X21" s="51"/>
    </row>
    <row r="22" spans="1:24">
      <c r="A22" s="38" t="s">
        <v>139</v>
      </c>
      <c r="B22" s="138">
        <f>B7+B10</f>
        <v>45677</v>
      </c>
      <c r="C22" s="138">
        <f>C7+C10</f>
        <v>62855</v>
      </c>
      <c r="D22" s="138">
        <f>D7+D10</f>
        <v>75848</v>
      </c>
      <c r="E22" s="138">
        <f>E7+E10</f>
        <v>82837</v>
      </c>
      <c r="F22" s="138">
        <f>F7+F10</f>
        <v>96449</v>
      </c>
      <c r="G22" s="53"/>
      <c r="H22" s="53"/>
      <c r="I22" s="54"/>
      <c r="J22" s="54"/>
      <c r="K22" s="54"/>
      <c r="L22" s="54"/>
      <c r="M22" s="54"/>
      <c r="N22" s="54"/>
      <c r="O22" s="54"/>
      <c r="P22" s="54"/>
      <c r="Q22" s="54"/>
      <c r="R22" s="54"/>
      <c r="S22" s="51"/>
      <c r="T22" s="51"/>
      <c r="U22" s="51"/>
      <c r="V22" s="51"/>
      <c r="W22" s="51"/>
      <c r="X22" s="51"/>
    </row>
    <row r="23" spans="1:24">
      <c r="A23" s="37" t="s">
        <v>493</v>
      </c>
      <c r="B23" s="130">
        <f>B10/B3</f>
        <v>0.32045952686871743</v>
      </c>
      <c r="C23" s="130">
        <f>C10/C3</f>
        <v>0.36421756663715943</v>
      </c>
      <c r="D23" s="130">
        <f>D10/D3</f>
        <v>0.39368807899715919</v>
      </c>
      <c r="E23" s="130">
        <f>E10/E3</f>
        <v>0.40252728726628195</v>
      </c>
      <c r="F23" s="130">
        <f>F10/F3</f>
        <v>0.41526132592212839</v>
      </c>
      <c r="G23" s="53"/>
      <c r="H23" s="53"/>
      <c r="I23" s="54"/>
      <c r="J23" s="54"/>
      <c r="K23" s="54"/>
      <c r="L23" s="54"/>
      <c r="M23" s="54"/>
      <c r="N23" s="54"/>
      <c r="O23" s="54"/>
      <c r="P23" s="54"/>
      <c r="Q23" s="54"/>
      <c r="R23" s="54"/>
      <c r="S23" s="51"/>
      <c r="T23" s="51"/>
      <c r="U23" s="51"/>
      <c r="V23" s="51"/>
      <c r="W23" s="51"/>
      <c r="X23" s="51"/>
    </row>
    <row r="24" spans="1:24">
      <c r="A24" s="37" t="s">
        <v>1605</v>
      </c>
      <c r="B24" s="130">
        <f>B22/B3</f>
        <v>0.34522711813166052</v>
      </c>
      <c r="C24" s="130">
        <f>C22/C3</f>
        <v>0.38639101996655845</v>
      </c>
      <c r="D24" s="130">
        <f>D22/D3</f>
        <v>0.41356823101543627</v>
      </c>
      <c r="E24" s="130">
        <f>E22/E3</f>
        <v>0.42191232421805364</v>
      </c>
      <c r="F24" s="130">
        <f>F22/F3</f>
        <v>0.43373987030391337</v>
      </c>
      <c r="G24" s="53"/>
      <c r="H24" s="53"/>
      <c r="I24" s="54"/>
      <c r="J24" s="54"/>
      <c r="K24" s="54"/>
      <c r="L24" s="54"/>
      <c r="M24" s="54"/>
      <c r="N24" s="54"/>
      <c r="O24" s="54"/>
      <c r="P24" s="54"/>
      <c r="Q24" s="54"/>
      <c r="R24" s="54"/>
      <c r="S24" s="51"/>
      <c r="T24" s="51"/>
      <c r="U24" s="51"/>
      <c r="V24" s="51"/>
      <c r="W24" s="51"/>
      <c r="X24" s="51"/>
    </row>
    <row r="25" spans="1:24">
      <c r="A25" s="37" t="s">
        <v>141</v>
      </c>
      <c r="B25" s="130">
        <f>B19/B3</f>
        <v>0.25146247449172399</v>
      </c>
      <c r="C25" s="130">
        <f>C19/C3</f>
        <v>0.29643085472607456</v>
      </c>
      <c r="D25" s="130">
        <f>D19/D3</f>
        <v>0.31707915528437997</v>
      </c>
      <c r="E25" s="130">
        <f>E19/E3</f>
        <v>0.3224201245817141</v>
      </c>
      <c r="F25" s="130">
        <f>F19/F3</f>
        <v>0.34237248500220357</v>
      </c>
      <c r="G25" s="53"/>
      <c r="H25" s="53"/>
      <c r="I25" s="54"/>
      <c r="J25" s="54"/>
      <c r="K25" s="54"/>
      <c r="L25" s="54"/>
      <c r="M25" s="54"/>
      <c r="N25" s="54"/>
      <c r="O25" s="54"/>
      <c r="P25" s="54"/>
      <c r="Q25" s="54"/>
      <c r="R25" s="54"/>
      <c r="S25" s="51"/>
      <c r="T25" s="51"/>
      <c r="U25" s="51"/>
      <c r="V25" s="51"/>
      <c r="W25" s="51"/>
      <c r="X25" s="51"/>
    </row>
    <row r="26" spans="1:24">
      <c r="A26" s="25" t="s">
        <v>273</v>
      </c>
      <c r="B26" s="143">
        <f>SUM(B3:B21)</f>
        <v>372516.3</v>
      </c>
      <c r="C26" s="143">
        <f>SUM(C3:C21)</f>
        <v>469110.1</v>
      </c>
      <c r="D26" s="143">
        <f>SUM(D3:D21)</f>
        <v>527748.5</v>
      </c>
      <c r="E26" s="143">
        <f>SUM(E3:E21)</f>
        <v>572618.70000000007</v>
      </c>
      <c r="F26" s="143">
        <f>SUM(F3:F21)</f>
        <v>653078.70000000007</v>
      </c>
      <c r="G26" s="53"/>
      <c r="H26" s="53"/>
      <c r="I26" s="54"/>
      <c r="J26" s="54"/>
      <c r="K26" s="54"/>
      <c r="L26" s="54"/>
      <c r="M26" s="54"/>
      <c r="N26" s="54"/>
      <c r="O26" s="54"/>
      <c r="P26" s="54"/>
      <c r="Q26" s="54"/>
      <c r="R26" s="54"/>
      <c r="S26" s="51"/>
      <c r="T26" s="51"/>
      <c r="U26" s="51"/>
      <c r="V26" s="51"/>
      <c r="W26" s="51"/>
      <c r="X26" s="51"/>
    </row>
    <row r="27" spans="1:24">
      <c r="A27" s="53"/>
      <c r="B27" s="53"/>
      <c r="C27" s="53"/>
      <c r="D27" s="53"/>
      <c r="E27" s="53"/>
      <c r="F27" s="53"/>
      <c r="G27" s="53"/>
      <c r="H27" s="53"/>
      <c r="I27" s="54"/>
      <c r="J27" s="54"/>
      <c r="K27" s="54"/>
      <c r="L27" s="54"/>
      <c r="M27" s="54"/>
      <c r="N27" s="54"/>
      <c r="O27" s="54"/>
      <c r="P27" s="54"/>
      <c r="Q27" s="54"/>
      <c r="R27" s="54"/>
      <c r="S27" s="51"/>
      <c r="T27" s="51"/>
      <c r="U27" s="51"/>
      <c r="V27" s="51"/>
      <c r="W27" s="51"/>
      <c r="X27" s="51"/>
    </row>
    <row r="28" spans="1:24">
      <c r="A28" s="53"/>
      <c r="B28" s="53"/>
      <c r="C28" s="53"/>
      <c r="D28" s="53"/>
      <c r="E28" s="53"/>
      <c r="F28" s="53"/>
      <c r="G28" s="53"/>
      <c r="H28" s="53"/>
      <c r="I28" s="54"/>
      <c r="J28" s="54"/>
      <c r="K28" s="54"/>
      <c r="L28" s="54"/>
      <c r="M28" s="54"/>
      <c r="N28" s="54"/>
      <c r="O28" s="54"/>
      <c r="P28" s="54"/>
      <c r="Q28" s="54"/>
      <c r="R28" s="54"/>
      <c r="S28" s="51"/>
      <c r="T28" s="51"/>
      <c r="U28" s="51"/>
      <c r="V28" s="51"/>
      <c r="W28" s="51"/>
      <c r="X28" s="51"/>
    </row>
    <row r="29" spans="1:24">
      <c r="A29" s="53"/>
      <c r="B29" s="53"/>
      <c r="C29" s="53"/>
      <c r="D29" s="53"/>
      <c r="E29" s="53"/>
      <c r="F29" s="53"/>
      <c r="G29" s="53"/>
      <c r="H29" s="53"/>
      <c r="I29" s="54"/>
      <c r="J29" s="54"/>
      <c r="K29" s="54"/>
      <c r="L29" s="54"/>
      <c r="M29" s="54"/>
      <c r="N29" s="54"/>
      <c r="O29" s="54"/>
      <c r="P29" s="54"/>
      <c r="Q29" s="54"/>
      <c r="R29" s="54"/>
      <c r="S29" s="51"/>
      <c r="T29" s="51"/>
      <c r="U29" s="51"/>
      <c r="V29" s="51"/>
      <c r="W29" s="51"/>
      <c r="X29" s="51"/>
    </row>
    <row r="30" spans="1:24">
      <c r="A30" s="53"/>
      <c r="B30" s="53"/>
      <c r="C30" s="53"/>
      <c r="D30" s="53"/>
      <c r="E30" s="53"/>
      <c r="F30" s="53"/>
      <c r="G30" s="53"/>
      <c r="H30" s="53"/>
      <c r="I30" s="54"/>
      <c r="J30" s="54"/>
      <c r="K30" s="54"/>
      <c r="L30" s="54"/>
      <c r="M30" s="54"/>
      <c r="N30" s="54"/>
      <c r="O30" s="54"/>
      <c r="P30" s="54"/>
      <c r="Q30" s="54"/>
      <c r="R30" s="54"/>
      <c r="S30" s="51"/>
      <c r="T30" s="51"/>
      <c r="U30" s="51"/>
      <c r="V30" s="51"/>
      <c r="W30" s="51"/>
      <c r="X30" s="51"/>
    </row>
    <row r="31" spans="1:24">
      <c r="A31" s="53"/>
      <c r="B31" s="53"/>
      <c r="C31" s="53"/>
      <c r="D31" s="53"/>
      <c r="E31" s="53"/>
      <c r="F31" s="53"/>
      <c r="G31" s="53"/>
      <c r="H31" s="53"/>
      <c r="I31" s="54"/>
      <c r="J31" s="54"/>
      <c r="K31" s="54"/>
      <c r="L31" s="54"/>
      <c r="M31" s="54"/>
      <c r="N31" s="54"/>
      <c r="O31" s="54"/>
      <c r="P31" s="54"/>
      <c r="Q31" s="54"/>
      <c r="R31" s="54"/>
      <c r="S31" s="51"/>
      <c r="T31" s="51"/>
      <c r="U31" s="51"/>
      <c r="V31" s="51"/>
      <c r="W31" s="51"/>
      <c r="X31" s="51"/>
    </row>
    <row r="32" spans="1:24">
      <c r="A32" s="53"/>
      <c r="B32" s="53"/>
      <c r="C32" s="53"/>
      <c r="D32" s="53"/>
      <c r="E32" s="53"/>
      <c r="F32" s="53"/>
      <c r="G32" s="54"/>
      <c r="H32" s="54"/>
      <c r="I32" s="54"/>
      <c r="J32" s="54"/>
      <c r="K32" s="54"/>
      <c r="L32" s="54"/>
      <c r="M32" s="54"/>
      <c r="N32" s="54"/>
      <c r="O32" s="54"/>
      <c r="P32" s="54"/>
      <c r="Q32" s="54"/>
      <c r="R32" s="54"/>
      <c r="S32" s="51"/>
      <c r="T32" s="51"/>
      <c r="U32" s="51"/>
      <c r="V32" s="51"/>
      <c r="W32" s="51"/>
      <c r="X32" s="51"/>
    </row>
    <row r="33" spans="1:24">
      <c r="A33" s="54"/>
      <c r="B33" s="54"/>
      <c r="C33" s="54"/>
      <c r="D33" s="54"/>
      <c r="E33" s="54"/>
      <c r="F33" s="54"/>
      <c r="G33" s="54"/>
      <c r="H33" s="54"/>
      <c r="I33" s="54"/>
      <c r="J33" s="54"/>
      <c r="K33" s="54"/>
      <c r="L33" s="54"/>
      <c r="M33" s="54"/>
      <c r="N33" s="54"/>
      <c r="O33" s="54"/>
      <c r="P33" s="54"/>
      <c r="Q33" s="54"/>
      <c r="R33" s="54"/>
      <c r="S33" s="51"/>
      <c r="T33" s="51"/>
      <c r="U33" s="51"/>
      <c r="V33" s="51"/>
      <c r="W33" s="51"/>
      <c r="X33" s="51"/>
    </row>
    <row r="34" spans="1:24">
      <c r="A34" s="54"/>
      <c r="B34" s="54"/>
      <c r="C34" s="54"/>
      <c r="D34" s="54"/>
      <c r="E34" s="54"/>
      <c r="F34" s="54"/>
      <c r="G34" s="54"/>
      <c r="H34" s="54"/>
      <c r="I34" s="54"/>
      <c r="J34" s="54"/>
      <c r="K34" s="54"/>
      <c r="L34" s="54"/>
      <c r="M34" s="54"/>
      <c r="N34" s="54"/>
      <c r="O34" s="54"/>
      <c r="P34" s="54"/>
      <c r="Q34" s="54"/>
      <c r="R34" s="54"/>
      <c r="S34" s="51"/>
      <c r="T34" s="51"/>
      <c r="U34" s="51"/>
      <c r="V34" s="51"/>
      <c r="W34" s="51"/>
      <c r="X34" s="51"/>
    </row>
    <row r="35" spans="1:24">
      <c r="A35" s="54"/>
      <c r="B35" s="54"/>
      <c r="C35" s="54"/>
      <c r="D35" s="54"/>
      <c r="E35" s="54"/>
      <c r="F35" s="54"/>
      <c r="G35" s="54"/>
      <c r="H35" s="54"/>
      <c r="I35" s="54"/>
      <c r="J35" s="54"/>
      <c r="K35" s="54"/>
      <c r="L35" s="54"/>
      <c r="M35" s="54"/>
      <c r="N35" s="54"/>
      <c r="O35" s="54"/>
      <c r="P35" s="54"/>
      <c r="Q35" s="54"/>
      <c r="R35" s="54"/>
      <c r="S35" s="51"/>
      <c r="T35" s="51"/>
      <c r="U35" s="51"/>
      <c r="V35" s="51"/>
      <c r="W35" s="51"/>
      <c r="X35" s="51"/>
    </row>
    <row r="36" spans="1:24">
      <c r="A36" s="54"/>
      <c r="B36" s="54"/>
      <c r="C36" s="54"/>
      <c r="D36" s="54"/>
      <c r="E36" s="54"/>
      <c r="F36" s="54"/>
      <c r="G36" s="54"/>
      <c r="H36" s="54"/>
      <c r="I36" s="54"/>
      <c r="J36" s="54"/>
      <c r="K36" s="54"/>
      <c r="L36" s="54"/>
      <c r="M36" s="54"/>
      <c r="N36" s="54"/>
      <c r="O36" s="54"/>
      <c r="P36" s="54"/>
      <c r="Q36" s="54"/>
      <c r="R36" s="54"/>
      <c r="S36" s="51"/>
      <c r="T36" s="51"/>
      <c r="U36" s="51"/>
      <c r="V36" s="51"/>
      <c r="W36" s="51"/>
      <c r="X36" s="51"/>
    </row>
    <row r="37" spans="1:24">
      <c r="A37" s="54"/>
      <c r="B37" s="54"/>
      <c r="C37" s="54"/>
      <c r="D37" s="54"/>
      <c r="E37" s="54"/>
      <c r="F37" s="54"/>
      <c r="G37" s="54"/>
      <c r="H37" s="54"/>
      <c r="I37" s="54"/>
      <c r="J37" s="54"/>
      <c r="K37" s="54"/>
      <c r="L37" s="54"/>
      <c r="M37" s="54"/>
      <c r="N37" s="54"/>
      <c r="O37" s="54"/>
      <c r="P37" s="54"/>
      <c r="Q37" s="54"/>
      <c r="R37" s="54"/>
      <c r="S37" s="51"/>
      <c r="T37" s="51"/>
      <c r="U37" s="51"/>
      <c r="V37" s="51"/>
      <c r="W37" s="51"/>
      <c r="X37" s="51"/>
    </row>
    <row r="38" spans="1:24">
      <c r="A38" s="54"/>
      <c r="B38" s="54"/>
      <c r="C38" s="54"/>
      <c r="D38" s="54"/>
      <c r="E38" s="54"/>
      <c r="F38" s="54"/>
      <c r="G38" s="54"/>
      <c r="H38" s="54"/>
      <c r="I38" s="54"/>
      <c r="J38" s="54"/>
      <c r="K38" s="54"/>
      <c r="L38" s="54"/>
      <c r="M38" s="54"/>
      <c r="N38" s="54"/>
      <c r="O38" s="54"/>
      <c r="P38" s="54"/>
      <c r="Q38" s="54"/>
      <c r="R38" s="54"/>
      <c r="S38" s="51"/>
      <c r="T38" s="51"/>
      <c r="U38" s="51"/>
      <c r="V38" s="51"/>
      <c r="W38" s="51"/>
      <c r="X38" s="51"/>
    </row>
    <row r="39" spans="1:24">
      <c r="A39" s="54"/>
      <c r="B39" s="54"/>
      <c r="C39" s="54"/>
      <c r="D39" s="54"/>
      <c r="E39" s="54"/>
      <c r="F39" s="54"/>
      <c r="G39" s="54"/>
      <c r="H39" s="54"/>
      <c r="I39" s="54"/>
      <c r="J39" s="54"/>
      <c r="K39" s="54"/>
      <c r="L39" s="54"/>
      <c r="M39" s="54"/>
      <c r="N39" s="54"/>
      <c r="O39" s="54"/>
      <c r="P39" s="54"/>
      <c r="Q39" s="54"/>
      <c r="R39" s="54"/>
      <c r="S39" s="51"/>
      <c r="T39" s="51"/>
      <c r="U39" s="51"/>
      <c r="V39" s="51"/>
      <c r="W39" s="51"/>
      <c r="X39" s="51"/>
    </row>
    <row r="40" spans="1:24">
      <c r="A40" s="54"/>
      <c r="B40" s="54"/>
      <c r="C40" s="54"/>
      <c r="D40" s="54"/>
      <c r="E40" s="54"/>
      <c r="F40" s="54"/>
      <c r="G40" s="54"/>
      <c r="H40" s="54"/>
      <c r="I40" s="54"/>
      <c r="J40" s="54"/>
      <c r="K40" s="54"/>
      <c r="L40" s="54"/>
      <c r="M40" s="54"/>
      <c r="N40" s="54"/>
      <c r="O40" s="54"/>
      <c r="P40" s="54"/>
      <c r="Q40" s="54"/>
      <c r="R40" s="54"/>
      <c r="S40" s="51"/>
      <c r="T40" s="51"/>
      <c r="U40" s="51"/>
      <c r="V40" s="51"/>
      <c r="W40" s="51"/>
      <c r="X40" s="51"/>
    </row>
    <row r="41" spans="1:24">
      <c r="A41" s="54"/>
      <c r="B41" s="54"/>
      <c r="C41" s="54"/>
      <c r="D41" s="54"/>
      <c r="E41" s="54"/>
      <c r="F41" s="54"/>
      <c r="G41" s="54"/>
      <c r="H41" s="54"/>
      <c r="I41" s="54"/>
      <c r="J41" s="54"/>
      <c r="K41" s="54"/>
      <c r="L41" s="54"/>
      <c r="M41" s="54"/>
      <c r="N41" s="54"/>
      <c r="O41" s="54"/>
      <c r="P41" s="54"/>
      <c r="Q41" s="54"/>
      <c r="R41" s="54"/>
      <c r="S41" s="51"/>
      <c r="T41" s="51"/>
      <c r="U41" s="51"/>
      <c r="V41" s="51"/>
      <c r="W41" s="51"/>
      <c r="X41" s="51"/>
    </row>
    <row r="42" spans="1:24">
      <c r="A42" s="54"/>
      <c r="B42" s="54"/>
      <c r="C42" s="54"/>
      <c r="D42" s="54"/>
      <c r="E42" s="54"/>
      <c r="F42" s="54"/>
      <c r="G42" s="54"/>
      <c r="H42" s="54"/>
      <c r="I42" s="54"/>
      <c r="J42" s="54"/>
      <c r="K42" s="54"/>
      <c r="L42" s="54"/>
      <c r="M42" s="54"/>
      <c r="N42" s="54"/>
      <c r="O42" s="54"/>
      <c r="P42" s="54"/>
      <c r="Q42" s="54"/>
      <c r="R42" s="54"/>
      <c r="S42" s="51"/>
      <c r="T42" s="51"/>
      <c r="U42" s="51"/>
      <c r="V42" s="51"/>
      <c r="W42" s="51"/>
      <c r="X42" s="51"/>
    </row>
    <row r="43" spans="1:24">
      <c r="A43" s="54"/>
      <c r="B43" s="54"/>
      <c r="C43" s="54"/>
      <c r="D43" s="54"/>
      <c r="E43" s="54"/>
      <c r="F43" s="54"/>
      <c r="G43" s="54"/>
      <c r="H43" s="54"/>
      <c r="I43" s="54"/>
      <c r="J43" s="54"/>
      <c r="K43" s="54"/>
      <c r="L43" s="54"/>
      <c r="M43" s="54"/>
      <c r="N43" s="54"/>
      <c r="O43" s="54"/>
      <c r="P43" s="54"/>
      <c r="Q43" s="54"/>
      <c r="R43" s="54"/>
      <c r="S43" s="51"/>
      <c r="T43" s="51"/>
      <c r="U43" s="51"/>
      <c r="V43" s="51"/>
      <c r="W43" s="51"/>
      <c r="X43" s="51"/>
    </row>
    <row r="44" spans="1:24">
      <c r="A44" s="54"/>
      <c r="B44" s="54"/>
      <c r="C44" s="54"/>
      <c r="D44" s="54"/>
      <c r="E44" s="54"/>
      <c r="F44" s="54"/>
      <c r="G44" s="54"/>
      <c r="H44" s="54"/>
      <c r="I44" s="54"/>
      <c r="J44" s="54"/>
      <c r="K44" s="54"/>
      <c r="L44" s="54"/>
      <c r="M44" s="54"/>
      <c r="N44" s="54"/>
      <c r="O44" s="54"/>
      <c r="P44" s="54"/>
      <c r="Q44" s="54"/>
      <c r="R44" s="54"/>
      <c r="S44" s="51"/>
      <c r="T44" s="51"/>
      <c r="U44" s="51"/>
      <c r="V44" s="51"/>
      <c r="W44" s="51"/>
      <c r="X44" s="51"/>
    </row>
    <row r="45" spans="1:24">
      <c r="A45" s="54"/>
      <c r="B45" s="54"/>
      <c r="C45" s="54"/>
      <c r="D45" s="54"/>
      <c r="E45" s="54"/>
      <c r="F45" s="54"/>
      <c r="G45" s="54"/>
      <c r="H45" s="54"/>
      <c r="I45" s="54"/>
      <c r="J45" s="54"/>
      <c r="K45" s="54"/>
      <c r="L45" s="54"/>
      <c r="M45" s="54"/>
      <c r="N45" s="54"/>
      <c r="O45" s="54"/>
      <c r="P45" s="54"/>
      <c r="Q45" s="54"/>
      <c r="R45" s="54"/>
      <c r="S45" s="51"/>
      <c r="T45" s="51"/>
      <c r="U45" s="51"/>
      <c r="V45" s="51"/>
      <c r="W45" s="51"/>
      <c r="X45" s="51"/>
    </row>
    <row r="46" spans="1:24">
      <c r="A46" s="54"/>
      <c r="B46" s="54"/>
      <c r="C46" s="54"/>
      <c r="D46" s="54"/>
      <c r="E46" s="54"/>
      <c r="F46" s="54"/>
      <c r="G46" s="54"/>
      <c r="H46" s="54"/>
      <c r="I46" s="54"/>
      <c r="J46" s="54"/>
      <c r="K46" s="54"/>
      <c r="L46" s="54"/>
      <c r="M46" s="54"/>
      <c r="N46" s="54"/>
      <c r="O46" s="54"/>
      <c r="P46" s="54"/>
      <c r="Q46" s="54"/>
      <c r="R46" s="54"/>
      <c r="S46" s="51"/>
      <c r="T46" s="51"/>
      <c r="U46" s="51"/>
      <c r="V46" s="51"/>
      <c r="W46" s="51"/>
      <c r="X46" s="51"/>
    </row>
    <row r="47" spans="1:24">
      <c r="A47" s="54"/>
      <c r="B47" s="54"/>
      <c r="C47" s="54"/>
      <c r="D47" s="54"/>
      <c r="E47" s="54"/>
      <c r="F47" s="54"/>
      <c r="G47" s="54"/>
      <c r="H47" s="54"/>
      <c r="I47" s="54"/>
      <c r="J47" s="54"/>
      <c r="K47" s="54"/>
      <c r="L47" s="54"/>
      <c r="M47" s="54"/>
      <c r="N47" s="54"/>
      <c r="O47" s="54"/>
      <c r="P47" s="54"/>
      <c r="Q47" s="54"/>
      <c r="R47" s="54"/>
      <c r="S47" s="51"/>
      <c r="T47" s="51"/>
      <c r="U47" s="51"/>
      <c r="V47" s="51"/>
      <c r="W47" s="51"/>
      <c r="X47" s="51"/>
    </row>
    <row r="48" spans="1:24">
      <c r="A48" s="54"/>
      <c r="B48" s="54"/>
      <c r="C48" s="54"/>
      <c r="D48" s="54"/>
      <c r="E48" s="54"/>
      <c r="F48" s="54"/>
      <c r="G48" s="54"/>
      <c r="H48" s="54"/>
      <c r="I48" s="54"/>
      <c r="J48" s="54"/>
      <c r="K48" s="54"/>
      <c r="L48" s="54"/>
      <c r="M48" s="54"/>
      <c r="N48" s="54"/>
      <c r="O48" s="54"/>
      <c r="P48" s="54"/>
      <c r="Q48" s="54"/>
      <c r="R48" s="54"/>
      <c r="S48" s="51"/>
      <c r="T48" s="51"/>
      <c r="U48" s="51"/>
      <c r="V48" s="51"/>
      <c r="W48" s="51"/>
      <c r="X48" s="51"/>
    </row>
    <row r="49" spans="1:24">
      <c r="A49" s="54"/>
      <c r="B49" s="54"/>
      <c r="C49" s="54"/>
      <c r="D49" s="54"/>
      <c r="E49" s="54"/>
      <c r="F49" s="54"/>
      <c r="G49" s="54"/>
      <c r="H49" s="54"/>
      <c r="I49" s="54"/>
      <c r="J49" s="54"/>
      <c r="K49" s="54"/>
      <c r="L49" s="54"/>
      <c r="M49" s="54"/>
      <c r="N49" s="54"/>
      <c r="O49" s="54"/>
      <c r="P49" s="54"/>
      <c r="Q49" s="54"/>
      <c r="R49" s="54"/>
      <c r="S49" s="51"/>
      <c r="T49" s="51"/>
      <c r="U49" s="51"/>
      <c r="V49" s="51"/>
      <c r="W49" s="51"/>
      <c r="X49" s="51"/>
    </row>
    <row r="50" spans="1:24">
      <c r="A50" s="54"/>
      <c r="B50" s="54"/>
      <c r="C50" s="54"/>
      <c r="D50" s="54"/>
      <c r="E50" s="54"/>
      <c r="F50" s="54"/>
      <c r="G50" s="54"/>
      <c r="H50" s="54"/>
      <c r="I50" s="54"/>
      <c r="J50" s="54"/>
      <c r="K50" s="54"/>
      <c r="L50" s="54"/>
      <c r="M50" s="54"/>
      <c r="N50" s="54"/>
      <c r="O50" s="54"/>
      <c r="P50" s="54"/>
      <c r="Q50" s="54"/>
      <c r="R50" s="54"/>
      <c r="S50" s="51"/>
      <c r="T50" s="51"/>
      <c r="U50" s="51"/>
      <c r="V50" s="51"/>
      <c r="W50" s="51"/>
      <c r="X50" s="51"/>
    </row>
    <row r="51" spans="1:24">
      <c r="A51" s="54"/>
      <c r="B51" s="54"/>
      <c r="C51" s="54"/>
      <c r="D51" s="54"/>
      <c r="E51" s="54"/>
      <c r="F51" s="54"/>
      <c r="G51" s="54"/>
      <c r="H51" s="54"/>
      <c r="I51" s="54"/>
      <c r="J51" s="54"/>
      <c r="K51" s="54"/>
      <c r="L51" s="54"/>
      <c r="M51" s="54"/>
      <c r="N51" s="54"/>
      <c r="O51" s="54"/>
      <c r="P51" s="54"/>
      <c r="Q51" s="54"/>
      <c r="R51" s="54"/>
      <c r="S51" s="51"/>
      <c r="T51" s="51"/>
      <c r="U51" s="51"/>
      <c r="V51" s="51"/>
      <c r="W51" s="51"/>
      <c r="X51" s="51"/>
    </row>
    <row r="52" spans="1:24">
      <c r="A52" s="54"/>
      <c r="B52" s="54"/>
      <c r="C52" s="54"/>
      <c r="D52" s="54"/>
      <c r="E52" s="54"/>
      <c r="F52" s="54"/>
      <c r="G52" s="54"/>
      <c r="H52" s="54"/>
      <c r="I52" s="54"/>
      <c r="J52" s="54"/>
      <c r="K52" s="54"/>
      <c r="L52" s="54"/>
      <c r="M52" s="54"/>
      <c r="N52" s="54"/>
      <c r="O52" s="54"/>
      <c r="P52" s="54"/>
      <c r="Q52" s="54"/>
      <c r="R52" s="54"/>
      <c r="S52" s="51"/>
      <c r="T52" s="51"/>
      <c r="U52" s="51"/>
      <c r="V52" s="51"/>
      <c r="W52" s="51"/>
      <c r="X52" s="51"/>
    </row>
    <row r="53" spans="1:24">
      <c r="A53" s="54"/>
      <c r="B53" s="54"/>
      <c r="C53" s="54"/>
      <c r="D53" s="54"/>
      <c r="E53" s="54"/>
      <c r="F53" s="54"/>
      <c r="G53" s="54"/>
      <c r="H53" s="54"/>
      <c r="I53" s="54"/>
      <c r="J53" s="54"/>
      <c r="K53" s="54"/>
      <c r="L53" s="54"/>
      <c r="M53" s="54"/>
      <c r="N53" s="54"/>
      <c r="O53" s="54"/>
      <c r="P53" s="54"/>
      <c r="Q53" s="54"/>
      <c r="R53" s="54"/>
      <c r="S53" s="51"/>
      <c r="T53" s="51"/>
      <c r="U53" s="51"/>
      <c r="V53" s="51"/>
      <c r="W53" s="51"/>
      <c r="X53" s="51"/>
    </row>
    <row r="54" spans="1:24">
      <c r="A54" s="54"/>
      <c r="B54" s="54"/>
      <c r="C54" s="54"/>
      <c r="D54" s="54"/>
      <c r="E54" s="54"/>
      <c r="F54" s="54"/>
      <c r="G54" s="54"/>
      <c r="H54" s="54"/>
      <c r="I54" s="54"/>
      <c r="J54" s="54"/>
      <c r="K54" s="54"/>
      <c r="L54" s="54"/>
      <c r="M54" s="54"/>
      <c r="N54" s="54"/>
      <c r="O54" s="54"/>
      <c r="P54" s="54"/>
      <c r="Q54" s="54"/>
      <c r="R54" s="54"/>
      <c r="S54" s="51"/>
      <c r="T54" s="51"/>
      <c r="U54" s="51"/>
      <c r="V54" s="51"/>
      <c r="W54" s="51"/>
      <c r="X54" s="51"/>
    </row>
    <row r="55" spans="1:24">
      <c r="A55" s="54"/>
      <c r="B55" s="54"/>
      <c r="C55" s="54"/>
      <c r="D55" s="54"/>
      <c r="E55" s="54"/>
      <c r="F55" s="54"/>
      <c r="G55" s="54"/>
      <c r="H55" s="54"/>
      <c r="I55" s="54"/>
      <c r="J55" s="54"/>
      <c r="K55" s="54"/>
      <c r="L55" s="54"/>
      <c r="M55" s="54"/>
      <c r="N55" s="54"/>
      <c r="O55" s="54"/>
      <c r="P55" s="54"/>
      <c r="Q55" s="54"/>
      <c r="R55" s="54"/>
      <c r="S55" s="51"/>
      <c r="T55" s="51"/>
      <c r="U55" s="51"/>
      <c r="V55" s="51"/>
      <c r="W55" s="51"/>
      <c r="X55" s="51"/>
    </row>
    <row r="56" spans="1:24">
      <c r="A56" s="54"/>
      <c r="B56" s="54"/>
      <c r="C56" s="54"/>
      <c r="D56" s="54"/>
      <c r="E56" s="54"/>
      <c r="F56" s="54"/>
      <c r="G56" s="54"/>
      <c r="H56" s="54"/>
      <c r="I56" s="54"/>
      <c r="J56" s="54"/>
      <c r="K56" s="54"/>
      <c r="L56" s="54"/>
      <c r="M56" s="54"/>
      <c r="N56" s="54"/>
      <c r="O56" s="54"/>
      <c r="P56" s="54"/>
      <c r="Q56" s="54"/>
      <c r="R56" s="54"/>
      <c r="S56" s="51"/>
      <c r="T56" s="51"/>
      <c r="U56" s="51"/>
      <c r="V56" s="51"/>
      <c r="W56" s="51"/>
      <c r="X56" s="51"/>
    </row>
    <row r="57" spans="1:24">
      <c r="A57" s="54"/>
      <c r="B57" s="54"/>
      <c r="C57" s="54"/>
      <c r="D57" s="54"/>
      <c r="E57" s="54"/>
      <c r="F57" s="54"/>
      <c r="G57" s="54"/>
      <c r="H57" s="54"/>
      <c r="I57" s="54"/>
      <c r="J57" s="54"/>
      <c r="K57" s="54"/>
      <c r="L57" s="54"/>
      <c r="M57" s="54"/>
      <c r="N57" s="54"/>
      <c r="O57" s="54"/>
      <c r="P57" s="54"/>
      <c r="Q57" s="54"/>
      <c r="R57" s="54"/>
      <c r="S57" s="51"/>
      <c r="T57" s="51"/>
      <c r="U57" s="51"/>
      <c r="V57" s="51"/>
      <c r="W57" s="51"/>
      <c r="X57" s="51"/>
    </row>
    <row r="58" spans="1:24">
      <c r="A58" s="54"/>
      <c r="B58" s="54"/>
      <c r="C58" s="54"/>
      <c r="D58" s="54"/>
      <c r="E58" s="54"/>
      <c r="F58" s="54"/>
      <c r="G58" s="54"/>
      <c r="H58" s="54"/>
      <c r="I58" s="54"/>
      <c r="J58" s="54"/>
      <c r="K58" s="54"/>
      <c r="L58" s="54"/>
      <c r="M58" s="54"/>
      <c r="N58" s="54"/>
      <c r="O58" s="54"/>
      <c r="P58" s="54"/>
      <c r="Q58" s="54"/>
      <c r="R58" s="54"/>
      <c r="S58" s="51"/>
      <c r="T58" s="51"/>
      <c r="U58" s="51"/>
      <c r="V58" s="51"/>
      <c r="W58" s="51"/>
      <c r="X58" s="51"/>
    </row>
    <row r="59" spans="1:24">
      <c r="A59" s="54"/>
      <c r="B59" s="54"/>
      <c r="C59" s="54"/>
      <c r="D59" s="54"/>
      <c r="E59" s="54"/>
      <c r="F59" s="54"/>
      <c r="G59" s="54"/>
      <c r="H59" s="54"/>
      <c r="I59" s="54"/>
      <c r="J59" s="54"/>
      <c r="K59" s="54"/>
      <c r="L59" s="54"/>
      <c r="M59" s="54"/>
      <c r="N59" s="54"/>
      <c r="O59" s="54"/>
      <c r="P59" s="54"/>
      <c r="Q59" s="54"/>
      <c r="R59" s="54"/>
      <c r="S59" s="51"/>
      <c r="T59" s="51"/>
      <c r="U59" s="51"/>
      <c r="V59" s="51"/>
      <c r="W59" s="51"/>
      <c r="X59" s="51"/>
    </row>
    <row r="60" spans="1:24">
      <c r="A60" s="54"/>
      <c r="B60" s="54"/>
      <c r="C60" s="54"/>
      <c r="D60" s="54"/>
      <c r="E60" s="54"/>
      <c r="F60" s="54"/>
      <c r="G60" s="54"/>
      <c r="H60" s="54"/>
      <c r="I60" s="54"/>
      <c r="J60" s="54"/>
      <c r="K60" s="54"/>
      <c r="L60" s="54"/>
      <c r="M60" s="54"/>
      <c r="N60" s="54"/>
      <c r="O60" s="54"/>
      <c r="P60" s="54"/>
      <c r="Q60" s="54"/>
      <c r="R60" s="54"/>
      <c r="S60" s="51"/>
      <c r="T60" s="51"/>
      <c r="U60" s="51"/>
      <c r="V60" s="51"/>
      <c r="W60" s="51"/>
      <c r="X60" s="51"/>
    </row>
    <row r="61" spans="1:24">
      <c r="A61" s="54"/>
      <c r="B61" s="54"/>
      <c r="C61" s="54"/>
      <c r="D61" s="54"/>
      <c r="E61" s="54"/>
      <c r="F61" s="54"/>
      <c r="G61" s="54"/>
      <c r="H61" s="54"/>
      <c r="I61" s="54"/>
      <c r="J61" s="54"/>
      <c r="K61" s="54"/>
      <c r="L61" s="54"/>
      <c r="M61" s="54"/>
      <c r="N61" s="54"/>
      <c r="O61" s="54"/>
      <c r="P61" s="54"/>
      <c r="Q61" s="54"/>
      <c r="R61" s="54"/>
      <c r="S61" s="51"/>
      <c r="T61" s="51"/>
      <c r="U61" s="51"/>
      <c r="V61" s="51"/>
      <c r="W61" s="51"/>
      <c r="X61" s="51"/>
    </row>
    <row r="62" spans="1:24">
      <c r="A62" s="54"/>
      <c r="B62" s="54"/>
      <c r="C62" s="54"/>
      <c r="D62" s="54"/>
      <c r="E62" s="54"/>
      <c r="F62" s="54"/>
      <c r="G62" s="54"/>
      <c r="H62" s="54"/>
      <c r="I62" s="54"/>
      <c r="J62" s="54"/>
      <c r="K62" s="54"/>
      <c r="L62" s="54"/>
      <c r="M62" s="54"/>
      <c r="N62" s="54"/>
      <c r="O62" s="54"/>
      <c r="P62" s="54"/>
      <c r="Q62" s="54"/>
      <c r="R62" s="54"/>
      <c r="S62" s="51"/>
      <c r="T62" s="51"/>
      <c r="U62" s="51"/>
      <c r="V62" s="51"/>
      <c r="W62" s="51"/>
      <c r="X62" s="51"/>
    </row>
    <row r="63" spans="1:24">
      <c r="A63" s="54"/>
      <c r="B63" s="54"/>
      <c r="C63" s="54"/>
      <c r="D63" s="54"/>
      <c r="E63" s="54"/>
      <c r="F63" s="54"/>
      <c r="G63" s="54"/>
      <c r="H63" s="54"/>
      <c r="I63" s="54"/>
      <c r="J63" s="54"/>
      <c r="K63" s="54"/>
      <c r="L63" s="54"/>
      <c r="M63" s="54"/>
      <c r="N63" s="54"/>
      <c r="O63" s="54"/>
      <c r="P63" s="54"/>
      <c r="Q63" s="54"/>
      <c r="R63" s="54"/>
      <c r="S63" s="51"/>
      <c r="T63" s="51"/>
      <c r="U63" s="51"/>
      <c r="V63" s="51"/>
      <c r="W63" s="51"/>
      <c r="X63" s="51"/>
    </row>
    <row r="64" spans="1:24">
      <c r="A64" s="54"/>
      <c r="B64" s="54"/>
      <c r="C64" s="54"/>
      <c r="D64" s="54"/>
      <c r="E64" s="54"/>
      <c r="F64" s="54"/>
      <c r="G64" s="54"/>
      <c r="H64" s="54"/>
      <c r="I64" s="54"/>
      <c r="J64" s="54"/>
      <c r="K64" s="54"/>
      <c r="L64" s="54"/>
      <c r="M64" s="54"/>
      <c r="N64" s="54"/>
      <c r="O64" s="54"/>
      <c r="P64" s="54"/>
      <c r="Q64" s="54"/>
      <c r="R64" s="54"/>
      <c r="S64" s="51"/>
      <c r="T64" s="51"/>
      <c r="U64" s="51"/>
      <c r="V64" s="51"/>
      <c r="W64" s="51"/>
      <c r="X64" s="51"/>
    </row>
    <row r="65" spans="1:24">
      <c r="A65" s="54"/>
      <c r="B65" s="54"/>
      <c r="C65" s="54"/>
      <c r="D65" s="54"/>
      <c r="E65" s="54"/>
      <c r="F65" s="54"/>
      <c r="G65" s="54"/>
      <c r="H65" s="54"/>
      <c r="I65" s="54"/>
      <c r="J65" s="54"/>
      <c r="K65" s="54"/>
      <c r="L65" s="54"/>
      <c r="M65" s="54"/>
      <c r="N65" s="54"/>
      <c r="O65" s="54"/>
      <c r="P65" s="54"/>
      <c r="Q65" s="54"/>
      <c r="R65" s="54"/>
      <c r="S65" s="51"/>
      <c r="T65" s="51"/>
      <c r="U65" s="51"/>
      <c r="V65" s="51"/>
      <c r="W65" s="51"/>
      <c r="X65" s="51"/>
    </row>
    <row r="66" spans="1:24">
      <c r="A66" s="54"/>
      <c r="B66" s="54"/>
      <c r="C66" s="54"/>
      <c r="D66" s="54"/>
      <c r="E66" s="54"/>
      <c r="F66" s="54"/>
      <c r="G66" s="54"/>
      <c r="H66" s="54"/>
      <c r="I66" s="54"/>
      <c r="J66" s="54"/>
      <c r="K66" s="54"/>
      <c r="L66" s="54"/>
      <c r="M66" s="54"/>
      <c r="N66" s="54"/>
      <c r="O66" s="54"/>
      <c r="P66" s="54"/>
      <c r="Q66" s="54"/>
      <c r="R66" s="54"/>
      <c r="S66" s="51"/>
      <c r="T66" s="51"/>
      <c r="U66" s="51"/>
      <c r="V66" s="51"/>
      <c r="W66" s="51"/>
      <c r="X66" s="51"/>
    </row>
    <row r="67" spans="1:24">
      <c r="A67" s="54"/>
      <c r="B67" s="54"/>
      <c r="C67" s="54"/>
      <c r="D67" s="54"/>
      <c r="E67" s="54"/>
      <c r="F67" s="54"/>
      <c r="G67" s="54"/>
      <c r="H67" s="54"/>
      <c r="I67" s="54"/>
      <c r="J67" s="54"/>
      <c r="K67" s="54"/>
      <c r="L67" s="54"/>
      <c r="M67" s="54"/>
      <c r="N67" s="54"/>
      <c r="O67" s="54"/>
      <c r="P67" s="54"/>
      <c r="Q67" s="54"/>
      <c r="R67" s="54"/>
      <c r="S67" s="51"/>
      <c r="T67" s="51"/>
      <c r="U67" s="51"/>
      <c r="V67" s="51"/>
      <c r="W67" s="51"/>
      <c r="X67" s="51"/>
    </row>
    <row r="68" spans="1:24">
      <c r="A68" s="54"/>
      <c r="B68" s="54"/>
      <c r="C68" s="54"/>
      <c r="D68" s="54"/>
      <c r="E68" s="54"/>
      <c r="F68" s="54"/>
      <c r="G68" s="54"/>
      <c r="H68" s="54"/>
      <c r="I68" s="54"/>
      <c r="J68" s="54"/>
      <c r="K68" s="54"/>
      <c r="L68" s="54"/>
      <c r="M68" s="54"/>
      <c r="N68" s="54"/>
      <c r="O68" s="54"/>
      <c r="P68" s="54"/>
      <c r="Q68" s="54"/>
      <c r="R68" s="54"/>
      <c r="S68" s="51"/>
      <c r="T68" s="51"/>
      <c r="U68" s="51"/>
      <c r="V68" s="51"/>
      <c r="W68" s="51"/>
      <c r="X68" s="51"/>
    </row>
    <row r="69" spans="1:24">
      <c r="A69" s="54"/>
      <c r="B69" s="54"/>
      <c r="C69" s="54"/>
      <c r="D69" s="54"/>
      <c r="E69" s="54"/>
      <c r="F69" s="54"/>
      <c r="G69" s="54"/>
      <c r="H69" s="54"/>
      <c r="I69" s="54"/>
      <c r="J69" s="54"/>
      <c r="K69" s="54"/>
      <c r="L69" s="54"/>
      <c r="M69" s="54"/>
      <c r="N69" s="54"/>
      <c r="O69" s="54"/>
      <c r="P69" s="54"/>
      <c r="Q69" s="54"/>
      <c r="R69" s="54"/>
      <c r="S69" s="51"/>
      <c r="T69" s="51"/>
      <c r="U69" s="51"/>
      <c r="V69" s="51"/>
      <c r="W69" s="51"/>
      <c r="X69" s="51"/>
    </row>
    <row r="70" spans="1:24">
      <c r="A70" s="54"/>
      <c r="B70" s="54"/>
      <c r="C70" s="54"/>
      <c r="D70" s="54"/>
      <c r="E70" s="54"/>
      <c r="F70" s="54"/>
      <c r="G70" s="54"/>
      <c r="H70" s="54"/>
      <c r="I70" s="54"/>
      <c r="J70" s="54"/>
      <c r="K70" s="54"/>
      <c r="L70" s="54"/>
      <c r="M70" s="54"/>
      <c r="N70" s="54"/>
      <c r="O70" s="54"/>
      <c r="P70" s="54"/>
      <c r="Q70" s="54"/>
      <c r="R70" s="54"/>
      <c r="S70" s="51"/>
      <c r="T70" s="51"/>
      <c r="U70" s="51"/>
      <c r="V70" s="51"/>
      <c r="W70" s="51"/>
      <c r="X70" s="51"/>
    </row>
    <row r="71" spans="1:24">
      <c r="A71" s="54"/>
      <c r="B71" s="54"/>
      <c r="C71" s="54"/>
      <c r="D71" s="54"/>
      <c r="E71" s="54"/>
      <c r="F71" s="54"/>
      <c r="G71" s="54"/>
      <c r="H71" s="54"/>
      <c r="I71" s="54"/>
      <c r="J71" s="54"/>
      <c r="K71" s="54"/>
      <c r="L71" s="54"/>
      <c r="M71" s="54"/>
      <c r="N71" s="54"/>
      <c r="O71" s="54"/>
      <c r="P71" s="54"/>
      <c r="Q71" s="54"/>
      <c r="R71" s="54"/>
      <c r="S71" s="51"/>
      <c r="T71" s="51"/>
      <c r="U71" s="51"/>
      <c r="V71" s="51"/>
      <c r="W71" s="51"/>
      <c r="X71" s="51"/>
    </row>
    <row r="72" spans="1:24">
      <c r="A72" s="54"/>
      <c r="B72" s="54"/>
      <c r="C72" s="54"/>
      <c r="D72" s="54"/>
      <c r="E72" s="54"/>
      <c r="F72" s="54"/>
      <c r="G72" s="54"/>
      <c r="H72" s="54"/>
      <c r="I72" s="54"/>
      <c r="J72" s="54"/>
      <c r="K72" s="54"/>
      <c r="L72" s="54"/>
      <c r="M72" s="54"/>
      <c r="N72" s="54"/>
      <c r="O72" s="54"/>
      <c r="P72" s="54"/>
      <c r="Q72" s="54"/>
      <c r="R72" s="54"/>
      <c r="S72" s="51"/>
      <c r="T72" s="51"/>
      <c r="U72" s="51"/>
      <c r="V72" s="51"/>
      <c r="W72" s="51"/>
      <c r="X72" s="51"/>
    </row>
    <row r="73" spans="1:24">
      <c r="A73" s="54"/>
      <c r="B73" s="54"/>
      <c r="C73" s="54"/>
      <c r="D73" s="54"/>
      <c r="E73" s="54"/>
      <c r="F73" s="54"/>
      <c r="G73" s="54"/>
      <c r="H73" s="54"/>
      <c r="I73" s="54"/>
      <c r="J73" s="54"/>
      <c r="K73" s="54"/>
      <c r="L73" s="54"/>
      <c r="M73" s="54"/>
      <c r="N73" s="54"/>
      <c r="O73" s="54"/>
      <c r="P73" s="54"/>
      <c r="Q73" s="54"/>
      <c r="R73" s="54"/>
      <c r="S73" s="51"/>
      <c r="T73" s="51"/>
      <c r="U73" s="51"/>
      <c r="V73" s="51"/>
      <c r="W73" s="51"/>
      <c r="X73" s="51"/>
    </row>
    <row r="74" spans="1:24">
      <c r="A74" s="54"/>
      <c r="B74" s="54"/>
      <c r="C74" s="54"/>
      <c r="D74" s="54"/>
      <c r="E74" s="54"/>
      <c r="F74" s="54"/>
      <c r="G74" s="54"/>
      <c r="H74" s="54"/>
      <c r="I74" s="54"/>
      <c r="J74" s="54"/>
      <c r="K74" s="54"/>
      <c r="L74" s="54"/>
      <c r="M74" s="54"/>
      <c r="N74" s="54"/>
      <c r="O74" s="54"/>
      <c r="P74" s="54"/>
      <c r="Q74" s="54"/>
      <c r="R74" s="54"/>
      <c r="S74" s="51"/>
      <c r="T74" s="51"/>
      <c r="U74" s="51"/>
      <c r="V74" s="51"/>
      <c r="W74" s="51"/>
      <c r="X74" s="51"/>
    </row>
    <row r="75" spans="1:24">
      <c r="A75" s="54"/>
      <c r="B75" s="54"/>
      <c r="C75" s="54"/>
      <c r="D75" s="54"/>
      <c r="E75" s="54"/>
      <c r="F75" s="54"/>
      <c r="G75" s="54"/>
      <c r="H75" s="54"/>
      <c r="I75" s="54"/>
      <c r="J75" s="54"/>
      <c r="K75" s="54"/>
      <c r="L75" s="54"/>
      <c r="M75" s="54"/>
      <c r="N75" s="54"/>
      <c r="O75" s="54"/>
      <c r="P75" s="54"/>
      <c r="Q75" s="54"/>
      <c r="R75" s="54"/>
      <c r="S75" s="51"/>
      <c r="T75" s="51"/>
      <c r="U75" s="51"/>
      <c r="V75" s="51"/>
      <c r="W75" s="51"/>
      <c r="X75" s="51"/>
    </row>
    <row r="76" spans="1:24">
      <c r="A76" s="54"/>
      <c r="B76" s="54"/>
      <c r="C76" s="54"/>
      <c r="D76" s="54"/>
      <c r="E76" s="54"/>
      <c r="F76" s="54"/>
      <c r="G76" s="54"/>
      <c r="H76" s="54"/>
      <c r="I76" s="54"/>
      <c r="J76" s="54"/>
      <c r="K76" s="54"/>
      <c r="L76" s="54"/>
      <c r="M76" s="54"/>
      <c r="N76" s="54"/>
      <c r="O76" s="54"/>
      <c r="P76" s="54"/>
      <c r="Q76" s="54"/>
      <c r="R76" s="54"/>
      <c r="S76" s="51"/>
      <c r="T76" s="51"/>
      <c r="U76" s="51"/>
      <c r="V76" s="51"/>
      <c r="W76" s="51"/>
      <c r="X76" s="51"/>
    </row>
    <row r="77" spans="1:24">
      <c r="A77" s="54"/>
      <c r="B77" s="54"/>
      <c r="C77" s="54"/>
      <c r="D77" s="54"/>
      <c r="E77" s="54"/>
      <c r="F77" s="54"/>
      <c r="G77" s="54"/>
      <c r="H77" s="54"/>
      <c r="I77" s="54"/>
      <c r="J77" s="54"/>
      <c r="K77" s="54"/>
      <c r="L77" s="54"/>
      <c r="M77" s="54"/>
      <c r="N77" s="54"/>
      <c r="O77" s="54"/>
      <c r="P77" s="54"/>
      <c r="Q77" s="54"/>
      <c r="R77" s="54"/>
      <c r="S77" s="51"/>
      <c r="T77" s="51"/>
      <c r="U77" s="51"/>
      <c r="V77" s="51"/>
      <c r="W77" s="51"/>
      <c r="X77" s="51"/>
    </row>
    <row r="78" spans="1:24">
      <c r="A78" s="54"/>
      <c r="B78" s="54"/>
      <c r="C78" s="54"/>
      <c r="D78" s="54"/>
      <c r="E78" s="54"/>
      <c r="F78" s="54"/>
      <c r="G78" s="54"/>
      <c r="H78" s="54"/>
      <c r="I78" s="54"/>
      <c r="J78" s="54"/>
      <c r="K78" s="54"/>
      <c r="L78" s="54"/>
      <c r="M78" s="54"/>
      <c r="N78" s="54"/>
      <c r="O78" s="54"/>
      <c r="P78" s="54"/>
      <c r="Q78" s="54"/>
      <c r="R78" s="54"/>
      <c r="S78" s="51"/>
      <c r="T78" s="51"/>
      <c r="U78" s="51"/>
      <c r="V78" s="51"/>
      <c r="W78" s="51"/>
      <c r="X78" s="51"/>
    </row>
    <row r="79" spans="1:24">
      <c r="A79" s="54"/>
      <c r="B79" s="54"/>
      <c r="C79" s="54"/>
      <c r="D79" s="54"/>
      <c r="E79" s="54"/>
      <c r="F79" s="54"/>
      <c r="G79" s="54"/>
      <c r="H79" s="54"/>
      <c r="I79" s="54"/>
      <c r="J79" s="54"/>
      <c r="K79" s="54"/>
      <c r="L79" s="54"/>
      <c r="M79" s="54"/>
      <c r="N79" s="54"/>
      <c r="O79" s="54"/>
      <c r="P79" s="54"/>
      <c r="Q79" s="54"/>
      <c r="R79" s="54"/>
      <c r="S79" s="51"/>
      <c r="T79" s="51"/>
      <c r="U79" s="51"/>
      <c r="V79" s="51"/>
      <c r="W79" s="51"/>
      <c r="X79" s="51"/>
    </row>
    <row r="80" spans="1:24">
      <c r="A80" s="54"/>
      <c r="B80" s="54"/>
      <c r="C80" s="54"/>
      <c r="D80" s="54"/>
      <c r="E80" s="54"/>
      <c r="F80" s="54"/>
      <c r="G80" s="54"/>
      <c r="H80" s="54"/>
      <c r="I80" s="54"/>
      <c r="J80" s="54"/>
      <c r="K80" s="54"/>
      <c r="L80" s="54"/>
      <c r="M80" s="54"/>
      <c r="N80" s="54"/>
      <c r="O80" s="54"/>
      <c r="P80" s="54"/>
      <c r="Q80" s="54"/>
      <c r="R80" s="54"/>
      <c r="S80" s="51"/>
      <c r="T80" s="51"/>
      <c r="U80" s="51"/>
      <c r="V80" s="51"/>
      <c r="W80" s="51"/>
      <c r="X80" s="51"/>
    </row>
    <row r="81" spans="1:24">
      <c r="A81" s="54"/>
      <c r="B81" s="54"/>
      <c r="C81" s="54"/>
      <c r="D81" s="54"/>
      <c r="E81" s="54"/>
      <c r="F81" s="54"/>
      <c r="G81" s="54"/>
      <c r="H81" s="54"/>
      <c r="I81" s="54"/>
      <c r="J81" s="54"/>
      <c r="K81" s="54"/>
      <c r="L81" s="54"/>
      <c r="M81" s="54"/>
      <c r="N81" s="54"/>
      <c r="O81" s="54"/>
      <c r="P81" s="54"/>
      <c r="Q81" s="54"/>
      <c r="R81" s="54"/>
      <c r="S81" s="51"/>
      <c r="T81" s="51"/>
      <c r="U81" s="51"/>
      <c r="V81" s="51"/>
      <c r="W81" s="51"/>
      <c r="X81" s="51"/>
    </row>
    <row r="82" spans="1:24">
      <c r="A82" s="54"/>
      <c r="B82" s="54"/>
      <c r="C82" s="54"/>
      <c r="D82" s="54"/>
      <c r="E82" s="54"/>
      <c r="F82" s="54"/>
      <c r="G82" s="54"/>
      <c r="H82" s="54"/>
      <c r="I82" s="54"/>
      <c r="J82" s="54"/>
      <c r="K82" s="54"/>
      <c r="L82" s="54"/>
      <c r="M82" s="54"/>
      <c r="N82" s="54"/>
      <c r="O82" s="54"/>
      <c r="P82" s="54"/>
      <c r="Q82" s="54"/>
      <c r="R82" s="54"/>
      <c r="S82" s="51"/>
      <c r="T82" s="51"/>
      <c r="U82" s="51"/>
      <c r="V82" s="51"/>
      <c r="W82" s="51"/>
      <c r="X82" s="51"/>
    </row>
    <row r="83" spans="1:24">
      <c r="A83" s="54"/>
      <c r="B83" s="54"/>
      <c r="C83" s="54"/>
      <c r="D83" s="54"/>
      <c r="E83" s="54"/>
      <c r="F83" s="54"/>
      <c r="G83" s="54"/>
      <c r="H83" s="54"/>
      <c r="I83" s="54"/>
      <c r="J83" s="54"/>
      <c r="K83" s="54"/>
      <c r="L83" s="54"/>
      <c r="M83" s="54"/>
      <c r="N83" s="54"/>
      <c r="O83" s="54"/>
      <c r="P83" s="54"/>
      <c r="Q83" s="54"/>
      <c r="R83" s="54"/>
      <c r="S83" s="51"/>
      <c r="T83" s="51"/>
      <c r="U83" s="51"/>
      <c r="V83" s="51"/>
      <c r="W83" s="51"/>
      <c r="X83" s="51"/>
    </row>
    <row r="84" spans="1:24">
      <c r="A84" s="54"/>
      <c r="B84" s="54"/>
      <c r="C84" s="54"/>
      <c r="D84" s="54"/>
      <c r="E84" s="54"/>
      <c r="F84" s="54"/>
      <c r="G84" s="54"/>
      <c r="H84" s="54"/>
      <c r="I84" s="54"/>
      <c r="J84" s="54"/>
      <c r="K84" s="54"/>
      <c r="L84" s="54"/>
      <c r="M84" s="54"/>
      <c r="N84" s="54"/>
      <c r="O84" s="54"/>
      <c r="P84" s="54"/>
      <c r="Q84" s="54"/>
      <c r="R84" s="54"/>
      <c r="S84" s="51"/>
      <c r="T84" s="51"/>
      <c r="U84" s="51"/>
      <c r="V84" s="51"/>
      <c r="W84" s="51"/>
      <c r="X84" s="51"/>
    </row>
    <row r="85" spans="1:24">
      <c r="A85" s="54"/>
      <c r="B85" s="54"/>
      <c r="C85" s="54"/>
      <c r="D85" s="54"/>
      <c r="E85" s="54"/>
      <c r="F85" s="54"/>
      <c r="G85" s="54"/>
      <c r="H85" s="54"/>
      <c r="I85" s="54"/>
      <c r="J85" s="54"/>
      <c r="K85" s="54"/>
      <c r="L85" s="54"/>
      <c r="M85" s="54"/>
      <c r="N85" s="54"/>
      <c r="O85" s="54"/>
      <c r="P85" s="54"/>
      <c r="Q85" s="54"/>
      <c r="R85" s="54"/>
      <c r="S85" s="51"/>
      <c r="T85" s="51"/>
      <c r="U85" s="51"/>
      <c r="V85" s="51"/>
      <c r="W85" s="51"/>
      <c r="X85" s="51"/>
    </row>
    <row r="86" spans="1:24">
      <c r="A86" s="54"/>
      <c r="B86" s="54"/>
      <c r="C86" s="54"/>
      <c r="D86" s="54"/>
      <c r="E86" s="54"/>
      <c r="F86" s="54"/>
      <c r="G86" s="54"/>
      <c r="H86" s="54"/>
      <c r="I86" s="54"/>
      <c r="J86" s="54"/>
      <c r="K86" s="54"/>
      <c r="L86" s="54"/>
      <c r="M86" s="54"/>
      <c r="N86" s="54"/>
      <c r="O86" s="54"/>
      <c r="P86" s="54"/>
      <c r="Q86" s="54"/>
      <c r="R86" s="54"/>
      <c r="S86" s="51"/>
      <c r="T86" s="51"/>
      <c r="U86" s="51"/>
      <c r="V86" s="51"/>
      <c r="W86" s="51"/>
      <c r="X86" s="51"/>
    </row>
    <row r="87" spans="1:24">
      <c r="A87" s="54"/>
      <c r="B87" s="54"/>
      <c r="C87" s="54"/>
      <c r="D87" s="54"/>
      <c r="E87" s="54"/>
      <c r="F87" s="54"/>
      <c r="G87" s="54"/>
      <c r="H87" s="54"/>
      <c r="I87" s="54"/>
      <c r="J87" s="54"/>
      <c r="K87" s="54"/>
      <c r="L87" s="54"/>
      <c r="M87" s="54"/>
      <c r="N87" s="54"/>
      <c r="O87" s="54"/>
      <c r="P87" s="54"/>
      <c r="Q87" s="54"/>
      <c r="R87" s="54"/>
      <c r="S87" s="51"/>
      <c r="T87" s="51"/>
      <c r="U87" s="51"/>
      <c r="V87" s="51"/>
      <c r="W87" s="51"/>
      <c r="X87" s="51"/>
    </row>
    <row r="88" spans="1:24">
      <c r="A88" s="54"/>
      <c r="B88" s="54"/>
      <c r="C88" s="54"/>
      <c r="D88" s="54"/>
      <c r="E88" s="54"/>
      <c r="F88" s="54"/>
      <c r="G88" s="54"/>
      <c r="H88" s="54"/>
      <c r="I88" s="54"/>
      <c r="J88" s="54"/>
      <c r="K88" s="54"/>
      <c r="L88" s="54"/>
      <c r="M88" s="54"/>
      <c r="N88" s="54"/>
      <c r="O88" s="54"/>
      <c r="P88" s="54"/>
      <c r="Q88" s="54"/>
      <c r="R88" s="54"/>
      <c r="S88" s="51"/>
      <c r="T88" s="51"/>
      <c r="U88" s="51"/>
      <c r="V88" s="51"/>
      <c r="W88" s="51"/>
      <c r="X88" s="51"/>
    </row>
    <row r="89" spans="1:24">
      <c r="A89" s="54"/>
      <c r="B89" s="54"/>
      <c r="C89" s="54"/>
      <c r="D89" s="54"/>
      <c r="E89" s="54"/>
      <c r="F89" s="54"/>
      <c r="G89" s="54"/>
      <c r="H89" s="54"/>
      <c r="I89" s="54"/>
      <c r="J89" s="54"/>
      <c r="K89" s="54"/>
      <c r="L89" s="54"/>
      <c r="M89" s="54"/>
      <c r="N89" s="54"/>
      <c r="O89" s="54"/>
      <c r="P89" s="54"/>
      <c r="Q89" s="54"/>
      <c r="R89" s="54"/>
      <c r="S89" s="51"/>
      <c r="T89" s="51"/>
      <c r="U89" s="51"/>
      <c r="V89" s="51"/>
      <c r="W89" s="51"/>
      <c r="X89" s="51"/>
    </row>
    <row r="90" spans="1:24">
      <c r="A90" s="54"/>
      <c r="B90" s="54"/>
      <c r="C90" s="54"/>
      <c r="D90" s="54"/>
      <c r="E90" s="54"/>
      <c r="F90" s="54"/>
      <c r="G90" s="54"/>
      <c r="H90" s="54"/>
      <c r="I90" s="54"/>
      <c r="J90" s="54"/>
      <c r="K90" s="54"/>
      <c r="L90" s="54"/>
      <c r="M90" s="54"/>
      <c r="N90" s="54"/>
      <c r="O90" s="54"/>
      <c r="P90" s="54"/>
      <c r="Q90" s="54"/>
      <c r="R90" s="54"/>
      <c r="S90" s="51"/>
      <c r="T90" s="51"/>
      <c r="U90" s="51"/>
      <c r="V90" s="51"/>
      <c r="W90" s="51"/>
      <c r="X90" s="51"/>
    </row>
    <row r="91" spans="1:24">
      <c r="A91" s="54"/>
      <c r="B91" s="54"/>
      <c r="C91" s="54"/>
      <c r="D91" s="54"/>
      <c r="E91" s="54"/>
      <c r="F91" s="54"/>
      <c r="G91" s="54"/>
      <c r="H91" s="54"/>
      <c r="I91" s="54"/>
      <c r="J91" s="54"/>
      <c r="K91" s="54"/>
      <c r="L91" s="54"/>
      <c r="M91" s="54"/>
      <c r="N91" s="54"/>
      <c r="O91" s="54"/>
      <c r="P91" s="54"/>
      <c r="Q91" s="54"/>
      <c r="R91" s="54"/>
      <c r="S91" s="51"/>
      <c r="T91" s="51"/>
      <c r="U91" s="51"/>
      <c r="V91" s="51"/>
      <c r="W91" s="51"/>
      <c r="X91" s="51"/>
    </row>
    <row r="92" spans="1:24">
      <c r="A92" s="54"/>
      <c r="B92" s="54"/>
      <c r="C92" s="54"/>
      <c r="D92" s="54"/>
      <c r="E92" s="54"/>
      <c r="F92" s="54"/>
      <c r="G92" s="54"/>
      <c r="H92" s="54"/>
      <c r="I92" s="54"/>
      <c r="J92" s="54"/>
      <c r="K92" s="54"/>
      <c r="L92" s="54"/>
      <c r="M92" s="54"/>
      <c r="N92" s="54"/>
      <c r="O92" s="54"/>
      <c r="P92" s="54"/>
      <c r="Q92" s="54"/>
      <c r="R92" s="54"/>
      <c r="S92" s="51"/>
      <c r="T92" s="51"/>
      <c r="U92" s="51"/>
      <c r="V92" s="51"/>
      <c r="W92" s="51"/>
      <c r="X92" s="51"/>
    </row>
    <row r="93" spans="1:24">
      <c r="A93" s="54"/>
      <c r="B93" s="54"/>
      <c r="C93" s="54"/>
      <c r="D93" s="54"/>
      <c r="E93" s="54"/>
      <c r="F93" s="54"/>
      <c r="G93" s="54"/>
      <c r="H93" s="54"/>
      <c r="I93" s="54"/>
      <c r="J93" s="54"/>
      <c r="K93" s="54"/>
      <c r="L93" s="54"/>
      <c r="M93" s="54"/>
      <c r="N93" s="54"/>
      <c r="O93" s="54"/>
      <c r="P93" s="54"/>
      <c r="Q93" s="54"/>
      <c r="R93" s="54"/>
      <c r="S93" s="51"/>
      <c r="T93" s="51"/>
      <c r="U93" s="51"/>
      <c r="V93" s="51"/>
      <c r="W93" s="51"/>
      <c r="X93" s="51"/>
    </row>
    <row r="94" spans="1:24">
      <c r="A94" s="54"/>
      <c r="B94" s="54"/>
      <c r="C94" s="54"/>
      <c r="D94" s="54"/>
      <c r="E94" s="54"/>
      <c r="F94" s="54"/>
      <c r="G94" s="51"/>
      <c r="H94" s="51"/>
      <c r="I94" s="51"/>
      <c r="J94" s="51"/>
      <c r="K94" s="51"/>
      <c r="L94" s="51"/>
      <c r="M94" s="51"/>
      <c r="N94" s="51"/>
      <c r="O94" s="51"/>
      <c r="P94" s="51"/>
      <c r="Q94" s="51"/>
      <c r="R94" s="51"/>
      <c r="S94" s="51"/>
      <c r="T94" s="51"/>
      <c r="U94" s="51"/>
      <c r="V94" s="51"/>
      <c r="W94" s="51"/>
      <c r="X94" s="51"/>
    </row>
    <row r="95" spans="1:24">
      <c r="A95" s="54"/>
      <c r="B95" s="54"/>
      <c r="C95" s="54"/>
      <c r="D95" s="54"/>
      <c r="E95" s="54"/>
      <c r="F95" s="54"/>
      <c r="G95" s="51"/>
      <c r="H95" s="51"/>
      <c r="I95" s="51"/>
      <c r="J95" s="51"/>
      <c r="K95" s="51"/>
      <c r="L95" s="51"/>
      <c r="M95" s="51"/>
      <c r="N95" s="51"/>
      <c r="O95" s="51"/>
      <c r="P95" s="51"/>
      <c r="Q95" s="51"/>
      <c r="R95" s="51"/>
      <c r="S95" s="51"/>
      <c r="T95" s="51"/>
      <c r="U95" s="51"/>
      <c r="V95" s="51"/>
      <c r="W95" s="51"/>
      <c r="X95" s="51"/>
    </row>
    <row r="96" spans="1:24">
      <c r="A96" s="54"/>
      <c r="B96" s="54"/>
      <c r="C96" s="54"/>
      <c r="D96" s="54"/>
      <c r="E96" s="54"/>
      <c r="F96" s="54"/>
      <c r="G96" s="51"/>
      <c r="H96" s="51"/>
      <c r="I96" s="51"/>
      <c r="J96" s="51"/>
      <c r="K96" s="51"/>
      <c r="L96" s="51"/>
      <c r="M96" s="51"/>
      <c r="N96" s="51"/>
      <c r="O96" s="51"/>
      <c r="P96" s="51"/>
      <c r="Q96" s="51"/>
      <c r="R96" s="51"/>
      <c r="S96" s="51"/>
      <c r="T96" s="51"/>
      <c r="U96" s="51"/>
      <c r="V96" s="51"/>
      <c r="W96" s="51"/>
      <c r="X96" s="51"/>
    </row>
    <row r="97" spans="1:24">
      <c r="A97" s="54"/>
      <c r="B97" s="54"/>
      <c r="C97" s="54"/>
      <c r="D97" s="54"/>
      <c r="E97" s="54"/>
      <c r="F97" s="54"/>
      <c r="G97" s="51"/>
      <c r="H97" s="51"/>
      <c r="I97" s="51"/>
      <c r="J97" s="51"/>
      <c r="K97" s="51"/>
      <c r="L97" s="51"/>
      <c r="M97" s="51"/>
      <c r="N97" s="51"/>
      <c r="O97" s="51"/>
      <c r="P97" s="51"/>
      <c r="Q97" s="51"/>
      <c r="R97" s="51"/>
      <c r="S97" s="51"/>
      <c r="T97" s="51"/>
      <c r="U97" s="51"/>
      <c r="V97" s="51"/>
      <c r="W97" s="51"/>
      <c r="X97" s="51"/>
    </row>
    <row r="98" spans="1:24">
      <c r="A98" s="54"/>
      <c r="B98" s="54"/>
      <c r="C98" s="54"/>
      <c r="D98" s="54"/>
      <c r="E98" s="54"/>
      <c r="F98" s="54"/>
    </row>
  </sheetData>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228B2-27F5-4D73-9E38-3F07DE1224D0}">
  <dimension ref="A1:Y60"/>
  <sheetViews>
    <sheetView zoomScale="90" zoomScaleNormal="90" workbookViewId="0"/>
  </sheetViews>
  <sheetFormatPr defaultRowHeight="14"/>
  <cols>
    <col min="1" max="1" width="61.1640625" customWidth="1"/>
    <col min="2" max="2" width="15.1640625" customWidth="1"/>
    <col min="3" max="3" width="14.4140625" customWidth="1"/>
    <col min="4" max="4" width="13.83203125" customWidth="1"/>
    <col min="5" max="5" width="13.25" customWidth="1"/>
    <col min="6" max="6" width="12.4140625" customWidth="1"/>
  </cols>
  <sheetData>
    <row r="1" spans="1:25">
      <c r="A1" s="49" t="s">
        <v>2198</v>
      </c>
      <c r="B1" s="49" t="s">
        <v>119</v>
      </c>
      <c r="C1" s="49" t="s">
        <v>120</v>
      </c>
      <c r="D1" s="49" t="s">
        <v>121</v>
      </c>
      <c r="E1" s="49" t="s">
        <v>122</v>
      </c>
      <c r="F1" s="49" t="s">
        <v>123</v>
      </c>
      <c r="G1" s="64"/>
      <c r="H1" s="64"/>
      <c r="I1" s="53"/>
      <c r="J1" s="54"/>
      <c r="K1" s="54"/>
      <c r="L1" s="54"/>
      <c r="M1" s="54"/>
      <c r="N1" s="54"/>
      <c r="O1" s="54"/>
      <c r="P1" s="54"/>
      <c r="Q1" s="54"/>
      <c r="R1" s="54"/>
      <c r="S1" s="51"/>
      <c r="T1" s="51"/>
      <c r="U1" s="51"/>
      <c r="V1" s="51"/>
      <c r="W1" s="51"/>
      <c r="X1" s="51"/>
      <c r="Y1" s="51"/>
    </row>
    <row r="2" spans="1:25">
      <c r="A2" s="34" t="s">
        <v>138</v>
      </c>
      <c r="B2" s="35"/>
      <c r="C2" s="35"/>
      <c r="D2" s="35"/>
      <c r="E2" s="35"/>
      <c r="F2" s="35"/>
      <c r="G2" s="53"/>
      <c r="H2" s="53"/>
      <c r="I2" s="53"/>
      <c r="J2" s="54"/>
      <c r="K2" s="54"/>
      <c r="L2" s="54"/>
      <c r="M2" s="54"/>
      <c r="N2" s="54"/>
      <c r="O2" s="54"/>
      <c r="P2" s="54"/>
      <c r="Q2" s="54"/>
      <c r="R2" s="54"/>
      <c r="S2" s="51"/>
      <c r="T2" s="51"/>
      <c r="U2" s="51"/>
      <c r="V2" s="51"/>
      <c r="W2" s="51"/>
      <c r="X2" s="51"/>
      <c r="Y2" s="51"/>
    </row>
    <row r="3" spans="1:25">
      <c r="A3" s="34" t="s">
        <v>30</v>
      </c>
      <c r="B3" s="35"/>
      <c r="C3" s="35"/>
      <c r="D3" s="35"/>
      <c r="E3" s="35"/>
      <c r="F3" s="35"/>
      <c r="G3" s="53"/>
      <c r="H3" s="53"/>
      <c r="I3" s="53"/>
      <c r="J3" s="54"/>
      <c r="K3" s="54"/>
      <c r="L3" s="54"/>
      <c r="M3" s="54"/>
      <c r="N3" s="54"/>
      <c r="O3" s="54"/>
      <c r="P3" s="54"/>
      <c r="Q3" s="54"/>
      <c r="R3" s="54"/>
      <c r="S3" s="51"/>
      <c r="T3" s="51"/>
      <c r="U3" s="51"/>
      <c r="V3" s="51"/>
      <c r="W3" s="51"/>
      <c r="X3" s="51"/>
      <c r="Y3" s="51"/>
    </row>
    <row r="4" spans="1:25">
      <c r="A4" s="34" t="s">
        <v>163</v>
      </c>
      <c r="B4" s="144">
        <f>Ind_Cashflow!B30</f>
        <v>69864</v>
      </c>
      <c r="C4" s="144">
        <f>Ind_Cashflow!C30</f>
        <v>93017</v>
      </c>
      <c r="D4" s="144">
        <f>Ind_Cashflow!D30</f>
        <v>120397</v>
      </c>
      <c r="E4" s="144">
        <f>Ind_Cashflow!E30</f>
        <v>146313</v>
      </c>
      <c r="F4" s="144">
        <f>Ind_Cashflow!F30</f>
        <v>178016</v>
      </c>
      <c r="G4" s="53"/>
      <c r="H4" s="53"/>
      <c r="I4" s="53"/>
      <c r="J4" s="54"/>
      <c r="K4" s="54"/>
      <c r="L4" s="54"/>
      <c r="M4" s="54"/>
      <c r="N4" s="54"/>
      <c r="O4" s="54"/>
      <c r="P4" s="54"/>
      <c r="Q4" s="54"/>
      <c r="R4" s="54"/>
      <c r="S4" s="51"/>
      <c r="T4" s="51"/>
      <c r="U4" s="51"/>
      <c r="V4" s="51"/>
      <c r="W4" s="51"/>
      <c r="X4" s="51"/>
      <c r="Y4" s="51"/>
    </row>
    <row r="5" spans="1:25">
      <c r="A5" s="34" t="s">
        <v>897</v>
      </c>
      <c r="B5" s="144">
        <v>1487</v>
      </c>
      <c r="C5" s="144">
        <v>1480</v>
      </c>
      <c r="D5" s="144">
        <v>1483</v>
      </c>
      <c r="E5" s="144">
        <v>2375</v>
      </c>
      <c r="F5" s="144">
        <v>3256</v>
      </c>
      <c r="G5" s="53"/>
      <c r="H5" s="53"/>
      <c r="I5" s="53"/>
      <c r="J5" s="54"/>
      <c r="K5" s="54"/>
      <c r="L5" s="54"/>
      <c r="M5" s="54"/>
      <c r="N5" s="54"/>
      <c r="O5" s="54"/>
      <c r="P5" s="54"/>
      <c r="Q5" s="54"/>
      <c r="R5" s="54"/>
      <c r="S5" s="51"/>
      <c r="T5" s="51"/>
      <c r="U5" s="51"/>
      <c r="V5" s="51"/>
      <c r="W5" s="51"/>
      <c r="X5" s="51"/>
      <c r="Y5" s="51"/>
    </row>
    <row r="6" spans="1:25">
      <c r="A6" s="34" t="s">
        <v>33</v>
      </c>
      <c r="B6" s="144">
        <v>30499</v>
      </c>
      <c r="C6" s="144">
        <v>15353</v>
      </c>
      <c r="D6" s="144">
        <v>9476</v>
      </c>
      <c r="E6" s="144">
        <v>12801</v>
      </c>
      <c r="F6" s="144">
        <v>12833</v>
      </c>
      <c r="G6" s="53"/>
      <c r="H6" s="53"/>
      <c r="I6" s="53"/>
      <c r="J6" s="54"/>
      <c r="K6" s="54"/>
      <c r="L6" s="54"/>
      <c r="M6" s="54"/>
      <c r="N6" s="54"/>
      <c r="O6" s="54"/>
      <c r="P6" s="54"/>
      <c r="Q6" s="54"/>
      <c r="R6" s="54"/>
      <c r="S6" s="51"/>
      <c r="T6" s="51"/>
      <c r="U6" s="51"/>
      <c r="V6" s="51"/>
      <c r="W6" s="51"/>
      <c r="X6" s="51"/>
      <c r="Y6" s="51"/>
    </row>
    <row r="7" spans="1:25">
      <c r="A7" s="34" t="s">
        <v>164</v>
      </c>
      <c r="B7" s="144">
        <v>8517</v>
      </c>
      <c r="C7" s="144">
        <v>9183</v>
      </c>
      <c r="D7" s="144">
        <v>9406</v>
      </c>
      <c r="E7" s="144">
        <v>7601</v>
      </c>
      <c r="F7" s="144">
        <v>7332</v>
      </c>
      <c r="G7" s="53"/>
      <c r="H7" s="53"/>
      <c r="I7" s="53"/>
      <c r="J7" s="54"/>
      <c r="K7" s="54"/>
      <c r="L7" s="54"/>
      <c r="M7" s="54"/>
      <c r="N7" s="54"/>
      <c r="O7" s="54"/>
      <c r="P7" s="54"/>
      <c r="Q7" s="54"/>
      <c r="R7" s="54"/>
      <c r="S7" s="51"/>
      <c r="T7" s="51"/>
      <c r="U7" s="51"/>
      <c r="V7" s="51"/>
      <c r="W7" s="51"/>
      <c r="X7" s="51"/>
      <c r="Y7" s="51"/>
    </row>
    <row r="8" spans="1:25">
      <c r="A8" s="34" t="s">
        <v>898</v>
      </c>
      <c r="B8" s="144">
        <v>45674</v>
      </c>
      <c r="C8" s="144">
        <v>48722</v>
      </c>
      <c r="D8" s="144">
        <v>45699</v>
      </c>
      <c r="E8" s="144">
        <v>51703</v>
      </c>
      <c r="F8" s="144">
        <v>54027</v>
      </c>
      <c r="G8" s="53"/>
      <c r="H8" s="53"/>
      <c r="I8" s="53"/>
      <c r="J8" s="54"/>
      <c r="K8" s="54"/>
      <c r="L8" s="54"/>
      <c r="M8" s="54"/>
      <c r="N8" s="54"/>
      <c r="O8" s="54"/>
      <c r="P8" s="54"/>
      <c r="Q8" s="54"/>
      <c r="R8" s="54"/>
      <c r="S8" s="51"/>
      <c r="T8" s="51"/>
      <c r="U8" s="51"/>
      <c r="V8" s="51"/>
      <c r="W8" s="51"/>
      <c r="X8" s="51"/>
      <c r="Y8" s="51"/>
    </row>
    <row r="9" spans="1:25">
      <c r="A9" s="34" t="s">
        <v>899</v>
      </c>
      <c r="B9" s="144">
        <v>11097</v>
      </c>
      <c r="C9" s="144">
        <v>12568</v>
      </c>
      <c r="D9" s="144">
        <v>12531</v>
      </c>
      <c r="E9" s="144">
        <v>13598</v>
      </c>
      <c r="F9" s="144">
        <v>15380</v>
      </c>
      <c r="G9" s="53"/>
      <c r="H9" s="53"/>
      <c r="I9" s="53"/>
      <c r="J9" s="54"/>
      <c r="K9" s="54"/>
      <c r="L9" s="54"/>
      <c r="M9" s="54"/>
      <c r="N9" s="54"/>
      <c r="O9" s="54"/>
      <c r="P9" s="54"/>
      <c r="Q9" s="54"/>
      <c r="R9" s="54"/>
      <c r="S9" s="51"/>
      <c r="T9" s="51"/>
      <c r="U9" s="51"/>
      <c r="V9" s="51"/>
      <c r="W9" s="51"/>
      <c r="X9" s="51"/>
      <c r="Y9" s="51"/>
    </row>
    <row r="10" spans="1:25">
      <c r="A10" s="34" t="s">
        <v>166</v>
      </c>
      <c r="B10" s="144">
        <v>167138</v>
      </c>
      <c r="C10" s="144">
        <v>154977</v>
      </c>
      <c r="D10" s="144">
        <v>149044</v>
      </c>
      <c r="E10" s="144">
        <v>175147</v>
      </c>
      <c r="F10" s="144">
        <v>175384</v>
      </c>
      <c r="G10" s="53"/>
      <c r="H10" s="53"/>
      <c r="I10" s="53"/>
      <c r="J10" s="54"/>
      <c r="K10" s="54"/>
      <c r="L10" s="54"/>
      <c r="M10" s="54"/>
      <c r="N10" s="54"/>
      <c r="O10" s="54"/>
      <c r="P10" s="54"/>
      <c r="Q10" s="54"/>
      <c r="R10" s="54"/>
      <c r="S10" s="51"/>
      <c r="T10" s="51"/>
      <c r="U10" s="51"/>
      <c r="V10" s="51"/>
      <c r="W10" s="51"/>
      <c r="X10" s="51"/>
      <c r="Y10" s="51"/>
    </row>
    <row r="11" spans="1:25">
      <c r="A11" s="34" t="s">
        <v>900</v>
      </c>
      <c r="B11" s="144">
        <v>18372</v>
      </c>
      <c r="C11" s="144">
        <v>18887</v>
      </c>
      <c r="D11" s="144">
        <v>20341</v>
      </c>
      <c r="E11" s="144">
        <v>21466</v>
      </c>
      <c r="F11" s="144">
        <v>22932</v>
      </c>
      <c r="G11" s="53"/>
      <c r="H11" s="53"/>
      <c r="I11" s="53"/>
      <c r="J11" s="54"/>
      <c r="K11" s="54"/>
      <c r="L11" s="54"/>
      <c r="M11" s="54"/>
      <c r="N11" s="54"/>
      <c r="O11" s="54"/>
      <c r="P11" s="54"/>
      <c r="Q11" s="54"/>
      <c r="R11" s="54"/>
      <c r="S11" s="51"/>
      <c r="T11" s="51"/>
      <c r="U11" s="51"/>
      <c r="V11" s="51"/>
      <c r="W11" s="51"/>
      <c r="X11" s="51"/>
      <c r="Y11" s="51"/>
    </row>
    <row r="12" spans="1:25">
      <c r="A12" s="34" t="s">
        <v>41</v>
      </c>
      <c r="B12" s="144">
        <v>89194</v>
      </c>
      <c r="C12" s="144">
        <v>101138</v>
      </c>
      <c r="D12" s="144">
        <v>94806</v>
      </c>
      <c r="E12" s="144">
        <v>99589</v>
      </c>
      <c r="F12" s="144">
        <v>109730</v>
      </c>
      <c r="G12" s="53"/>
      <c r="H12" s="53"/>
      <c r="I12" s="53"/>
      <c r="J12" s="54"/>
      <c r="K12" s="54"/>
      <c r="L12" s="54"/>
      <c r="M12" s="54"/>
      <c r="N12" s="54"/>
      <c r="O12" s="54"/>
      <c r="P12" s="54"/>
      <c r="Q12" s="54"/>
      <c r="R12" s="54"/>
      <c r="S12" s="51"/>
      <c r="T12" s="51"/>
      <c r="U12" s="51"/>
      <c r="V12" s="51"/>
      <c r="W12" s="51"/>
      <c r="X12" s="51"/>
      <c r="Y12" s="51"/>
    </row>
    <row r="13" spans="1:25">
      <c r="A13" s="34" t="s">
        <v>168</v>
      </c>
      <c r="B13" s="144">
        <v>40152</v>
      </c>
      <c r="C13" s="144">
        <v>41202</v>
      </c>
      <c r="D13" s="144">
        <v>42594</v>
      </c>
      <c r="E13" s="144">
        <v>45836</v>
      </c>
      <c r="F13" s="144">
        <v>50247</v>
      </c>
      <c r="G13" s="53"/>
      <c r="H13" s="53"/>
      <c r="I13" s="53"/>
      <c r="J13" s="54"/>
      <c r="K13" s="54"/>
      <c r="L13" s="54"/>
      <c r="M13" s="54"/>
      <c r="N13" s="54"/>
      <c r="O13" s="54"/>
      <c r="P13" s="54"/>
      <c r="Q13" s="54"/>
      <c r="R13" s="54"/>
      <c r="S13" s="51"/>
      <c r="T13" s="51"/>
      <c r="U13" s="51"/>
      <c r="V13" s="51"/>
      <c r="W13" s="51"/>
      <c r="X13" s="51"/>
      <c r="Y13" s="51"/>
    </row>
    <row r="14" spans="1:25">
      <c r="A14" s="34" t="s">
        <v>901</v>
      </c>
      <c r="B14" s="144">
        <v>5573</v>
      </c>
      <c r="C14" s="144">
        <v>8254</v>
      </c>
      <c r="D14" s="144">
        <v>8550</v>
      </c>
      <c r="E14" s="144">
        <v>9517</v>
      </c>
      <c r="F14" s="144">
        <v>10646</v>
      </c>
      <c r="G14" s="53"/>
      <c r="H14" s="53"/>
      <c r="I14" s="53"/>
      <c r="J14" s="54"/>
      <c r="K14" s="54"/>
      <c r="L14" s="54"/>
      <c r="M14" s="54"/>
      <c r="N14" s="54"/>
      <c r="O14" s="54"/>
      <c r="P14" s="54"/>
      <c r="Q14" s="54"/>
      <c r="R14" s="54"/>
      <c r="S14" s="51"/>
      <c r="T14" s="51"/>
      <c r="U14" s="51"/>
      <c r="V14" s="51"/>
      <c r="W14" s="51"/>
      <c r="X14" s="51"/>
      <c r="Y14" s="51"/>
    </row>
    <row r="15" spans="1:25">
      <c r="A15" s="34" t="s">
        <v>169</v>
      </c>
      <c r="B15" s="144">
        <v>47560</v>
      </c>
      <c r="C15" s="144">
        <v>49710</v>
      </c>
      <c r="D15" s="144">
        <v>49789</v>
      </c>
      <c r="E15" s="144">
        <v>52930</v>
      </c>
      <c r="F15" s="144">
        <v>58596</v>
      </c>
      <c r="G15" s="53"/>
      <c r="H15" s="53"/>
      <c r="I15" s="53"/>
      <c r="J15" s="54"/>
      <c r="K15" s="54"/>
      <c r="L15" s="54"/>
      <c r="M15" s="54"/>
      <c r="N15" s="54"/>
      <c r="O15" s="54"/>
      <c r="P15" s="54"/>
      <c r="Q15" s="54"/>
      <c r="R15" s="54"/>
      <c r="S15" s="51"/>
      <c r="T15" s="51"/>
      <c r="U15" s="51"/>
      <c r="V15" s="51"/>
      <c r="W15" s="51"/>
      <c r="X15" s="51"/>
      <c r="Y15" s="51"/>
    </row>
    <row r="16" spans="1:25">
      <c r="A16" s="210" t="s">
        <v>44</v>
      </c>
      <c r="B16" s="211">
        <v>367989</v>
      </c>
      <c r="C16" s="211">
        <v>374168</v>
      </c>
      <c r="D16" s="211">
        <v>365124</v>
      </c>
      <c r="E16" s="211">
        <v>404485</v>
      </c>
      <c r="F16" s="211">
        <v>427535</v>
      </c>
      <c r="G16" s="53"/>
      <c r="H16" s="53"/>
      <c r="I16" s="53"/>
      <c r="J16" s="54"/>
      <c r="K16" s="54"/>
      <c r="L16" s="54"/>
      <c r="M16" s="54"/>
      <c r="N16" s="54"/>
      <c r="O16" s="54"/>
      <c r="P16" s="54"/>
      <c r="Q16" s="54"/>
      <c r="R16" s="54"/>
      <c r="S16" s="51"/>
      <c r="T16" s="51"/>
      <c r="U16" s="51"/>
      <c r="V16" s="51"/>
      <c r="W16" s="51"/>
      <c r="X16" s="51"/>
      <c r="Y16" s="51"/>
    </row>
    <row r="17" spans="1:25">
      <c r="A17" s="34" t="s">
        <v>175</v>
      </c>
      <c r="B17" s="145"/>
      <c r="C17" s="145"/>
      <c r="D17" s="145"/>
      <c r="E17" s="145"/>
      <c r="F17" s="145"/>
      <c r="G17" s="53"/>
      <c r="H17" s="53"/>
      <c r="I17" s="53"/>
      <c r="J17" s="54"/>
      <c r="K17" s="54"/>
      <c r="L17" s="54"/>
      <c r="M17" s="54"/>
      <c r="N17" s="54"/>
      <c r="O17" s="54"/>
      <c r="P17" s="54"/>
      <c r="Q17" s="54"/>
      <c r="R17" s="54"/>
      <c r="S17" s="51"/>
      <c r="T17" s="51"/>
      <c r="U17" s="51"/>
      <c r="V17" s="51"/>
      <c r="W17" s="51"/>
      <c r="X17" s="51"/>
      <c r="Y17" s="51"/>
    </row>
    <row r="18" spans="1:25">
      <c r="A18" s="34" t="s">
        <v>170</v>
      </c>
      <c r="B18" s="144">
        <v>24457</v>
      </c>
      <c r="C18" s="144">
        <v>28237</v>
      </c>
      <c r="D18" s="144">
        <v>30889</v>
      </c>
      <c r="E18" s="144">
        <v>32461</v>
      </c>
      <c r="F18" s="144">
        <v>34368</v>
      </c>
      <c r="G18" s="53"/>
      <c r="H18" s="53"/>
      <c r="I18" s="53"/>
      <c r="J18" s="54"/>
      <c r="K18" s="54"/>
      <c r="L18" s="54"/>
      <c r="M18" s="54"/>
      <c r="N18" s="54"/>
      <c r="O18" s="54"/>
      <c r="P18" s="54"/>
      <c r="Q18" s="54"/>
      <c r="R18" s="54"/>
      <c r="S18" s="51"/>
      <c r="T18" s="51"/>
      <c r="U18" s="51"/>
      <c r="V18" s="51"/>
      <c r="W18" s="51"/>
      <c r="X18" s="51"/>
      <c r="Y18" s="51"/>
    </row>
    <row r="19" spans="1:25">
      <c r="A19" s="34" t="s">
        <v>176</v>
      </c>
      <c r="B19" s="144">
        <v>9780</v>
      </c>
      <c r="C19" s="144">
        <v>10851</v>
      </c>
      <c r="D19" s="144">
        <v>11663</v>
      </c>
      <c r="E19" s="144">
        <v>14604</v>
      </c>
      <c r="F19" s="144">
        <v>17343</v>
      </c>
      <c r="G19" s="53"/>
      <c r="H19" s="53"/>
      <c r="I19" s="53"/>
      <c r="J19" s="54"/>
      <c r="K19" s="54"/>
      <c r="L19" s="54"/>
      <c r="M19" s="54"/>
      <c r="N19" s="54"/>
      <c r="O19" s="54"/>
      <c r="P19" s="54"/>
      <c r="Q19" s="54"/>
      <c r="R19" s="54"/>
      <c r="S19" s="51"/>
      <c r="T19" s="51"/>
      <c r="U19" s="51"/>
      <c r="V19" s="51"/>
      <c r="W19" s="51"/>
      <c r="X19" s="51"/>
      <c r="Y19" s="51"/>
    </row>
    <row r="20" spans="1:25">
      <c r="A20" s="34" t="s">
        <v>171</v>
      </c>
      <c r="B20" s="144">
        <v>17857</v>
      </c>
      <c r="C20" s="144">
        <v>19453</v>
      </c>
      <c r="D20" s="144">
        <v>21293</v>
      </c>
      <c r="E20" s="144">
        <v>23238</v>
      </c>
      <c r="F20" s="144">
        <v>26944</v>
      </c>
      <c r="G20" s="53"/>
      <c r="H20" s="53"/>
      <c r="I20" s="53"/>
      <c r="J20" s="54"/>
      <c r="K20" s="54"/>
      <c r="L20" s="54"/>
      <c r="M20" s="54"/>
      <c r="N20" s="54"/>
      <c r="O20" s="54"/>
      <c r="P20" s="54"/>
      <c r="Q20" s="54"/>
      <c r="R20" s="54"/>
      <c r="S20" s="51"/>
      <c r="T20" s="51"/>
      <c r="U20" s="51"/>
      <c r="V20" s="51"/>
      <c r="W20" s="51"/>
      <c r="X20" s="51"/>
      <c r="Y20" s="51"/>
    </row>
    <row r="21" spans="1:25">
      <c r="A21" s="34" t="s">
        <v>902</v>
      </c>
      <c r="B21" s="144">
        <v>5526</v>
      </c>
      <c r="C21" s="144">
        <v>7337</v>
      </c>
      <c r="D21" s="144">
        <v>6502</v>
      </c>
      <c r="E21" s="144">
        <v>8406</v>
      </c>
      <c r="F21" s="144">
        <v>7974</v>
      </c>
      <c r="G21" s="53"/>
      <c r="H21" s="53"/>
      <c r="I21" s="53"/>
      <c r="J21" s="54"/>
      <c r="K21" s="54"/>
      <c r="L21" s="54"/>
      <c r="M21" s="54"/>
      <c r="N21" s="54"/>
      <c r="O21" s="54"/>
      <c r="P21" s="54"/>
      <c r="Q21" s="54"/>
      <c r="R21" s="54"/>
      <c r="S21" s="51"/>
      <c r="T21" s="51"/>
      <c r="U21" s="51"/>
      <c r="V21" s="51"/>
      <c r="W21" s="51"/>
      <c r="X21" s="51"/>
      <c r="Y21" s="51"/>
    </row>
    <row r="22" spans="1:25">
      <c r="A22" s="34" t="s">
        <v>177</v>
      </c>
      <c r="B22" s="144">
        <v>16809</v>
      </c>
      <c r="C22" s="144">
        <v>18441</v>
      </c>
      <c r="D22" s="144">
        <v>18859</v>
      </c>
      <c r="E22" s="144">
        <v>20094</v>
      </c>
      <c r="F22" s="144">
        <v>22983</v>
      </c>
      <c r="G22" s="53"/>
      <c r="H22" s="53"/>
      <c r="I22" s="53"/>
      <c r="J22" s="54"/>
      <c r="K22" s="54"/>
      <c r="L22" s="54"/>
      <c r="M22" s="54"/>
      <c r="N22" s="54"/>
      <c r="O22" s="54"/>
      <c r="P22" s="54"/>
      <c r="Q22" s="54"/>
      <c r="R22" s="54"/>
      <c r="S22" s="51"/>
      <c r="T22" s="51"/>
      <c r="U22" s="51"/>
      <c r="V22" s="51"/>
      <c r="W22" s="51"/>
      <c r="X22" s="51"/>
      <c r="Y22" s="51"/>
    </row>
    <row r="23" spans="1:25">
      <c r="A23" s="34" t="s">
        <v>172</v>
      </c>
      <c r="B23" s="144">
        <v>74429</v>
      </c>
      <c r="C23" s="144">
        <v>84319</v>
      </c>
      <c r="D23" s="144">
        <v>89206</v>
      </c>
      <c r="E23" s="144">
        <v>98803</v>
      </c>
      <c r="F23" s="144">
        <v>109612</v>
      </c>
      <c r="G23" s="53"/>
      <c r="H23" s="53"/>
      <c r="I23" s="53"/>
      <c r="J23" s="54"/>
      <c r="K23" s="54"/>
      <c r="L23" s="54"/>
      <c r="M23" s="54"/>
      <c r="N23" s="54"/>
      <c r="O23" s="54"/>
      <c r="P23" s="54"/>
      <c r="Q23" s="54"/>
      <c r="R23" s="54"/>
      <c r="S23" s="51"/>
      <c r="T23" s="51"/>
      <c r="U23" s="51"/>
      <c r="V23" s="51"/>
      <c r="W23" s="51"/>
      <c r="X23" s="51"/>
      <c r="Y23" s="51"/>
    </row>
    <row r="24" spans="1:25">
      <c r="A24" s="34" t="s">
        <v>173</v>
      </c>
      <c r="B24" s="144">
        <v>84015</v>
      </c>
      <c r="C24" s="144">
        <v>92201</v>
      </c>
      <c r="D24" s="144">
        <v>99228</v>
      </c>
      <c r="E24" s="144">
        <v>102307</v>
      </c>
      <c r="F24" s="144">
        <v>117801</v>
      </c>
      <c r="G24" s="53"/>
      <c r="H24" s="53"/>
      <c r="I24" s="53"/>
      <c r="J24" s="54"/>
      <c r="K24" s="54"/>
      <c r="L24" s="54"/>
      <c r="M24" s="54"/>
      <c r="N24" s="54"/>
      <c r="O24" s="54"/>
      <c r="P24" s="54"/>
      <c r="Q24" s="54"/>
      <c r="R24" s="54"/>
      <c r="S24" s="51"/>
      <c r="T24" s="51"/>
      <c r="U24" s="51"/>
      <c r="V24" s="51"/>
      <c r="W24" s="51"/>
      <c r="X24" s="51"/>
      <c r="Y24" s="51"/>
    </row>
    <row r="25" spans="1:25">
      <c r="A25" s="34" t="s">
        <v>178</v>
      </c>
      <c r="B25" s="144">
        <v>5323</v>
      </c>
      <c r="C25" s="144">
        <v>7362</v>
      </c>
      <c r="D25" s="144">
        <v>7587</v>
      </c>
      <c r="E25" s="144">
        <v>7762</v>
      </c>
      <c r="F25" s="144">
        <v>7865</v>
      </c>
      <c r="G25" s="53"/>
      <c r="H25" s="53"/>
      <c r="I25" s="53"/>
      <c r="J25" s="54"/>
      <c r="K25" s="54"/>
      <c r="L25" s="54"/>
      <c r="M25" s="54"/>
      <c r="N25" s="54"/>
      <c r="O25" s="54"/>
      <c r="P25" s="54"/>
      <c r="Q25" s="54"/>
      <c r="R25" s="54"/>
      <c r="S25" s="51"/>
      <c r="T25" s="51"/>
      <c r="U25" s="51"/>
      <c r="V25" s="51"/>
      <c r="W25" s="51"/>
      <c r="X25" s="51"/>
      <c r="Y25" s="51"/>
    </row>
    <row r="26" spans="1:25">
      <c r="A26" s="34" t="s">
        <v>903</v>
      </c>
      <c r="B26" s="144">
        <v>49483</v>
      </c>
      <c r="C26" s="144">
        <v>51273</v>
      </c>
      <c r="D26" s="144">
        <v>51889</v>
      </c>
      <c r="E26" s="144">
        <v>54110</v>
      </c>
      <c r="F26" s="144">
        <v>55921</v>
      </c>
      <c r="G26" s="53"/>
      <c r="H26" s="53"/>
      <c r="I26" s="53"/>
      <c r="J26" s="54"/>
      <c r="K26" s="54"/>
      <c r="L26" s="54"/>
      <c r="M26" s="54"/>
      <c r="N26" s="54"/>
      <c r="O26" s="54"/>
      <c r="P26" s="54"/>
      <c r="Q26" s="54"/>
      <c r="R26" s="54"/>
      <c r="S26" s="51"/>
      <c r="T26" s="51"/>
      <c r="U26" s="51"/>
      <c r="V26" s="51"/>
      <c r="W26" s="51"/>
      <c r="X26" s="51"/>
      <c r="Y26" s="51"/>
    </row>
    <row r="27" spans="1:25" ht="13" customHeight="1">
      <c r="A27" s="212" t="s">
        <v>55</v>
      </c>
      <c r="B27" s="211">
        <v>213250</v>
      </c>
      <c r="C27" s="211">
        <v>235155</v>
      </c>
      <c r="D27" s="211">
        <v>247910</v>
      </c>
      <c r="E27" s="211">
        <v>262982</v>
      </c>
      <c r="F27" s="211">
        <v>291199</v>
      </c>
      <c r="G27" s="53"/>
      <c r="H27" s="53"/>
      <c r="I27" s="53"/>
      <c r="J27" s="54"/>
      <c r="K27" s="54"/>
      <c r="L27" s="54"/>
      <c r="M27" s="54"/>
      <c r="N27" s="54"/>
      <c r="O27" s="54"/>
      <c r="P27" s="54"/>
      <c r="Q27" s="54"/>
      <c r="R27" s="54"/>
      <c r="S27" s="51"/>
      <c r="T27" s="51"/>
      <c r="U27" s="51"/>
      <c r="V27" s="51"/>
      <c r="W27" s="51"/>
      <c r="X27" s="51"/>
      <c r="Y27" s="51"/>
    </row>
    <row r="28" spans="1:25">
      <c r="A28" s="36" t="s">
        <v>559</v>
      </c>
      <c r="B28" s="145"/>
      <c r="C28" s="145"/>
      <c r="D28" s="145"/>
      <c r="E28" s="145"/>
      <c r="F28" s="145"/>
      <c r="G28" s="53"/>
      <c r="H28" s="53"/>
      <c r="I28" s="53"/>
      <c r="J28" s="54"/>
      <c r="K28" s="54"/>
      <c r="L28" s="54"/>
      <c r="M28" s="54"/>
      <c r="N28" s="54"/>
      <c r="O28" s="54"/>
      <c r="P28" s="54"/>
      <c r="Q28" s="54"/>
      <c r="R28" s="54"/>
      <c r="S28" s="51"/>
      <c r="T28" s="51"/>
      <c r="U28" s="51"/>
      <c r="V28" s="51"/>
      <c r="W28" s="51"/>
      <c r="X28" s="51"/>
      <c r="Y28" s="51"/>
    </row>
    <row r="29" spans="1:25">
      <c r="A29" s="34" t="s">
        <v>904</v>
      </c>
      <c r="B29" s="144">
        <v>91991</v>
      </c>
      <c r="C29" s="144">
        <v>95023</v>
      </c>
      <c r="D29" s="144">
        <v>98956</v>
      </c>
      <c r="E29" s="144">
        <v>103464</v>
      </c>
      <c r="F29" s="144">
        <v>110989</v>
      </c>
      <c r="G29" s="53"/>
      <c r="H29" s="53"/>
      <c r="I29" s="53"/>
      <c r="J29" s="54"/>
      <c r="K29" s="54"/>
      <c r="L29" s="54"/>
      <c r="M29" s="54"/>
      <c r="N29" s="54"/>
      <c r="O29" s="54"/>
      <c r="P29" s="54"/>
      <c r="Q29" s="54"/>
      <c r="R29" s="54"/>
      <c r="S29" s="51"/>
      <c r="T29" s="51"/>
      <c r="U29" s="51"/>
      <c r="V29" s="51"/>
      <c r="W29" s="51"/>
      <c r="X29" s="51"/>
      <c r="Y29" s="51"/>
    </row>
    <row r="30" spans="1:25">
      <c r="A30" s="34" t="s">
        <v>905</v>
      </c>
      <c r="B30" s="144">
        <v>-45165</v>
      </c>
      <c r="C30" s="144">
        <v>-54468</v>
      </c>
      <c r="D30" s="144">
        <v>-67433</v>
      </c>
      <c r="E30" s="144">
        <v>-81474</v>
      </c>
      <c r="F30" s="144">
        <v>-98516</v>
      </c>
      <c r="G30" s="53"/>
      <c r="H30" s="53"/>
      <c r="I30" s="53"/>
      <c r="J30" s="54"/>
      <c r="K30" s="54"/>
      <c r="L30" s="54"/>
      <c r="M30" s="54"/>
      <c r="N30" s="54"/>
      <c r="O30" s="54"/>
      <c r="P30" s="54"/>
      <c r="Q30" s="54"/>
      <c r="R30" s="54"/>
      <c r="S30" s="51"/>
      <c r="T30" s="51"/>
      <c r="U30" s="51"/>
      <c r="V30" s="51"/>
      <c r="W30" s="51"/>
      <c r="X30" s="51"/>
      <c r="Y30" s="51"/>
    </row>
    <row r="31" spans="1:25">
      <c r="A31" s="34" t="s">
        <v>906</v>
      </c>
      <c r="B31" s="144">
        <v>96250</v>
      </c>
      <c r="C31" s="144">
        <v>121517</v>
      </c>
      <c r="D31" s="144">
        <v>135685</v>
      </c>
      <c r="E31" s="144">
        <v>158785</v>
      </c>
      <c r="F31" s="144">
        <v>182547</v>
      </c>
      <c r="G31" s="53"/>
      <c r="H31" s="53"/>
      <c r="I31" s="53"/>
      <c r="J31" s="54"/>
      <c r="K31" s="54"/>
      <c r="L31" s="54"/>
      <c r="M31" s="54"/>
      <c r="N31" s="54"/>
      <c r="O31" s="54"/>
      <c r="P31" s="54"/>
      <c r="Q31" s="54"/>
      <c r="R31" s="54"/>
      <c r="S31" s="51"/>
      <c r="T31" s="51"/>
      <c r="U31" s="51"/>
      <c r="V31" s="51"/>
      <c r="W31" s="51"/>
      <c r="X31" s="51"/>
      <c r="Y31" s="51"/>
    </row>
    <row r="32" spans="1:25">
      <c r="A32" s="34" t="s">
        <v>907</v>
      </c>
      <c r="B32" s="144">
        <v>-6085</v>
      </c>
      <c r="C32" s="144">
        <v>-7632</v>
      </c>
      <c r="D32" s="144">
        <v>-8289</v>
      </c>
      <c r="E32" s="144">
        <v>-7878</v>
      </c>
      <c r="F32" s="144">
        <v>-9463</v>
      </c>
      <c r="G32" s="53"/>
      <c r="H32" s="53"/>
      <c r="I32" s="53"/>
      <c r="J32" s="54"/>
      <c r="K32" s="54"/>
      <c r="L32" s="54"/>
      <c r="M32" s="54"/>
      <c r="N32" s="54"/>
      <c r="O32" s="54"/>
      <c r="P32" s="54"/>
      <c r="Q32" s="54"/>
      <c r="R32" s="54"/>
      <c r="S32" s="51"/>
      <c r="T32" s="51"/>
      <c r="U32" s="51"/>
      <c r="V32" s="51"/>
      <c r="W32" s="51"/>
      <c r="X32" s="51"/>
      <c r="Y32" s="51"/>
    </row>
    <row r="33" spans="1:25">
      <c r="A33" s="34" t="s">
        <v>908</v>
      </c>
      <c r="B33" s="144">
        <v>1748</v>
      </c>
      <c r="C33" s="144">
        <v>1573</v>
      </c>
      <c r="D33" s="144">
        <v>1295</v>
      </c>
      <c r="E33" s="144">
        <v>2606</v>
      </c>
      <c r="F33" s="145">
        <v>779</v>
      </c>
      <c r="G33" s="53"/>
      <c r="H33" s="53"/>
      <c r="I33" s="53"/>
      <c r="J33" s="54"/>
      <c r="K33" s="54"/>
      <c r="L33" s="54"/>
      <c r="M33" s="54"/>
      <c r="N33" s="54"/>
      <c r="O33" s="54"/>
      <c r="P33" s="54"/>
      <c r="Q33" s="54"/>
      <c r="R33" s="54"/>
      <c r="S33" s="51"/>
      <c r="T33" s="51"/>
      <c r="U33" s="51"/>
      <c r="V33" s="51"/>
      <c r="W33" s="51"/>
      <c r="X33" s="51"/>
      <c r="Y33" s="51"/>
    </row>
    <row r="34" spans="1:25">
      <c r="A34" s="210" t="s">
        <v>65</v>
      </c>
      <c r="B34" s="211">
        <v>138739</v>
      </c>
      <c r="C34" s="211">
        <v>156013</v>
      </c>
      <c r="D34" s="211">
        <v>160214</v>
      </c>
      <c r="E34" s="211">
        <v>175503</v>
      </c>
      <c r="F34" s="211">
        <v>186336</v>
      </c>
      <c r="G34" s="53"/>
      <c r="H34" s="53"/>
      <c r="I34" s="53"/>
      <c r="J34" s="54"/>
      <c r="K34" s="54"/>
      <c r="L34" s="54"/>
      <c r="M34" s="54"/>
      <c r="N34" s="54"/>
      <c r="O34" s="54"/>
      <c r="P34" s="54"/>
      <c r="Q34" s="54"/>
      <c r="R34" s="54"/>
      <c r="S34" s="51"/>
      <c r="T34" s="51"/>
      <c r="U34" s="51"/>
      <c r="V34" s="51"/>
      <c r="W34" s="51"/>
      <c r="X34" s="51"/>
      <c r="Y34" s="51"/>
    </row>
    <row r="35" spans="1:25">
      <c r="A35" s="79" t="s">
        <v>273</v>
      </c>
      <c r="B35" s="146">
        <f>SUM(B4:B34)</f>
        <v>1681523</v>
      </c>
      <c r="C35" s="146">
        <f>SUM(C4:C34)</f>
        <v>1795314</v>
      </c>
      <c r="D35" s="146">
        <f>SUM(D4:D34)</f>
        <v>1834694</v>
      </c>
      <c r="E35" s="146">
        <f>SUM(E4:E34)</f>
        <v>2019134</v>
      </c>
      <c r="F35" s="146">
        <f>SUBTOTAL(109,Table6[2024])</f>
        <v>2190596</v>
      </c>
      <c r="G35" s="53"/>
      <c r="H35" s="53"/>
      <c r="I35" s="53"/>
      <c r="J35" s="54"/>
      <c r="K35" s="54"/>
      <c r="L35" s="54"/>
      <c r="M35" s="54"/>
      <c r="N35" s="54"/>
      <c r="O35" s="54"/>
      <c r="P35" s="54"/>
      <c r="Q35" s="54"/>
      <c r="R35" s="54"/>
      <c r="S35" s="51"/>
      <c r="T35" s="51"/>
      <c r="U35" s="51"/>
      <c r="V35" s="51"/>
      <c r="W35" s="51"/>
      <c r="X35" s="51"/>
      <c r="Y35" s="51"/>
    </row>
    <row r="36" spans="1:25">
      <c r="A36" s="53"/>
      <c r="B36" s="53"/>
      <c r="C36" s="53"/>
      <c r="D36" s="53"/>
      <c r="E36" s="53"/>
      <c r="F36" s="53"/>
      <c r="G36" s="53"/>
      <c r="H36" s="53"/>
      <c r="I36" s="53"/>
      <c r="J36" s="54"/>
      <c r="K36" s="54"/>
      <c r="L36" s="54"/>
      <c r="M36" s="54"/>
      <c r="N36" s="54"/>
      <c r="O36" s="54"/>
      <c r="P36" s="54"/>
      <c r="Q36" s="54"/>
      <c r="R36" s="54"/>
      <c r="S36" s="51"/>
      <c r="T36" s="51"/>
      <c r="U36" s="51"/>
      <c r="V36" s="51"/>
      <c r="W36" s="51"/>
      <c r="X36" s="51"/>
      <c r="Y36" s="51"/>
    </row>
    <row r="37" spans="1:25">
      <c r="A37" s="53"/>
      <c r="B37" s="53"/>
      <c r="C37" s="53"/>
      <c r="D37" s="53"/>
      <c r="E37" s="53"/>
      <c r="F37" s="53"/>
      <c r="G37" s="53"/>
      <c r="H37" s="53"/>
      <c r="I37" s="53"/>
      <c r="J37" s="54"/>
      <c r="K37" s="54"/>
      <c r="L37" s="54"/>
      <c r="M37" s="54"/>
      <c r="N37" s="54"/>
      <c r="O37" s="54"/>
      <c r="P37" s="54"/>
      <c r="Q37" s="54"/>
      <c r="R37" s="54"/>
      <c r="S37" s="51"/>
      <c r="T37" s="51"/>
      <c r="U37" s="51"/>
      <c r="V37" s="51"/>
      <c r="W37" s="51"/>
      <c r="X37" s="51"/>
      <c r="Y37" s="51"/>
    </row>
    <row r="38" spans="1:25">
      <c r="A38" s="53"/>
      <c r="B38" s="53"/>
      <c r="C38" s="53"/>
      <c r="D38" s="53"/>
      <c r="E38" s="53"/>
      <c r="F38" s="53"/>
      <c r="G38" s="53"/>
      <c r="H38" s="53"/>
      <c r="I38" s="53"/>
      <c r="J38" s="54"/>
      <c r="K38" s="54"/>
      <c r="L38" s="54"/>
      <c r="M38" s="54"/>
      <c r="N38" s="54"/>
      <c r="O38" s="54"/>
      <c r="P38" s="54"/>
      <c r="Q38" s="54"/>
      <c r="R38" s="54"/>
      <c r="S38" s="51"/>
      <c r="T38" s="51"/>
      <c r="U38" s="51"/>
      <c r="V38" s="51"/>
      <c r="W38" s="51"/>
      <c r="X38" s="51"/>
      <c r="Y38" s="51"/>
    </row>
    <row r="39" spans="1:25">
      <c r="A39" s="53"/>
      <c r="B39" s="53"/>
      <c r="C39" s="53"/>
      <c r="D39" s="53"/>
      <c r="E39" s="53"/>
      <c r="F39" s="53"/>
      <c r="G39" s="53"/>
      <c r="H39" s="53"/>
      <c r="I39" s="53"/>
      <c r="J39" s="54"/>
      <c r="K39" s="54"/>
      <c r="L39" s="54"/>
      <c r="M39" s="54"/>
      <c r="N39" s="54"/>
      <c r="O39" s="54"/>
      <c r="P39" s="54"/>
      <c r="Q39" s="54"/>
      <c r="R39" s="54"/>
      <c r="S39" s="51"/>
      <c r="T39" s="51"/>
      <c r="U39" s="51"/>
      <c r="V39" s="51"/>
      <c r="W39" s="51"/>
      <c r="X39" s="51"/>
      <c r="Y39" s="51"/>
    </row>
    <row r="40" spans="1:25">
      <c r="A40" s="53"/>
      <c r="B40" s="53"/>
      <c r="C40" s="53"/>
      <c r="D40" s="53"/>
      <c r="E40" s="53"/>
      <c r="F40" s="53"/>
      <c r="G40" s="53"/>
      <c r="H40" s="53"/>
      <c r="I40" s="53"/>
      <c r="J40" s="54"/>
      <c r="K40" s="54"/>
      <c r="L40" s="54"/>
      <c r="M40" s="54"/>
      <c r="N40" s="54"/>
      <c r="O40" s="54"/>
      <c r="P40" s="54"/>
      <c r="Q40" s="54"/>
      <c r="R40" s="54"/>
      <c r="S40" s="51"/>
      <c r="T40" s="51"/>
      <c r="U40" s="51"/>
      <c r="V40" s="51"/>
      <c r="W40" s="51"/>
      <c r="X40" s="51"/>
      <c r="Y40" s="51"/>
    </row>
    <row r="41" spans="1:25">
      <c r="A41" s="54"/>
      <c r="B41" s="54"/>
      <c r="C41" s="54"/>
      <c r="D41" s="54"/>
      <c r="E41" s="54"/>
      <c r="F41" s="54"/>
      <c r="G41" s="54"/>
      <c r="H41" s="54"/>
      <c r="I41" s="54"/>
      <c r="J41" s="54"/>
      <c r="K41" s="54"/>
      <c r="L41" s="54"/>
      <c r="M41" s="54"/>
      <c r="N41" s="54"/>
      <c r="O41" s="54"/>
      <c r="P41" s="54"/>
      <c r="Q41" s="54"/>
      <c r="R41" s="54"/>
      <c r="S41" s="51"/>
      <c r="T41" s="51"/>
      <c r="U41" s="51"/>
      <c r="V41" s="51"/>
      <c r="W41" s="51"/>
      <c r="X41" s="51"/>
      <c r="Y41" s="51"/>
    </row>
    <row r="42" spans="1:25">
      <c r="A42" s="54"/>
      <c r="B42" s="54"/>
      <c r="C42" s="54"/>
      <c r="D42" s="54"/>
      <c r="E42" s="54"/>
      <c r="F42" s="54"/>
      <c r="G42" s="54"/>
      <c r="H42" s="54"/>
      <c r="I42" s="54"/>
      <c r="J42" s="54"/>
      <c r="K42" s="54"/>
      <c r="L42" s="54"/>
      <c r="M42" s="54"/>
      <c r="N42" s="54"/>
      <c r="O42" s="54"/>
      <c r="P42" s="54"/>
      <c r="Q42" s="54"/>
      <c r="R42" s="54"/>
      <c r="S42" s="51"/>
      <c r="T42" s="51"/>
      <c r="U42" s="51"/>
      <c r="V42" s="51"/>
      <c r="W42" s="51"/>
      <c r="X42" s="51"/>
      <c r="Y42" s="51"/>
    </row>
    <row r="43" spans="1:25">
      <c r="A43" s="54"/>
      <c r="B43" s="54"/>
      <c r="C43" s="54"/>
      <c r="D43" s="54"/>
      <c r="E43" s="54"/>
      <c r="F43" s="54"/>
      <c r="G43" s="54"/>
      <c r="H43" s="54"/>
      <c r="I43" s="54"/>
      <c r="J43" s="54"/>
      <c r="K43" s="54"/>
      <c r="L43" s="54"/>
      <c r="M43" s="54"/>
      <c r="N43" s="54"/>
      <c r="O43" s="54"/>
      <c r="P43" s="54"/>
      <c r="Q43" s="54"/>
      <c r="R43" s="54"/>
      <c r="S43" s="51"/>
      <c r="T43" s="51"/>
      <c r="U43" s="51"/>
      <c r="V43" s="51"/>
      <c r="W43" s="51"/>
      <c r="X43" s="51"/>
      <c r="Y43" s="51"/>
    </row>
    <row r="44" spans="1:25">
      <c r="A44" s="54"/>
      <c r="B44" s="54"/>
      <c r="C44" s="54"/>
      <c r="D44" s="54"/>
      <c r="E44" s="54"/>
      <c r="F44" s="54"/>
      <c r="G44" s="54"/>
      <c r="H44" s="54"/>
      <c r="I44" s="54"/>
      <c r="J44" s="54"/>
      <c r="K44" s="54"/>
      <c r="L44" s="54"/>
      <c r="M44" s="54"/>
      <c r="N44" s="54"/>
      <c r="O44" s="54"/>
      <c r="P44" s="54"/>
      <c r="Q44" s="54"/>
      <c r="R44" s="54"/>
      <c r="S44" s="51"/>
      <c r="T44" s="51"/>
      <c r="U44" s="51"/>
      <c r="V44" s="51"/>
      <c r="W44" s="51"/>
      <c r="X44" s="51"/>
      <c r="Y44" s="51"/>
    </row>
    <row r="45" spans="1:25">
      <c r="A45" s="54"/>
      <c r="B45" s="54"/>
      <c r="C45" s="54"/>
      <c r="D45" s="54"/>
      <c r="E45" s="54"/>
      <c r="F45" s="54"/>
      <c r="G45" s="54"/>
      <c r="H45" s="54"/>
      <c r="I45" s="54"/>
      <c r="J45" s="54"/>
      <c r="K45" s="54"/>
      <c r="L45" s="54"/>
      <c r="M45" s="54"/>
      <c r="N45" s="54"/>
      <c r="O45" s="54"/>
      <c r="P45" s="54"/>
      <c r="Q45" s="54"/>
      <c r="R45" s="54"/>
      <c r="S45" s="51"/>
      <c r="T45" s="51"/>
      <c r="U45" s="51"/>
      <c r="V45" s="51"/>
      <c r="W45" s="51"/>
      <c r="X45" s="51"/>
      <c r="Y45" s="51"/>
    </row>
    <row r="46" spans="1:25">
      <c r="A46" s="54"/>
      <c r="B46" s="54"/>
      <c r="C46" s="54"/>
      <c r="D46" s="54"/>
      <c r="E46" s="54"/>
      <c r="F46" s="54"/>
      <c r="G46" s="54"/>
      <c r="H46" s="54"/>
      <c r="I46" s="54"/>
      <c r="J46" s="54"/>
      <c r="K46" s="54"/>
      <c r="L46" s="54"/>
      <c r="M46" s="54"/>
      <c r="N46" s="54"/>
      <c r="O46" s="54"/>
      <c r="P46" s="54"/>
      <c r="Q46" s="54"/>
      <c r="R46" s="54"/>
      <c r="S46" s="51"/>
      <c r="T46" s="51"/>
      <c r="U46" s="51"/>
      <c r="V46" s="51"/>
      <c r="W46" s="51"/>
      <c r="X46" s="51"/>
      <c r="Y46" s="51"/>
    </row>
    <row r="47" spans="1:25">
      <c r="A47" s="54"/>
      <c r="B47" s="54"/>
      <c r="C47" s="54"/>
      <c r="D47" s="54"/>
      <c r="E47" s="54"/>
      <c r="F47" s="54"/>
      <c r="G47" s="54"/>
      <c r="H47" s="54"/>
      <c r="I47" s="54"/>
      <c r="J47" s="54"/>
      <c r="K47" s="54"/>
      <c r="L47" s="54"/>
      <c r="M47" s="54"/>
      <c r="N47" s="54"/>
      <c r="O47" s="54"/>
      <c r="P47" s="54"/>
      <c r="Q47" s="54"/>
      <c r="R47" s="54"/>
      <c r="S47" s="51"/>
      <c r="T47" s="51"/>
      <c r="U47" s="51"/>
      <c r="V47" s="51"/>
      <c r="W47" s="51"/>
      <c r="X47" s="51"/>
      <c r="Y47" s="51"/>
    </row>
    <row r="48" spans="1:25">
      <c r="A48" s="54"/>
      <c r="B48" s="54"/>
      <c r="C48" s="54"/>
      <c r="D48" s="54"/>
      <c r="E48" s="54"/>
      <c r="F48" s="54"/>
      <c r="G48" s="54"/>
      <c r="H48" s="54"/>
      <c r="I48" s="54"/>
      <c r="J48" s="54"/>
      <c r="K48" s="54"/>
      <c r="L48" s="54"/>
      <c r="M48" s="54"/>
      <c r="N48" s="54"/>
      <c r="O48" s="54"/>
      <c r="P48" s="54"/>
      <c r="Q48" s="54"/>
      <c r="R48" s="54"/>
      <c r="S48" s="51"/>
      <c r="T48" s="51"/>
      <c r="U48" s="51"/>
      <c r="V48" s="51"/>
      <c r="W48" s="51"/>
      <c r="X48" s="51"/>
      <c r="Y48" s="51"/>
    </row>
    <row r="49" spans="1:25">
      <c r="A49" s="51"/>
      <c r="B49" s="51"/>
      <c r="C49" s="51"/>
      <c r="D49" s="51"/>
      <c r="E49" s="51"/>
      <c r="F49" s="51"/>
      <c r="G49" s="54"/>
      <c r="H49" s="54"/>
      <c r="I49" s="54"/>
      <c r="J49" s="54"/>
      <c r="K49" s="54"/>
      <c r="L49" s="54"/>
      <c r="M49" s="54"/>
      <c r="N49" s="54"/>
      <c r="O49" s="54"/>
      <c r="P49" s="54"/>
      <c r="Q49" s="54"/>
      <c r="R49" s="54"/>
      <c r="S49" s="51"/>
      <c r="T49" s="51"/>
      <c r="U49" s="51"/>
      <c r="V49" s="51"/>
      <c r="W49" s="51"/>
      <c r="X49" s="51"/>
      <c r="Y49" s="51"/>
    </row>
    <row r="50" spans="1:25">
      <c r="A50" s="51"/>
      <c r="B50" s="51"/>
      <c r="C50" s="51"/>
      <c r="D50" s="51"/>
      <c r="E50" s="51"/>
      <c r="F50" s="51"/>
      <c r="G50" s="54"/>
      <c r="H50" s="54"/>
      <c r="I50" s="54"/>
      <c r="J50" s="54"/>
      <c r="K50" s="54"/>
      <c r="L50" s="54"/>
      <c r="M50" s="54"/>
      <c r="N50" s="54"/>
      <c r="O50" s="54"/>
      <c r="P50" s="54"/>
      <c r="Q50" s="54"/>
      <c r="R50" s="54"/>
      <c r="S50" s="51"/>
      <c r="T50" s="51"/>
      <c r="U50" s="51"/>
      <c r="V50" s="51"/>
      <c r="W50" s="51"/>
      <c r="X50" s="51"/>
      <c r="Y50" s="51"/>
    </row>
    <row r="51" spans="1:25">
      <c r="A51" s="51"/>
      <c r="B51" s="51"/>
      <c r="C51" s="51"/>
      <c r="D51" s="51"/>
      <c r="E51" s="51"/>
      <c r="F51" s="51"/>
      <c r="G51" s="54"/>
      <c r="H51" s="54"/>
      <c r="I51" s="54"/>
      <c r="J51" s="54"/>
      <c r="K51" s="54"/>
      <c r="L51" s="54"/>
      <c r="M51" s="54"/>
      <c r="N51" s="54"/>
      <c r="O51" s="54"/>
      <c r="P51" s="54"/>
      <c r="Q51" s="54"/>
      <c r="R51" s="54"/>
      <c r="S51" s="51"/>
      <c r="T51" s="51"/>
      <c r="U51" s="51"/>
      <c r="V51" s="51"/>
      <c r="W51" s="51"/>
      <c r="X51" s="51"/>
      <c r="Y51" s="51"/>
    </row>
    <row r="52" spans="1:25">
      <c r="A52" s="51"/>
      <c r="B52" s="51"/>
      <c r="C52" s="51"/>
      <c r="D52" s="51"/>
      <c r="E52" s="51"/>
      <c r="F52" s="51"/>
      <c r="G52" s="54"/>
      <c r="H52" s="54"/>
      <c r="I52" s="54"/>
      <c r="J52" s="54"/>
      <c r="K52" s="54"/>
      <c r="L52" s="54"/>
      <c r="M52" s="54"/>
      <c r="N52" s="54"/>
      <c r="O52" s="54"/>
      <c r="P52" s="54"/>
      <c r="Q52" s="54"/>
      <c r="R52" s="54"/>
      <c r="S52" s="51"/>
      <c r="T52" s="51"/>
      <c r="U52" s="51"/>
      <c r="V52" s="51"/>
      <c r="W52" s="51"/>
      <c r="X52" s="51"/>
      <c r="Y52" s="51"/>
    </row>
    <row r="53" spans="1:25">
      <c r="A53" s="51"/>
      <c r="B53" s="51"/>
      <c r="C53" s="51"/>
      <c r="D53" s="51"/>
      <c r="E53" s="51"/>
      <c r="F53" s="51"/>
      <c r="G53" s="54"/>
      <c r="H53" s="54"/>
      <c r="I53" s="54"/>
      <c r="J53" s="54"/>
      <c r="K53" s="54"/>
      <c r="L53" s="54"/>
      <c r="M53" s="54"/>
      <c r="N53" s="54"/>
      <c r="O53" s="54"/>
      <c r="P53" s="54"/>
      <c r="Q53" s="54"/>
      <c r="R53" s="54"/>
      <c r="S53" s="51"/>
      <c r="T53" s="51"/>
      <c r="U53" s="51"/>
      <c r="V53" s="51"/>
      <c r="W53" s="51"/>
      <c r="X53" s="51"/>
      <c r="Y53" s="51"/>
    </row>
    <row r="54" spans="1:25">
      <c r="A54" s="51"/>
      <c r="B54" s="51"/>
      <c r="C54" s="51"/>
      <c r="D54" s="51"/>
      <c r="E54" s="51"/>
      <c r="F54" s="51"/>
      <c r="G54" s="54"/>
      <c r="H54" s="54"/>
      <c r="I54" s="54"/>
      <c r="J54" s="54"/>
      <c r="K54" s="54"/>
      <c r="L54" s="54"/>
      <c r="M54" s="54"/>
      <c r="N54" s="54"/>
      <c r="O54" s="54"/>
      <c r="P54" s="54"/>
      <c r="Q54" s="54"/>
      <c r="R54" s="54"/>
      <c r="S54" s="51"/>
      <c r="T54" s="51"/>
      <c r="U54" s="51"/>
      <c r="V54" s="51"/>
      <c r="W54" s="51"/>
      <c r="X54" s="51"/>
      <c r="Y54" s="51"/>
    </row>
    <row r="55" spans="1:25">
      <c r="A55" s="51"/>
      <c r="B55" s="51"/>
      <c r="C55" s="51"/>
      <c r="D55" s="51"/>
      <c r="E55" s="51"/>
      <c r="F55" s="51"/>
      <c r="G55" s="54"/>
      <c r="H55" s="54"/>
      <c r="I55" s="54"/>
      <c r="J55" s="54"/>
      <c r="K55" s="54"/>
      <c r="L55" s="54"/>
      <c r="M55" s="54"/>
      <c r="N55" s="54"/>
      <c r="O55" s="54"/>
      <c r="P55" s="54"/>
      <c r="Q55" s="54"/>
      <c r="R55" s="54"/>
      <c r="S55" s="51"/>
      <c r="T55" s="51"/>
      <c r="U55" s="51"/>
      <c r="V55" s="51"/>
      <c r="W55" s="51"/>
      <c r="X55" s="51"/>
      <c r="Y55" s="51"/>
    </row>
    <row r="56" spans="1:25">
      <c r="A56" s="51"/>
      <c r="B56" s="51"/>
      <c r="C56" s="51"/>
      <c r="D56" s="51"/>
      <c r="E56" s="51"/>
      <c r="F56" s="51"/>
      <c r="G56" s="54"/>
      <c r="H56" s="54"/>
      <c r="I56" s="54"/>
      <c r="J56" s="54"/>
      <c r="K56" s="54"/>
      <c r="L56" s="54"/>
      <c r="M56" s="54"/>
      <c r="N56" s="54"/>
      <c r="O56" s="54"/>
      <c r="P56" s="54"/>
      <c r="Q56" s="54"/>
      <c r="R56" s="54"/>
      <c r="S56" s="51"/>
      <c r="T56" s="51"/>
      <c r="U56" s="51"/>
      <c r="V56" s="51"/>
      <c r="W56" s="51"/>
      <c r="X56" s="51"/>
      <c r="Y56" s="51"/>
    </row>
    <row r="57" spans="1:25">
      <c r="A57" s="51"/>
      <c r="B57" s="51"/>
      <c r="C57" s="51"/>
      <c r="D57" s="51"/>
      <c r="E57" s="51"/>
      <c r="F57" s="51"/>
      <c r="G57" s="54"/>
      <c r="H57" s="54"/>
      <c r="I57" s="54"/>
      <c r="J57" s="54"/>
      <c r="K57" s="54"/>
      <c r="L57" s="54"/>
      <c r="M57" s="54"/>
      <c r="N57" s="54"/>
      <c r="O57" s="54"/>
      <c r="P57" s="54"/>
      <c r="Q57" s="54"/>
      <c r="R57" s="54"/>
      <c r="S57" s="51"/>
      <c r="T57" s="51"/>
      <c r="U57" s="51"/>
      <c r="V57" s="51"/>
      <c r="W57" s="51"/>
      <c r="X57" s="51"/>
      <c r="Y57" s="51"/>
    </row>
    <row r="58" spans="1:25">
      <c r="A58" s="51"/>
      <c r="B58" s="51"/>
      <c r="C58" s="51"/>
      <c r="D58" s="51"/>
      <c r="E58" s="51"/>
      <c r="F58" s="51"/>
      <c r="G58" s="54"/>
      <c r="H58" s="54"/>
      <c r="I58" s="54"/>
      <c r="J58" s="54"/>
      <c r="K58" s="54"/>
      <c r="L58" s="54"/>
      <c r="M58" s="54"/>
      <c r="N58" s="54"/>
      <c r="O58" s="54"/>
      <c r="P58" s="54"/>
      <c r="Q58" s="54"/>
      <c r="R58" s="54"/>
      <c r="S58" s="51"/>
      <c r="T58" s="51"/>
      <c r="U58" s="51"/>
      <c r="V58" s="51"/>
      <c r="W58" s="51"/>
      <c r="X58" s="51"/>
      <c r="Y58" s="51"/>
    </row>
    <row r="59" spans="1:25">
      <c r="A59" s="51"/>
      <c r="B59" s="51"/>
      <c r="C59" s="51"/>
      <c r="D59" s="51"/>
      <c r="E59" s="51"/>
      <c r="F59" s="51"/>
      <c r="G59" s="54"/>
      <c r="H59" s="54"/>
      <c r="I59" s="54"/>
      <c r="J59" s="54"/>
      <c r="K59" s="54"/>
      <c r="L59" s="54"/>
      <c r="M59" s="54"/>
      <c r="N59" s="54"/>
      <c r="O59" s="54"/>
      <c r="P59" s="54"/>
      <c r="Q59" s="54"/>
      <c r="R59" s="54"/>
      <c r="S59" s="51"/>
      <c r="T59" s="51"/>
      <c r="U59" s="51"/>
      <c r="V59" s="51"/>
      <c r="W59" s="51"/>
      <c r="X59" s="51"/>
      <c r="Y59" s="51"/>
    </row>
    <row r="60" spans="1:25">
      <c r="A60" s="51"/>
      <c r="B60" s="51"/>
      <c r="C60" s="51"/>
      <c r="D60" s="51"/>
      <c r="E60" s="51"/>
      <c r="F60" s="51"/>
      <c r="G60" s="54"/>
      <c r="H60" s="54"/>
      <c r="I60" s="54"/>
      <c r="J60" s="54"/>
      <c r="K60" s="54"/>
      <c r="L60" s="54"/>
      <c r="M60" s="54"/>
      <c r="N60" s="54"/>
      <c r="O60" s="54"/>
      <c r="P60" s="54"/>
      <c r="Q60" s="54"/>
      <c r="R60" s="54"/>
      <c r="S60" s="51"/>
      <c r="T60" s="51"/>
      <c r="U60" s="51"/>
      <c r="V60" s="51"/>
      <c r="W60" s="51"/>
      <c r="X60" s="51"/>
      <c r="Y60" s="51"/>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F6E9-CA89-4069-8135-07B5710DA735}">
  <dimension ref="A1:Z60"/>
  <sheetViews>
    <sheetView zoomScale="90" zoomScaleNormal="90" workbookViewId="0"/>
  </sheetViews>
  <sheetFormatPr defaultRowHeight="14"/>
  <cols>
    <col min="1" max="1" width="74.4140625" customWidth="1"/>
    <col min="2" max="2" width="15.25" customWidth="1"/>
    <col min="3" max="3" width="14.1640625" customWidth="1"/>
    <col min="4" max="4" width="15" customWidth="1"/>
    <col min="5" max="5" width="12.25" customWidth="1"/>
    <col min="6" max="6" width="14.75" customWidth="1"/>
  </cols>
  <sheetData>
    <row r="1" spans="1:26">
      <c r="A1" s="3" t="s">
        <v>2197</v>
      </c>
      <c r="B1" s="3" t="s">
        <v>119</v>
      </c>
      <c r="C1" s="3" t="s">
        <v>120</v>
      </c>
      <c r="D1" s="3" t="s">
        <v>121</v>
      </c>
      <c r="E1" s="3" t="s">
        <v>122</v>
      </c>
      <c r="F1" s="3" t="s">
        <v>123</v>
      </c>
      <c r="G1" s="53"/>
      <c r="H1" s="53"/>
      <c r="I1" s="53"/>
      <c r="J1" s="71"/>
      <c r="K1" s="71"/>
      <c r="L1" s="55"/>
      <c r="M1" s="55"/>
      <c r="N1" s="55"/>
      <c r="O1" s="55"/>
      <c r="P1" s="55"/>
      <c r="Q1" s="55"/>
      <c r="R1" s="55"/>
      <c r="S1" s="52"/>
      <c r="T1" s="52"/>
      <c r="U1" s="52"/>
      <c r="V1" s="52"/>
      <c r="W1" s="52"/>
      <c r="X1" s="52"/>
      <c r="Y1" s="52"/>
      <c r="Z1" s="52"/>
    </row>
    <row r="2" spans="1:26">
      <c r="A2" s="28" t="s">
        <v>116</v>
      </c>
      <c r="B2" s="14"/>
      <c r="C2" s="14"/>
      <c r="D2" s="14"/>
      <c r="E2" s="14"/>
      <c r="F2" s="14"/>
      <c r="G2" s="53"/>
      <c r="H2" s="53"/>
      <c r="I2" s="53"/>
      <c r="J2" s="71"/>
      <c r="K2" s="71"/>
      <c r="L2" s="55"/>
      <c r="M2" s="55"/>
      <c r="N2" s="55"/>
      <c r="O2" s="55"/>
      <c r="P2" s="55"/>
      <c r="Q2" s="55"/>
      <c r="R2" s="55"/>
      <c r="S2" s="52"/>
      <c r="T2" s="52"/>
      <c r="U2" s="52"/>
      <c r="V2" s="52"/>
      <c r="W2" s="52"/>
      <c r="X2" s="52"/>
      <c r="Y2" s="52"/>
      <c r="Z2" s="52"/>
    </row>
    <row r="3" spans="1:26">
      <c r="A3" s="28" t="s">
        <v>909</v>
      </c>
      <c r="B3" s="14"/>
      <c r="C3" s="14"/>
      <c r="D3" s="14"/>
      <c r="E3" s="14"/>
      <c r="F3" s="14"/>
      <c r="G3" s="53"/>
      <c r="H3" s="53"/>
      <c r="I3" s="53"/>
      <c r="J3" s="71"/>
      <c r="K3" s="71"/>
      <c r="L3" s="55"/>
      <c r="M3" s="55"/>
      <c r="N3" s="55"/>
      <c r="O3" s="55"/>
      <c r="P3" s="55"/>
      <c r="Q3" s="55"/>
      <c r="R3" s="55"/>
      <c r="S3" s="52"/>
      <c r="T3" s="52"/>
      <c r="U3" s="52"/>
      <c r="V3" s="52"/>
      <c r="W3" s="52"/>
      <c r="X3" s="52"/>
      <c r="Y3" s="52"/>
      <c r="Z3" s="52"/>
    </row>
    <row r="4" spans="1:26">
      <c r="A4" s="28" t="s">
        <v>19</v>
      </c>
      <c r="B4" s="147">
        <v>33271</v>
      </c>
      <c r="C4" s="147">
        <v>48221</v>
      </c>
      <c r="D4" s="147">
        <v>58152</v>
      </c>
      <c r="E4" s="147">
        <v>63303</v>
      </c>
      <c r="F4" s="147">
        <v>76132</v>
      </c>
      <c r="G4" s="53"/>
      <c r="H4" s="53"/>
      <c r="I4" s="53"/>
      <c r="J4" s="71"/>
      <c r="K4" s="71"/>
      <c r="L4" s="55"/>
      <c r="M4" s="55"/>
      <c r="N4" s="55"/>
      <c r="O4" s="55"/>
      <c r="P4" s="55"/>
      <c r="Q4" s="55"/>
      <c r="R4" s="55"/>
      <c r="S4" s="52"/>
      <c r="T4" s="52"/>
      <c r="U4" s="52"/>
      <c r="V4" s="52"/>
      <c r="W4" s="52"/>
      <c r="X4" s="52"/>
      <c r="Y4" s="52"/>
      <c r="Z4" s="52"/>
    </row>
    <row r="5" spans="1:26">
      <c r="A5" s="28" t="s">
        <v>153</v>
      </c>
      <c r="B5" s="147">
        <v>7894</v>
      </c>
      <c r="C5" s="147">
        <v>8720</v>
      </c>
      <c r="D5" s="147">
        <v>9122</v>
      </c>
      <c r="E5" s="147">
        <v>9648</v>
      </c>
      <c r="F5" s="147">
        <v>10436</v>
      </c>
      <c r="G5" s="53"/>
      <c r="H5" s="53"/>
      <c r="I5" s="53"/>
      <c r="J5" s="71"/>
      <c r="K5" s="71"/>
      <c r="L5" s="55"/>
      <c r="M5" s="55"/>
      <c r="N5" s="55"/>
      <c r="O5" s="55"/>
      <c r="P5" s="55"/>
      <c r="Q5" s="55"/>
      <c r="R5" s="55"/>
      <c r="S5" s="52"/>
      <c r="T5" s="52"/>
      <c r="U5" s="52"/>
      <c r="V5" s="52"/>
      <c r="W5" s="52"/>
      <c r="X5" s="52"/>
      <c r="Y5" s="52"/>
      <c r="Z5" s="52"/>
    </row>
    <row r="6" spans="1:26">
      <c r="A6" s="28" t="s">
        <v>910</v>
      </c>
      <c r="B6" s="147">
        <v>3104</v>
      </c>
      <c r="C6" s="147">
        <v>3486</v>
      </c>
      <c r="D6" s="147">
        <v>3722</v>
      </c>
      <c r="E6" s="147">
        <v>3991</v>
      </c>
      <c r="F6" s="147">
        <v>4215</v>
      </c>
      <c r="G6" s="53"/>
      <c r="H6" s="53"/>
      <c r="I6" s="53"/>
      <c r="J6" s="71"/>
      <c r="K6" s="71"/>
      <c r="L6" s="55"/>
      <c r="M6" s="55"/>
      <c r="N6" s="55"/>
      <c r="O6" s="55"/>
      <c r="P6" s="55"/>
      <c r="Q6" s="55"/>
      <c r="R6" s="55"/>
      <c r="S6" s="52"/>
      <c r="T6" s="52"/>
      <c r="U6" s="52"/>
      <c r="V6" s="52"/>
      <c r="W6" s="52"/>
      <c r="X6" s="52"/>
      <c r="Y6" s="52"/>
      <c r="Z6" s="52"/>
    </row>
    <row r="7" spans="1:26">
      <c r="A7" s="28" t="s">
        <v>911</v>
      </c>
      <c r="B7" s="147">
        <v>1207</v>
      </c>
      <c r="C7" s="147">
        <v>1496</v>
      </c>
      <c r="D7" s="147">
        <v>1389</v>
      </c>
      <c r="E7" s="147">
        <v>1742</v>
      </c>
      <c r="F7" s="147">
        <v>1963</v>
      </c>
      <c r="G7" s="53"/>
      <c r="H7" s="53"/>
      <c r="I7" s="53"/>
      <c r="J7" s="71"/>
      <c r="K7" s="71"/>
      <c r="L7" s="55"/>
      <c r="M7" s="55"/>
      <c r="N7" s="55"/>
      <c r="O7" s="55"/>
      <c r="P7" s="55"/>
      <c r="Q7" s="55"/>
      <c r="R7" s="55"/>
      <c r="S7" s="52"/>
      <c r="T7" s="52"/>
      <c r="U7" s="52"/>
      <c r="V7" s="52"/>
      <c r="W7" s="52"/>
      <c r="X7" s="52"/>
      <c r="Y7" s="52"/>
      <c r="Z7" s="52"/>
    </row>
    <row r="8" spans="1:26">
      <c r="A8" s="28" t="s">
        <v>890</v>
      </c>
      <c r="B8" s="82">
        <v>-30</v>
      </c>
      <c r="C8" s="82">
        <v>-645</v>
      </c>
      <c r="D8" s="82">
        <v>145</v>
      </c>
      <c r="E8" s="82">
        <v>61</v>
      </c>
      <c r="F8" s="82">
        <v>29</v>
      </c>
      <c r="G8" s="53"/>
      <c r="H8" s="53"/>
      <c r="I8" s="53"/>
      <c r="J8" s="71"/>
      <c r="K8" s="71"/>
      <c r="L8" s="55"/>
      <c r="M8" s="55"/>
      <c r="N8" s="55"/>
      <c r="O8" s="55"/>
      <c r="P8" s="55"/>
      <c r="Q8" s="55"/>
      <c r="R8" s="55"/>
      <c r="S8" s="52"/>
      <c r="T8" s="52"/>
      <c r="U8" s="52"/>
      <c r="V8" s="52"/>
      <c r="W8" s="52"/>
      <c r="X8" s="52"/>
      <c r="Y8" s="52"/>
      <c r="Z8" s="52"/>
    </row>
    <row r="9" spans="1:26">
      <c r="A9" s="28" t="s">
        <v>912</v>
      </c>
      <c r="B9" s="147">
        <v>5902</v>
      </c>
      <c r="C9" s="147">
        <v>6611</v>
      </c>
      <c r="D9" s="147">
        <v>7084</v>
      </c>
      <c r="E9" s="147">
        <v>7393</v>
      </c>
      <c r="F9" s="147">
        <v>8104</v>
      </c>
      <c r="G9" s="53"/>
      <c r="H9" s="53"/>
      <c r="I9" s="53"/>
      <c r="J9" s="71"/>
      <c r="K9" s="71"/>
      <c r="L9" s="55"/>
      <c r="M9" s="55"/>
      <c r="N9" s="55"/>
      <c r="O9" s="55"/>
      <c r="P9" s="55"/>
      <c r="Q9" s="55"/>
      <c r="R9" s="55"/>
      <c r="S9" s="52"/>
      <c r="T9" s="52"/>
      <c r="U9" s="52"/>
      <c r="V9" s="52"/>
      <c r="W9" s="52"/>
      <c r="X9" s="52"/>
      <c r="Y9" s="52"/>
      <c r="Z9" s="52"/>
    </row>
    <row r="10" spans="1:26">
      <c r="A10" s="28" t="s">
        <v>913</v>
      </c>
      <c r="B10" s="147">
        <v>-6983</v>
      </c>
      <c r="C10" s="147">
        <v>-4728</v>
      </c>
      <c r="D10" s="147">
        <v>-3915</v>
      </c>
      <c r="E10" s="147">
        <v>-2506</v>
      </c>
      <c r="F10" s="147">
        <v>-3221</v>
      </c>
      <c r="G10" s="53"/>
      <c r="H10" s="53"/>
      <c r="I10" s="53"/>
      <c r="J10" s="71"/>
      <c r="K10" s="71"/>
      <c r="L10" s="55"/>
      <c r="M10" s="55"/>
      <c r="N10" s="55"/>
      <c r="O10" s="55"/>
      <c r="P10" s="55"/>
      <c r="Q10" s="55"/>
      <c r="R10" s="55"/>
      <c r="S10" s="52"/>
      <c r="T10" s="52"/>
      <c r="U10" s="52"/>
      <c r="V10" s="52"/>
      <c r="W10" s="52"/>
      <c r="X10" s="52"/>
      <c r="Y10" s="52"/>
      <c r="Z10" s="52"/>
    </row>
    <row r="11" spans="1:26">
      <c r="A11" s="213" t="s">
        <v>914</v>
      </c>
      <c r="B11" s="214">
        <v>44365</v>
      </c>
      <c r="C11" s="214">
        <v>63161</v>
      </c>
      <c r="D11" s="214">
        <v>75699</v>
      </c>
      <c r="E11" s="214">
        <v>83632</v>
      </c>
      <c r="F11" s="214">
        <v>97658</v>
      </c>
      <c r="G11" s="53"/>
      <c r="H11" s="53"/>
      <c r="I11" s="53"/>
      <c r="J11" s="71"/>
      <c r="K11" s="71"/>
      <c r="L11" s="55"/>
      <c r="M11" s="55"/>
      <c r="N11" s="55"/>
      <c r="O11" s="55"/>
      <c r="P11" s="55"/>
      <c r="Q11" s="55"/>
      <c r="R11" s="55"/>
      <c r="S11" s="52"/>
      <c r="T11" s="52"/>
      <c r="U11" s="52"/>
      <c r="V11" s="52"/>
      <c r="W11" s="52"/>
      <c r="X11" s="52"/>
      <c r="Y11" s="52"/>
      <c r="Z11" s="52"/>
    </row>
    <row r="12" spans="1:26">
      <c r="A12" s="28" t="s">
        <v>915</v>
      </c>
      <c r="B12" s="82"/>
      <c r="C12" s="82"/>
      <c r="D12" s="82"/>
      <c r="E12" s="82"/>
      <c r="F12" s="82"/>
      <c r="G12" s="53"/>
      <c r="H12" s="53"/>
      <c r="I12" s="53"/>
      <c r="J12" s="71"/>
      <c r="K12" s="71"/>
      <c r="L12" s="55"/>
      <c r="M12" s="55"/>
      <c r="N12" s="55"/>
      <c r="O12" s="55"/>
      <c r="P12" s="55"/>
      <c r="Q12" s="55"/>
      <c r="R12" s="55"/>
      <c r="S12" s="52"/>
      <c r="T12" s="52"/>
      <c r="U12" s="52"/>
      <c r="V12" s="52"/>
      <c r="W12" s="52"/>
      <c r="X12" s="52"/>
      <c r="Y12" s="52"/>
      <c r="Z12" s="52"/>
    </row>
    <row r="13" spans="1:26">
      <c r="A13" s="28" t="s">
        <v>916</v>
      </c>
      <c r="B13" s="147">
        <v>-29418</v>
      </c>
      <c r="C13" s="147">
        <v>-22095</v>
      </c>
      <c r="D13" s="147">
        <v>-18760</v>
      </c>
      <c r="E13" s="147">
        <v>-19487</v>
      </c>
      <c r="F13" s="147">
        <v>-21331</v>
      </c>
      <c r="G13" s="53"/>
      <c r="H13" s="53"/>
      <c r="I13" s="53"/>
      <c r="J13" s="71"/>
      <c r="K13" s="71"/>
      <c r="L13" s="55"/>
      <c r="M13" s="55"/>
      <c r="N13" s="55"/>
      <c r="O13" s="55"/>
      <c r="P13" s="55"/>
      <c r="Q13" s="55"/>
      <c r="R13" s="55"/>
      <c r="S13" s="52"/>
      <c r="T13" s="52"/>
      <c r="U13" s="52"/>
      <c r="V13" s="52"/>
      <c r="W13" s="52"/>
      <c r="X13" s="52"/>
      <c r="Y13" s="52"/>
      <c r="Z13" s="52"/>
    </row>
    <row r="14" spans="1:26">
      <c r="A14" s="28" t="s">
        <v>917</v>
      </c>
      <c r="B14" s="147">
        <v>18227</v>
      </c>
      <c r="C14" s="147">
        <v>19541</v>
      </c>
      <c r="D14" s="147">
        <v>16330</v>
      </c>
      <c r="E14" s="147">
        <v>17606</v>
      </c>
      <c r="F14" s="147">
        <v>18104</v>
      </c>
      <c r="G14" s="53"/>
      <c r="H14" s="53"/>
      <c r="I14" s="53"/>
      <c r="J14" s="71"/>
      <c r="K14" s="71"/>
      <c r="L14" s="55"/>
      <c r="M14" s="55"/>
      <c r="N14" s="55"/>
      <c r="O14" s="55"/>
      <c r="P14" s="55"/>
      <c r="Q14" s="55"/>
      <c r="R14" s="55"/>
      <c r="S14" s="52"/>
      <c r="T14" s="52"/>
      <c r="U14" s="52"/>
      <c r="V14" s="52"/>
      <c r="W14" s="52"/>
      <c r="X14" s="52"/>
      <c r="Y14" s="52"/>
      <c r="Z14" s="52"/>
    </row>
    <row r="15" spans="1:26">
      <c r="A15" s="28" t="s">
        <v>918</v>
      </c>
      <c r="B15" s="147">
        <v>-4986</v>
      </c>
      <c r="C15" s="147">
        <v>-5392</v>
      </c>
      <c r="D15" s="147">
        <v>-5874</v>
      </c>
      <c r="E15" s="147">
        <v>-6331</v>
      </c>
      <c r="F15" s="147">
        <v>-7145</v>
      </c>
      <c r="G15" s="53"/>
      <c r="H15" s="53"/>
      <c r="I15" s="53"/>
      <c r="J15" s="71"/>
      <c r="K15" s="71"/>
      <c r="L15" s="55"/>
      <c r="M15" s="55"/>
      <c r="N15" s="55"/>
      <c r="O15" s="55"/>
      <c r="P15" s="55"/>
      <c r="Q15" s="55"/>
      <c r="R15" s="55"/>
      <c r="S15" s="52"/>
      <c r="T15" s="52"/>
      <c r="U15" s="52"/>
      <c r="V15" s="52"/>
      <c r="W15" s="52"/>
      <c r="X15" s="52"/>
      <c r="Y15" s="52"/>
      <c r="Z15" s="52"/>
    </row>
    <row r="16" spans="1:26">
      <c r="A16" s="28" t="s">
        <v>919</v>
      </c>
      <c r="B16" s="147">
        <v>-7458</v>
      </c>
      <c r="C16" s="147">
        <v>-6723</v>
      </c>
      <c r="D16" s="147">
        <v>-4615</v>
      </c>
      <c r="E16" s="147">
        <v>-3971</v>
      </c>
      <c r="F16" s="147">
        <v>-5004</v>
      </c>
      <c r="G16" s="53"/>
      <c r="H16" s="53"/>
      <c r="I16" s="53"/>
      <c r="J16" s="71"/>
      <c r="K16" s="71"/>
      <c r="L16" s="55"/>
      <c r="M16" s="55"/>
      <c r="N16" s="55"/>
      <c r="O16" s="55"/>
      <c r="P16" s="55"/>
      <c r="Q16" s="55"/>
      <c r="R16" s="55"/>
      <c r="S16" s="52"/>
      <c r="T16" s="52"/>
      <c r="U16" s="52"/>
      <c r="V16" s="52"/>
      <c r="W16" s="52"/>
      <c r="X16" s="52"/>
      <c r="Y16" s="52"/>
      <c r="Z16" s="52"/>
    </row>
    <row r="17" spans="1:26">
      <c r="A17" s="28" t="s">
        <v>920</v>
      </c>
      <c r="B17" s="147">
        <v>-1842</v>
      </c>
      <c r="C17" s="147">
        <v>-1004</v>
      </c>
      <c r="D17" s="82">
        <v>-906</v>
      </c>
      <c r="E17" s="147">
        <v>-1117</v>
      </c>
      <c r="F17" s="147">
        <v>-1242</v>
      </c>
      <c r="G17" s="53"/>
      <c r="H17" s="53"/>
      <c r="I17" s="53"/>
      <c r="J17" s="71"/>
      <c r="K17" s="71"/>
      <c r="L17" s="55"/>
      <c r="M17" s="55"/>
      <c r="N17" s="55"/>
      <c r="O17" s="55"/>
      <c r="P17" s="55"/>
      <c r="Q17" s="55"/>
      <c r="R17" s="55"/>
      <c r="S17" s="52"/>
      <c r="T17" s="52"/>
      <c r="U17" s="52"/>
      <c r="V17" s="52"/>
      <c r="W17" s="52"/>
      <c r="X17" s="52"/>
      <c r="Y17" s="52"/>
      <c r="Z17" s="52"/>
    </row>
    <row r="18" spans="1:26">
      <c r="A18" s="28" t="s">
        <v>921</v>
      </c>
      <c r="B18" s="82">
        <v>812</v>
      </c>
      <c r="C18" s="82">
        <v>901</v>
      </c>
      <c r="D18" s="82">
        <v>774</v>
      </c>
      <c r="E18" s="82">
        <v>633</v>
      </c>
      <c r="F18" s="82">
        <v>689</v>
      </c>
      <c r="G18" s="53"/>
      <c r="H18" s="53"/>
      <c r="I18" s="53"/>
      <c r="J18" s="71"/>
      <c r="K18" s="71"/>
      <c r="L18" s="55"/>
      <c r="M18" s="55"/>
      <c r="N18" s="55"/>
      <c r="O18" s="55"/>
      <c r="P18" s="55"/>
      <c r="Q18" s="55"/>
      <c r="R18" s="55"/>
      <c r="S18" s="52"/>
      <c r="T18" s="52"/>
      <c r="U18" s="52"/>
      <c r="V18" s="52"/>
      <c r="W18" s="52"/>
      <c r="X18" s="52"/>
      <c r="Y18" s="52"/>
      <c r="Z18" s="52"/>
    </row>
    <row r="19" spans="1:26">
      <c r="A19" s="213" t="s">
        <v>922</v>
      </c>
      <c r="B19" s="214">
        <v>-24665</v>
      </c>
      <c r="C19" s="214">
        <v>-14772</v>
      </c>
      <c r="D19" s="214">
        <v>-13051</v>
      </c>
      <c r="E19" s="214">
        <v>-12667</v>
      </c>
      <c r="F19" s="214">
        <v>-15929</v>
      </c>
      <c r="G19" s="53"/>
      <c r="H19" s="53"/>
      <c r="I19" s="53"/>
      <c r="J19" s="71"/>
      <c r="K19" s="71"/>
      <c r="L19" s="55"/>
      <c r="M19" s="55"/>
      <c r="N19" s="55"/>
      <c r="O19" s="55"/>
      <c r="P19" s="55"/>
      <c r="Q19" s="55"/>
      <c r="R19" s="55"/>
      <c r="S19" s="52"/>
      <c r="T19" s="52"/>
      <c r="U19" s="52"/>
      <c r="V19" s="52"/>
      <c r="W19" s="52"/>
      <c r="X19" s="52"/>
      <c r="Y19" s="52"/>
      <c r="Z19" s="52"/>
    </row>
    <row r="20" spans="1:26">
      <c r="A20" s="28" t="s">
        <v>923</v>
      </c>
      <c r="B20" s="82"/>
      <c r="C20" s="82"/>
      <c r="D20" s="82"/>
      <c r="E20" s="82"/>
      <c r="F20" s="82"/>
      <c r="G20" s="53"/>
      <c r="H20" s="53"/>
      <c r="I20" s="53"/>
      <c r="J20" s="71"/>
      <c r="K20" s="71"/>
      <c r="L20" s="55"/>
      <c r="M20" s="55"/>
      <c r="N20" s="55"/>
      <c r="O20" s="55"/>
      <c r="P20" s="55"/>
      <c r="Q20" s="55"/>
      <c r="R20" s="55"/>
      <c r="S20" s="52"/>
      <c r="T20" s="52"/>
      <c r="U20" s="52"/>
      <c r="V20" s="52"/>
      <c r="W20" s="52"/>
      <c r="X20" s="52"/>
      <c r="Y20" s="52"/>
      <c r="Z20" s="52"/>
    </row>
    <row r="21" spans="1:26">
      <c r="A21" s="28" t="s">
        <v>924</v>
      </c>
      <c r="B21" s="147">
        <v>-20984</v>
      </c>
      <c r="C21" s="147">
        <v>-29107</v>
      </c>
      <c r="D21" s="147">
        <v>-36414</v>
      </c>
      <c r="E21" s="147">
        <v>-42155</v>
      </c>
      <c r="F21" s="147">
        <v>-48207</v>
      </c>
      <c r="G21" s="53"/>
      <c r="H21" s="53"/>
      <c r="I21" s="53"/>
      <c r="J21" s="71"/>
      <c r="K21" s="71"/>
      <c r="L21" s="55"/>
      <c r="M21" s="55"/>
      <c r="N21" s="55"/>
      <c r="O21" s="55"/>
      <c r="P21" s="55"/>
      <c r="Q21" s="55"/>
      <c r="R21" s="55"/>
      <c r="S21" s="52"/>
      <c r="T21" s="52"/>
      <c r="U21" s="52"/>
      <c r="V21" s="52"/>
      <c r="W21" s="52"/>
      <c r="X21" s="52"/>
      <c r="Y21" s="52"/>
      <c r="Z21" s="52"/>
    </row>
    <row r="22" spans="1:26">
      <c r="A22" s="28" t="s">
        <v>188</v>
      </c>
      <c r="B22" s="147">
        <v>-7220</v>
      </c>
      <c r="C22" s="147">
        <v>-8114</v>
      </c>
      <c r="D22" s="147">
        <v>-9136</v>
      </c>
      <c r="E22" s="147">
        <v>-10071</v>
      </c>
      <c r="F22" s="147">
        <v>-11298</v>
      </c>
      <c r="G22" s="53"/>
      <c r="H22" s="53"/>
      <c r="I22" s="53"/>
      <c r="J22" s="71"/>
      <c r="K22" s="71"/>
      <c r="L22" s="55"/>
      <c r="M22" s="55"/>
      <c r="N22" s="55"/>
      <c r="O22" s="55"/>
      <c r="P22" s="55"/>
      <c r="Q22" s="55"/>
      <c r="R22" s="55"/>
      <c r="S22" s="52"/>
      <c r="T22" s="52"/>
      <c r="U22" s="52"/>
      <c r="V22" s="52"/>
      <c r="W22" s="52"/>
      <c r="X22" s="52"/>
      <c r="Y22" s="52"/>
      <c r="Z22" s="52"/>
    </row>
    <row r="23" spans="1:26">
      <c r="A23" s="28" t="s">
        <v>925</v>
      </c>
      <c r="B23" s="147">
        <v>10841</v>
      </c>
      <c r="C23" s="147">
        <v>11652</v>
      </c>
      <c r="D23" s="147">
        <v>9981</v>
      </c>
      <c r="E23" s="147">
        <v>6884</v>
      </c>
      <c r="F23" s="147">
        <v>9113</v>
      </c>
      <c r="G23" s="53"/>
      <c r="H23" s="53"/>
      <c r="I23" s="53"/>
      <c r="J23" s="71"/>
      <c r="K23" s="71"/>
      <c r="L23" s="55"/>
      <c r="M23" s="55"/>
      <c r="N23" s="55"/>
      <c r="O23" s="55"/>
      <c r="P23" s="55"/>
      <c r="Q23" s="55"/>
      <c r="R23" s="55"/>
      <c r="S23" s="52"/>
      <c r="T23" s="52"/>
      <c r="U23" s="52"/>
      <c r="V23" s="52"/>
      <c r="W23" s="52"/>
      <c r="X23" s="52"/>
      <c r="Y23" s="52"/>
      <c r="Z23" s="52"/>
    </row>
    <row r="24" spans="1:26">
      <c r="A24" s="28" t="s">
        <v>926</v>
      </c>
      <c r="B24" s="147">
        <v>1362</v>
      </c>
      <c r="C24" s="147">
        <v>1541</v>
      </c>
      <c r="D24" s="147">
        <v>1623</v>
      </c>
      <c r="E24" s="147">
        <v>1704</v>
      </c>
      <c r="F24" s="147">
        <v>1896</v>
      </c>
      <c r="G24" s="53"/>
      <c r="H24" s="53"/>
      <c r="I24" s="53"/>
      <c r="J24" s="71"/>
      <c r="K24" s="71"/>
      <c r="L24" s="55"/>
      <c r="M24" s="55"/>
      <c r="N24" s="55"/>
      <c r="O24" s="55"/>
      <c r="P24" s="55"/>
      <c r="Q24" s="55"/>
      <c r="R24" s="55"/>
      <c r="S24" s="52"/>
      <c r="T24" s="52"/>
      <c r="U24" s="52"/>
      <c r="V24" s="52"/>
      <c r="W24" s="52"/>
      <c r="X24" s="52"/>
      <c r="Y24" s="52"/>
      <c r="Z24" s="52"/>
    </row>
    <row r="25" spans="1:26">
      <c r="A25" s="28" t="s">
        <v>927</v>
      </c>
      <c r="B25" s="147">
        <v>-1115</v>
      </c>
      <c r="C25" s="147">
        <v>-1208</v>
      </c>
      <c r="D25" s="147">
        <v>-1322</v>
      </c>
      <c r="E25" s="147">
        <v>-1411</v>
      </c>
      <c r="F25" s="147">
        <v>-1530</v>
      </c>
      <c r="G25" s="53"/>
      <c r="H25" s="53"/>
      <c r="I25" s="53"/>
      <c r="J25" s="71"/>
      <c r="K25" s="71"/>
      <c r="L25" s="55"/>
      <c r="M25" s="55"/>
      <c r="N25" s="55"/>
      <c r="O25" s="55"/>
      <c r="P25" s="55"/>
      <c r="Q25" s="55"/>
      <c r="R25" s="55"/>
      <c r="S25" s="52"/>
      <c r="T25" s="52"/>
      <c r="U25" s="52"/>
      <c r="V25" s="52"/>
      <c r="W25" s="52"/>
      <c r="X25" s="52"/>
      <c r="Y25" s="52"/>
      <c r="Z25" s="52"/>
    </row>
    <row r="26" spans="1:26">
      <c r="A26" s="213" t="s">
        <v>928</v>
      </c>
      <c r="B26" s="214">
        <v>-17116</v>
      </c>
      <c r="C26" s="214">
        <v>-25236</v>
      </c>
      <c r="D26" s="214">
        <v>-35268</v>
      </c>
      <c r="E26" s="214">
        <v>-45049</v>
      </c>
      <c r="F26" s="214">
        <v>-50026</v>
      </c>
      <c r="G26" s="53"/>
      <c r="H26" s="53"/>
      <c r="I26" s="53"/>
      <c r="J26" s="71"/>
      <c r="K26" s="71"/>
      <c r="L26" s="55"/>
      <c r="M26" s="55"/>
      <c r="N26" s="55"/>
      <c r="O26" s="55"/>
      <c r="P26" s="55"/>
      <c r="Q26" s="55"/>
      <c r="R26" s="55"/>
      <c r="S26" s="52"/>
      <c r="T26" s="52"/>
      <c r="U26" s="52"/>
      <c r="V26" s="52"/>
      <c r="W26" s="52"/>
      <c r="X26" s="52"/>
      <c r="Y26" s="52"/>
      <c r="Z26" s="52"/>
    </row>
    <row r="27" spans="1:26">
      <c r="A27" s="28" t="s">
        <v>929</v>
      </c>
      <c r="B27" s="82"/>
      <c r="C27" s="82"/>
      <c r="D27" s="82"/>
      <c r="E27" s="82"/>
      <c r="F27" s="82"/>
      <c r="G27" s="53"/>
      <c r="H27" s="53"/>
      <c r="I27" s="53"/>
      <c r="J27" s="71"/>
      <c r="K27" s="71"/>
      <c r="L27" s="55"/>
      <c r="M27" s="55"/>
      <c r="N27" s="55"/>
      <c r="O27" s="55"/>
      <c r="P27" s="55"/>
      <c r="Q27" s="55"/>
      <c r="R27" s="55"/>
      <c r="S27" s="52"/>
      <c r="T27" s="52"/>
      <c r="U27" s="52"/>
      <c r="V27" s="52"/>
      <c r="W27" s="52"/>
      <c r="X27" s="52"/>
      <c r="Y27" s="52"/>
      <c r="Z27" s="52"/>
    </row>
    <row r="28" spans="1:26">
      <c r="A28" s="28" t="s">
        <v>930</v>
      </c>
      <c r="B28" s="147">
        <v>2584</v>
      </c>
      <c r="C28" s="147">
        <v>23153</v>
      </c>
      <c r="D28" s="147">
        <v>27380</v>
      </c>
      <c r="E28" s="147">
        <v>25916</v>
      </c>
      <c r="F28" s="147">
        <v>31703</v>
      </c>
      <c r="G28" s="53"/>
      <c r="H28" s="53"/>
      <c r="I28" s="53"/>
      <c r="J28" s="71"/>
      <c r="K28" s="71"/>
      <c r="L28" s="55"/>
      <c r="M28" s="55"/>
      <c r="N28" s="55"/>
      <c r="O28" s="55"/>
      <c r="P28" s="55"/>
      <c r="Q28" s="55"/>
      <c r="R28" s="55"/>
      <c r="S28" s="52"/>
      <c r="T28" s="52"/>
      <c r="U28" s="52"/>
      <c r="V28" s="52"/>
      <c r="W28" s="52"/>
      <c r="X28" s="52"/>
      <c r="Y28" s="52"/>
      <c r="Z28" s="52"/>
    </row>
    <row r="29" spans="1:26">
      <c r="A29" s="28" t="s">
        <v>931</v>
      </c>
      <c r="B29" s="147">
        <v>67280</v>
      </c>
      <c r="C29" s="147">
        <v>69864</v>
      </c>
      <c r="D29" s="147">
        <v>93017</v>
      </c>
      <c r="E29" s="147">
        <v>120397</v>
      </c>
      <c r="F29" s="147">
        <v>146313</v>
      </c>
      <c r="G29" s="53"/>
      <c r="H29" s="53"/>
      <c r="I29" s="53"/>
      <c r="J29" s="71"/>
      <c r="K29" s="71"/>
      <c r="L29" s="55"/>
      <c r="M29" s="55"/>
      <c r="N29" s="55"/>
      <c r="O29" s="55"/>
      <c r="P29" s="55"/>
      <c r="Q29" s="55"/>
      <c r="R29" s="55"/>
      <c r="S29" s="52"/>
      <c r="T29" s="52"/>
      <c r="U29" s="52"/>
      <c r="V29" s="52"/>
      <c r="W29" s="52"/>
      <c r="X29" s="52"/>
      <c r="Y29" s="52"/>
      <c r="Z29" s="52"/>
    </row>
    <row r="30" spans="1:26">
      <c r="A30" s="80" t="s">
        <v>932</v>
      </c>
      <c r="B30" s="148">
        <v>69864</v>
      </c>
      <c r="C30" s="148">
        <v>93017</v>
      </c>
      <c r="D30" s="148">
        <v>120397</v>
      </c>
      <c r="E30" s="148">
        <v>146313</v>
      </c>
      <c r="F30" s="148">
        <v>178016</v>
      </c>
      <c r="G30" s="53"/>
      <c r="H30" s="53"/>
      <c r="I30" s="53"/>
      <c r="J30" s="71"/>
      <c r="K30" s="71"/>
      <c r="L30" s="55"/>
      <c r="M30" s="55"/>
      <c r="N30" s="55"/>
      <c r="O30" s="55"/>
      <c r="P30" s="55"/>
      <c r="Q30" s="55"/>
      <c r="R30" s="55"/>
      <c r="S30" s="52"/>
      <c r="T30" s="52"/>
      <c r="U30" s="52"/>
      <c r="V30" s="52"/>
      <c r="W30" s="52"/>
      <c r="X30" s="52"/>
      <c r="Y30" s="52"/>
      <c r="Z30" s="52"/>
    </row>
    <row r="31" spans="1:26">
      <c r="A31" s="81" t="s">
        <v>273</v>
      </c>
      <c r="B31" s="149">
        <f>SUM(B4:B30)</f>
        <v>144896</v>
      </c>
      <c r="C31" s="149">
        <f>SUM(C4:C30)</f>
        <v>232340</v>
      </c>
      <c r="D31" s="149">
        <f>SUM(D4:D30)</f>
        <v>295554</v>
      </c>
      <c r="E31" s="149">
        <f>SUM(E4:E30)</f>
        <v>344458</v>
      </c>
      <c r="F31" s="149">
        <f>SUM(F4:F30)</f>
        <v>419438</v>
      </c>
      <c r="G31" s="53"/>
      <c r="H31" s="53"/>
      <c r="I31" s="53"/>
      <c r="J31" s="71"/>
      <c r="K31" s="71"/>
      <c r="L31" s="55"/>
      <c r="M31" s="55"/>
      <c r="N31" s="55"/>
      <c r="O31" s="55"/>
      <c r="P31" s="55"/>
      <c r="Q31" s="55"/>
      <c r="R31" s="55"/>
      <c r="S31" s="52"/>
      <c r="T31" s="52"/>
      <c r="U31" s="52"/>
      <c r="V31" s="52"/>
      <c r="W31" s="52"/>
      <c r="X31" s="52"/>
      <c r="Y31" s="52"/>
      <c r="Z31" s="52"/>
    </row>
    <row r="32" spans="1:26">
      <c r="A32" s="71"/>
      <c r="B32" s="71"/>
      <c r="C32" s="71"/>
      <c r="D32" s="71"/>
      <c r="E32" s="71"/>
      <c r="F32" s="71"/>
      <c r="G32" s="53"/>
      <c r="H32" s="53"/>
      <c r="I32" s="53"/>
      <c r="J32" s="71"/>
      <c r="K32" s="71"/>
      <c r="L32" s="55"/>
      <c r="M32" s="55"/>
      <c r="N32" s="55"/>
      <c r="O32" s="55"/>
      <c r="P32" s="55"/>
      <c r="Q32" s="55"/>
      <c r="R32" s="55"/>
      <c r="S32" s="52"/>
      <c r="T32" s="52"/>
      <c r="U32" s="52"/>
      <c r="V32" s="52"/>
      <c r="W32" s="52"/>
      <c r="X32" s="52"/>
      <c r="Y32" s="52"/>
      <c r="Z32" s="52"/>
    </row>
    <row r="33" spans="1:26">
      <c r="A33" s="71"/>
      <c r="B33" s="71"/>
      <c r="C33" s="71"/>
      <c r="D33" s="71"/>
      <c r="E33" s="71"/>
      <c r="F33" s="71"/>
      <c r="G33" s="53"/>
      <c r="H33" s="53"/>
      <c r="I33" s="53"/>
      <c r="J33" s="71"/>
      <c r="K33" s="71"/>
      <c r="L33" s="55"/>
      <c r="M33" s="55"/>
      <c r="N33" s="55"/>
      <c r="O33" s="55"/>
      <c r="P33" s="55"/>
      <c r="Q33" s="55"/>
      <c r="R33" s="55"/>
      <c r="S33" s="52"/>
      <c r="T33" s="52"/>
      <c r="U33" s="52"/>
      <c r="V33" s="52"/>
      <c r="W33" s="52"/>
      <c r="X33" s="52"/>
      <c r="Y33" s="52"/>
      <c r="Z33" s="52"/>
    </row>
    <row r="34" spans="1:26">
      <c r="A34" s="71"/>
      <c r="B34" s="71"/>
      <c r="C34" s="71"/>
      <c r="D34" s="71"/>
      <c r="E34" s="71"/>
      <c r="F34" s="71"/>
      <c r="G34" s="53"/>
      <c r="H34" s="53"/>
      <c r="I34" s="53"/>
      <c r="J34" s="71"/>
      <c r="K34" s="71"/>
      <c r="L34" s="55"/>
      <c r="M34" s="55"/>
      <c r="N34" s="55"/>
      <c r="O34" s="55"/>
      <c r="P34" s="55"/>
      <c r="Q34" s="55"/>
      <c r="R34" s="55"/>
      <c r="S34" s="52"/>
      <c r="T34" s="52"/>
      <c r="U34" s="52"/>
      <c r="V34" s="52"/>
      <c r="W34" s="52"/>
      <c r="X34" s="52"/>
      <c r="Y34" s="52"/>
      <c r="Z34" s="52"/>
    </row>
    <row r="35" spans="1:26">
      <c r="A35" s="71"/>
      <c r="B35" s="71"/>
      <c r="C35" s="71"/>
      <c r="D35" s="71"/>
      <c r="E35" s="71"/>
      <c r="F35" s="71"/>
      <c r="G35" s="53"/>
      <c r="H35" s="53"/>
      <c r="I35" s="53"/>
      <c r="J35" s="71"/>
      <c r="K35" s="71"/>
      <c r="L35" s="55"/>
      <c r="M35" s="55"/>
      <c r="N35" s="55"/>
      <c r="O35" s="55"/>
      <c r="P35" s="55"/>
      <c r="Q35" s="55"/>
      <c r="R35" s="55"/>
      <c r="S35" s="52"/>
      <c r="T35" s="52"/>
      <c r="U35" s="52"/>
      <c r="V35" s="52"/>
      <c r="W35" s="52"/>
      <c r="X35" s="52"/>
      <c r="Y35" s="52"/>
      <c r="Z35" s="52"/>
    </row>
    <row r="36" spans="1:26">
      <c r="A36" s="71"/>
      <c r="B36" s="71"/>
      <c r="C36" s="71"/>
      <c r="D36" s="71"/>
      <c r="E36" s="71"/>
      <c r="F36" s="71"/>
      <c r="G36" s="53"/>
      <c r="H36" s="53"/>
      <c r="I36" s="53"/>
      <c r="J36" s="71"/>
      <c r="K36" s="71"/>
      <c r="L36" s="55"/>
      <c r="M36" s="55"/>
      <c r="N36" s="55"/>
      <c r="O36" s="55"/>
      <c r="P36" s="55"/>
      <c r="Q36" s="55"/>
      <c r="R36" s="55"/>
      <c r="S36" s="52"/>
      <c r="T36" s="52"/>
      <c r="U36" s="52"/>
      <c r="V36" s="52"/>
      <c r="W36" s="52"/>
      <c r="X36" s="52"/>
      <c r="Y36" s="52"/>
      <c r="Z36" s="52"/>
    </row>
    <row r="37" spans="1:26">
      <c r="A37" s="71"/>
      <c r="B37" s="71"/>
      <c r="C37" s="71"/>
      <c r="D37" s="71"/>
      <c r="E37" s="71"/>
      <c r="F37" s="71"/>
      <c r="G37" s="53"/>
      <c r="H37" s="53"/>
      <c r="I37" s="53"/>
      <c r="J37" s="71"/>
      <c r="K37" s="71"/>
      <c r="L37" s="55"/>
      <c r="M37" s="55"/>
      <c r="N37" s="55"/>
      <c r="O37" s="55"/>
      <c r="P37" s="55"/>
      <c r="Q37" s="55"/>
      <c r="R37" s="55"/>
      <c r="S37" s="52"/>
      <c r="T37" s="52"/>
      <c r="U37" s="52"/>
      <c r="V37" s="52"/>
      <c r="W37" s="52"/>
      <c r="X37" s="52"/>
      <c r="Y37" s="52"/>
      <c r="Z37" s="52"/>
    </row>
    <row r="38" spans="1:26">
      <c r="A38" s="71"/>
      <c r="B38" s="71"/>
      <c r="C38" s="71"/>
      <c r="D38" s="71"/>
      <c r="E38" s="71"/>
      <c r="F38" s="71"/>
      <c r="G38" s="53"/>
      <c r="H38" s="53"/>
      <c r="I38" s="53"/>
      <c r="J38" s="71"/>
      <c r="K38" s="71"/>
      <c r="L38" s="55"/>
      <c r="M38" s="55"/>
      <c r="N38" s="55"/>
      <c r="O38" s="55"/>
      <c r="P38" s="55"/>
      <c r="Q38" s="55"/>
      <c r="R38" s="55"/>
      <c r="S38" s="52"/>
      <c r="T38" s="52"/>
      <c r="U38" s="52"/>
      <c r="V38" s="52"/>
      <c r="W38" s="52"/>
      <c r="X38" s="52"/>
      <c r="Y38" s="52"/>
      <c r="Z38" s="52"/>
    </row>
    <row r="39" spans="1:26">
      <c r="A39" s="71"/>
      <c r="B39" s="71"/>
      <c r="C39" s="71"/>
      <c r="D39" s="71"/>
      <c r="E39" s="71"/>
      <c r="F39" s="71"/>
      <c r="G39" s="53"/>
      <c r="H39" s="53"/>
      <c r="I39" s="53"/>
      <c r="J39" s="71"/>
      <c r="K39" s="71"/>
      <c r="L39" s="55"/>
      <c r="M39" s="55"/>
      <c r="N39" s="55"/>
      <c r="O39" s="55"/>
      <c r="P39" s="55"/>
      <c r="Q39" s="55"/>
      <c r="R39" s="55"/>
      <c r="S39" s="52"/>
      <c r="T39" s="52"/>
      <c r="U39" s="52"/>
      <c r="V39" s="52"/>
      <c r="W39" s="52"/>
      <c r="X39" s="52"/>
      <c r="Y39" s="52"/>
      <c r="Z39" s="52"/>
    </row>
    <row r="40" spans="1:26">
      <c r="A40" s="55"/>
      <c r="B40" s="55"/>
      <c r="C40" s="55"/>
      <c r="D40" s="55"/>
      <c r="E40" s="55"/>
      <c r="F40" s="55"/>
      <c r="G40" s="54"/>
      <c r="H40" s="54"/>
      <c r="I40" s="54"/>
      <c r="J40" s="55"/>
      <c r="K40" s="55"/>
      <c r="L40" s="55"/>
      <c r="M40" s="55"/>
      <c r="N40" s="55"/>
      <c r="O40" s="55"/>
      <c r="P40" s="55"/>
      <c r="Q40" s="55"/>
      <c r="R40" s="55"/>
      <c r="S40" s="52"/>
      <c r="T40" s="52"/>
      <c r="U40" s="52"/>
      <c r="V40" s="52"/>
      <c r="W40" s="52"/>
      <c r="X40" s="52"/>
      <c r="Y40" s="52"/>
      <c r="Z40" s="52"/>
    </row>
    <row r="41" spans="1:26">
      <c r="A41" s="55"/>
      <c r="B41" s="55"/>
      <c r="C41" s="55"/>
      <c r="D41" s="55"/>
      <c r="E41" s="55"/>
      <c r="F41" s="55"/>
      <c r="G41" s="54"/>
      <c r="H41" s="54"/>
      <c r="I41" s="54"/>
      <c r="J41" s="55"/>
      <c r="K41" s="55"/>
      <c r="L41" s="55"/>
      <c r="M41" s="55"/>
      <c r="N41" s="55"/>
      <c r="O41" s="55"/>
      <c r="P41" s="55"/>
      <c r="Q41" s="55"/>
      <c r="R41" s="55"/>
      <c r="S41" s="52"/>
      <c r="T41" s="52"/>
      <c r="U41" s="52"/>
      <c r="V41" s="52"/>
      <c r="W41" s="52"/>
      <c r="X41" s="52"/>
      <c r="Y41" s="52"/>
      <c r="Z41" s="52"/>
    </row>
    <row r="42" spans="1:26">
      <c r="A42" s="55"/>
      <c r="B42" s="55"/>
      <c r="C42" s="55"/>
      <c r="D42" s="55"/>
      <c r="E42" s="55"/>
      <c r="F42" s="55"/>
      <c r="G42" s="54"/>
      <c r="H42" s="54"/>
      <c r="I42" s="54"/>
      <c r="J42" s="55"/>
      <c r="K42" s="55"/>
      <c r="L42" s="55"/>
      <c r="M42" s="55"/>
      <c r="N42" s="55"/>
      <c r="O42" s="55"/>
      <c r="P42" s="55"/>
      <c r="Q42" s="55"/>
      <c r="R42" s="55"/>
      <c r="S42" s="52"/>
      <c r="T42" s="52"/>
      <c r="U42" s="52"/>
      <c r="V42" s="52"/>
      <c r="W42" s="52"/>
      <c r="X42" s="52"/>
      <c r="Y42" s="52"/>
      <c r="Z42" s="52"/>
    </row>
    <row r="43" spans="1:26">
      <c r="A43" s="55"/>
      <c r="B43" s="55"/>
      <c r="C43" s="55"/>
      <c r="D43" s="55"/>
      <c r="E43" s="55"/>
      <c r="F43" s="55"/>
      <c r="G43" s="54"/>
      <c r="H43" s="54"/>
      <c r="I43" s="54"/>
      <c r="J43" s="55"/>
      <c r="K43" s="55"/>
      <c r="L43" s="55"/>
      <c r="M43" s="55"/>
      <c r="N43" s="55"/>
      <c r="O43" s="55"/>
      <c r="P43" s="55"/>
      <c r="Q43" s="55"/>
      <c r="R43" s="55"/>
      <c r="S43" s="52"/>
      <c r="T43" s="52"/>
      <c r="U43" s="52"/>
      <c r="V43" s="52"/>
      <c r="W43" s="52"/>
      <c r="X43" s="52"/>
      <c r="Y43" s="52"/>
      <c r="Z43" s="52"/>
    </row>
    <row r="44" spans="1:26">
      <c r="A44" s="55"/>
      <c r="B44" s="55"/>
      <c r="C44" s="55"/>
      <c r="D44" s="55"/>
      <c r="E44" s="55"/>
      <c r="F44" s="55"/>
      <c r="G44" s="54"/>
      <c r="H44" s="54"/>
      <c r="I44" s="54"/>
      <c r="J44" s="55"/>
      <c r="K44" s="55"/>
      <c r="L44" s="55"/>
      <c r="M44" s="55"/>
      <c r="N44" s="55"/>
      <c r="O44" s="55"/>
      <c r="P44" s="55"/>
      <c r="Q44" s="55"/>
      <c r="R44" s="55"/>
      <c r="S44" s="52"/>
      <c r="T44" s="52"/>
      <c r="U44" s="52"/>
      <c r="V44" s="52"/>
      <c r="W44" s="52"/>
      <c r="X44" s="52"/>
      <c r="Y44" s="52"/>
      <c r="Z44" s="52"/>
    </row>
    <row r="45" spans="1:26">
      <c r="A45" s="55"/>
      <c r="B45" s="55"/>
      <c r="C45" s="55"/>
      <c r="D45" s="55"/>
      <c r="E45" s="55"/>
      <c r="F45" s="55"/>
      <c r="G45" s="54"/>
      <c r="H45" s="54"/>
      <c r="I45" s="54"/>
      <c r="J45" s="55"/>
      <c r="K45" s="55"/>
      <c r="L45" s="55"/>
      <c r="M45" s="55"/>
      <c r="N45" s="55"/>
      <c r="O45" s="55"/>
      <c r="P45" s="55"/>
      <c r="Q45" s="55"/>
      <c r="R45" s="55"/>
      <c r="S45" s="52"/>
      <c r="T45" s="52"/>
      <c r="U45" s="52"/>
      <c r="V45" s="52"/>
      <c r="W45" s="52"/>
      <c r="X45" s="52"/>
      <c r="Y45" s="52"/>
      <c r="Z45" s="52"/>
    </row>
    <row r="46" spans="1:26">
      <c r="A46" s="55"/>
      <c r="B46" s="55"/>
      <c r="C46" s="55"/>
      <c r="D46" s="55"/>
      <c r="E46" s="55"/>
      <c r="F46" s="55"/>
      <c r="G46" s="54"/>
      <c r="H46" s="54"/>
      <c r="I46" s="54"/>
      <c r="J46" s="55"/>
      <c r="K46" s="55"/>
      <c r="L46" s="55"/>
      <c r="M46" s="55"/>
      <c r="N46" s="55"/>
      <c r="O46" s="55"/>
      <c r="P46" s="55"/>
      <c r="Q46" s="55"/>
      <c r="R46" s="55"/>
      <c r="S46" s="52"/>
      <c r="T46" s="52"/>
      <c r="U46" s="52"/>
      <c r="V46" s="52"/>
      <c r="W46" s="52"/>
      <c r="X46" s="52"/>
      <c r="Y46" s="52"/>
      <c r="Z46" s="52"/>
    </row>
    <row r="47" spans="1:26">
      <c r="A47" s="55"/>
      <c r="B47" s="55"/>
      <c r="C47" s="55"/>
      <c r="D47" s="55"/>
      <c r="E47" s="55"/>
      <c r="F47" s="55"/>
      <c r="G47" s="54"/>
      <c r="H47" s="54"/>
      <c r="I47" s="54"/>
      <c r="J47" s="55"/>
      <c r="K47" s="55"/>
      <c r="L47" s="55"/>
      <c r="M47" s="55"/>
      <c r="N47" s="55"/>
      <c r="O47" s="55"/>
      <c r="P47" s="55"/>
      <c r="Q47" s="55"/>
      <c r="R47" s="55"/>
      <c r="S47" s="52"/>
      <c r="T47" s="52"/>
      <c r="U47" s="52"/>
      <c r="V47" s="52"/>
      <c r="W47" s="52"/>
      <c r="X47" s="52"/>
      <c r="Y47" s="52"/>
      <c r="Z47" s="52"/>
    </row>
    <row r="48" spans="1:26">
      <c r="A48" s="55"/>
      <c r="B48" s="55"/>
      <c r="C48" s="55"/>
      <c r="D48" s="55"/>
      <c r="E48" s="55"/>
      <c r="F48" s="55"/>
      <c r="G48" s="54"/>
      <c r="H48" s="54"/>
      <c r="I48" s="54"/>
      <c r="J48" s="55"/>
      <c r="K48" s="55"/>
      <c r="L48" s="55"/>
      <c r="M48" s="55"/>
      <c r="N48" s="55"/>
      <c r="O48" s="55"/>
      <c r="P48" s="55"/>
      <c r="Q48" s="55"/>
      <c r="R48" s="55"/>
      <c r="S48" s="52"/>
      <c r="T48" s="52"/>
      <c r="U48" s="52"/>
      <c r="V48" s="52"/>
      <c r="W48" s="52"/>
      <c r="X48" s="52"/>
      <c r="Y48" s="52"/>
      <c r="Z48" s="52"/>
    </row>
    <row r="49" spans="1:26">
      <c r="A49" s="55"/>
      <c r="B49" s="55"/>
      <c r="C49" s="55"/>
      <c r="D49" s="55"/>
      <c r="E49" s="55"/>
      <c r="F49" s="55"/>
      <c r="G49" s="54"/>
      <c r="H49" s="54"/>
      <c r="I49" s="54"/>
      <c r="J49" s="55"/>
      <c r="K49" s="55"/>
      <c r="L49" s="55"/>
      <c r="M49" s="55"/>
      <c r="N49" s="55"/>
      <c r="O49" s="55"/>
      <c r="P49" s="55"/>
      <c r="Q49" s="55"/>
      <c r="R49" s="55"/>
      <c r="S49" s="52"/>
      <c r="T49" s="52"/>
      <c r="U49" s="52"/>
      <c r="V49" s="52"/>
      <c r="W49" s="52"/>
      <c r="X49" s="52"/>
      <c r="Y49" s="52"/>
      <c r="Z49" s="52"/>
    </row>
    <row r="50" spans="1:26">
      <c r="A50" s="55"/>
      <c r="B50" s="55"/>
      <c r="C50" s="55"/>
      <c r="D50" s="55"/>
      <c r="E50" s="55"/>
      <c r="F50" s="55"/>
      <c r="G50" s="54"/>
      <c r="H50" s="54"/>
      <c r="I50" s="54"/>
      <c r="J50" s="55"/>
      <c r="K50" s="55"/>
      <c r="L50" s="55"/>
      <c r="M50" s="55"/>
      <c r="N50" s="55"/>
      <c r="O50" s="55"/>
      <c r="P50" s="55"/>
      <c r="Q50" s="55"/>
      <c r="R50" s="55"/>
      <c r="S50" s="52"/>
      <c r="T50" s="52"/>
      <c r="U50" s="52"/>
      <c r="V50" s="52"/>
      <c r="W50" s="52"/>
      <c r="X50" s="52"/>
      <c r="Y50" s="52"/>
      <c r="Z50" s="52"/>
    </row>
    <row r="51" spans="1:26">
      <c r="A51" s="55"/>
      <c r="B51" s="55"/>
      <c r="C51" s="55"/>
      <c r="D51" s="55"/>
      <c r="E51" s="55"/>
      <c r="F51" s="55"/>
      <c r="G51" s="54"/>
      <c r="H51" s="54"/>
      <c r="I51" s="54"/>
      <c r="J51" s="55"/>
      <c r="K51" s="55"/>
      <c r="L51" s="55"/>
      <c r="M51" s="55"/>
      <c r="N51" s="55"/>
      <c r="O51" s="55"/>
      <c r="P51" s="55"/>
      <c r="Q51" s="55"/>
      <c r="R51" s="55"/>
      <c r="S51" s="52"/>
      <c r="T51" s="52"/>
      <c r="U51" s="52"/>
      <c r="V51" s="52"/>
      <c r="W51" s="52"/>
      <c r="X51" s="52"/>
      <c r="Y51" s="52"/>
      <c r="Z51" s="52"/>
    </row>
    <row r="52" spans="1:26">
      <c r="A52" s="55"/>
      <c r="B52" s="55"/>
      <c r="C52" s="55"/>
      <c r="D52" s="55"/>
      <c r="E52" s="55"/>
      <c r="F52" s="55"/>
      <c r="G52" s="54"/>
      <c r="H52" s="54"/>
      <c r="I52" s="54"/>
      <c r="J52" s="55"/>
      <c r="K52" s="55"/>
      <c r="L52" s="55"/>
      <c r="M52" s="55"/>
      <c r="N52" s="55"/>
      <c r="O52" s="55"/>
      <c r="P52" s="55"/>
      <c r="Q52" s="55"/>
      <c r="R52" s="55"/>
      <c r="S52" s="52"/>
      <c r="T52" s="52"/>
      <c r="U52" s="52"/>
      <c r="V52" s="52"/>
      <c r="W52" s="52"/>
      <c r="X52" s="52"/>
      <c r="Y52" s="52"/>
      <c r="Z52" s="52"/>
    </row>
    <row r="53" spans="1:26">
      <c r="A53" s="55"/>
      <c r="B53" s="55"/>
      <c r="C53" s="55"/>
      <c r="D53" s="55"/>
      <c r="E53" s="55"/>
      <c r="F53" s="55"/>
      <c r="G53" s="54"/>
      <c r="H53" s="54"/>
      <c r="I53" s="54"/>
      <c r="J53" s="55"/>
      <c r="K53" s="55"/>
      <c r="L53" s="55"/>
      <c r="M53" s="55"/>
      <c r="N53" s="55"/>
      <c r="O53" s="55"/>
      <c r="P53" s="55"/>
      <c r="Q53" s="55"/>
      <c r="R53" s="55"/>
      <c r="S53" s="52"/>
      <c r="T53" s="52"/>
      <c r="U53" s="52"/>
      <c r="V53" s="52"/>
      <c r="W53" s="52"/>
      <c r="X53" s="52"/>
      <c r="Y53" s="52"/>
      <c r="Z53" s="52"/>
    </row>
    <row r="54" spans="1:26">
      <c r="A54" s="55"/>
      <c r="B54" s="55"/>
      <c r="C54" s="55"/>
      <c r="D54" s="55"/>
      <c r="E54" s="55"/>
      <c r="F54" s="55"/>
      <c r="G54" s="54"/>
      <c r="H54" s="54"/>
      <c r="I54" s="54"/>
      <c r="J54" s="55"/>
      <c r="K54" s="55"/>
      <c r="L54" s="55"/>
      <c r="M54" s="55"/>
      <c r="N54" s="55"/>
      <c r="O54" s="55"/>
      <c r="P54" s="55"/>
      <c r="Q54" s="55"/>
      <c r="R54" s="55"/>
      <c r="S54" s="52"/>
      <c r="T54" s="52"/>
      <c r="U54" s="52"/>
      <c r="V54" s="52"/>
      <c r="W54" s="52"/>
      <c r="X54" s="52"/>
      <c r="Y54" s="52"/>
      <c r="Z54" s="52"/>
    </row>
    <row r="55" spans="1:26">
      <c r="A55" s="52"/>
      <c r="B55" s="52"/>
      <c r="C55" s="52"/>
      <c r="D55" s="52"/>
      <c r="E55" s="52"/>
      <c r="F55" s="52"/>
      <c r="G55" s="55"/>
      <c r="H55" s="55"/>
      <c r="I55" s="55"/>
      <c r="J55" s="55"/>
      <c r="K55" s="55"/>
      <c r="L55" s="55"/>
      <c r="M55" s="55"/>
      <c r="N55" s="55"/>
      <c r="O55" s="55"/>
      <c r="P55" s="55"/>
      <c r="Q55" s="55"/>
      <c r="R55" s="55"/>
      <c r="S55" s="52"/>
      <c r="T55" s="52"/>
      <c r="U55" s="52"/>
      <c r="V55" s="52"/>
      <c r="W55" s="52"/>
      <c r="X55" s="52"/>
      <c r="Y55" s="52"/>
      <c r="Z55" s="52"/>
    </row>
    <row r="56" spans="1:26">
      <c r="A56" s="52"/>
      <c r="B56" s="52"/>
      <c r="C56" s="52"/>
      <c r="D56" s="52"/>
      <c r="E56" s="52"/>
      <c r="F56" s="52"/>
      <c r="G56" s="55"/>
      <c r="H56" s="55"/>
      <c r="I56" s="55"/>
      <c r="J56" s="55"/>
      <c r="K56" s="55"/>
      <c r="L56" s="55"/>
      <c r="M56" s="55"/>
      <c r="N56" s="55"/>
      <c r="O56" s="55"/>
      <c r="P56" s="55"/>
      <c r="Q56" s="55"/>
      <c r="R56" s="55"/>
      <c r="S56" s="52"/>
      <c r="T56" s="52"/>
      <c r="U56" s="52"/>
      <c r="V56" s="52"/>
      <c r="W56" s="52"/>
      <c r="X56" s="52"/>
      <c r="Y56" s="52"/>
      <c r="Z56" s="52"/>
    </row>
    <row r="57" spans="1:26">
      <c r="A57" s="52"/>
      <c r="B57" s="52"/>
      <c r="C57" s="52"/>
      <c r="D57" s="52"/>
      <c r="E57" s="52"/>
      <c r="F57" s="52"/>
      <c r="G57" s="55"/>
      <c r="H57" s="55"/>
      <c r="I57" s="55"/>
      <c r="J57" s="55"/>
      <c r="K57" s="55"/>
      <c r="L57" s="55"/>
      <c r="M57" s="55"/>
      <c r="N57" s="55"/>
      <c r="O57" s="55"/>
      <c r="P57" s="55"/>
      <c r="Q57" s="55"/>
      <c r="R57" s="55"/>
      <c r="S57" s="52"/>
      <c r="T57" s="52"/>
      <c r="U57" s="52"/>
      <c r="V57" s="52"/>
      <c r="W57" s="52"/>
      <c r="X57" s="52"/>
      <c r="Y57" s="52"/>
      <c r="Z57" s="52"/>
    </row>
    <row r="58" spans="1:26">
      <c r="A58" s="52"/>
      <c r="B58" s="52"/>
      <c r="C58" s="52"/>
      <c r="D58" s="52"/>
      <c r="E58" s="52"/>
      <c r="F58" s="52"/>
      <c r="G58" s="55"/>
      <c r="H58" s="55"/>
      <c r="I58" s="55"/>
      <c r="J58" s="55"/>
      <c r="K58" s="55"/>
      <c r="L58" s="55"/>
      <c r="M58" s="55"/>
      <c r="N58" s="55"/>
      <c r="O58" s="55"/>
      <c r="P58" s="55"/>
      <c r="Q58" s="55"/>
      <c r="R58" s="55"/>
      <c r="S58" s="52"/>
      <c r="T58" s="52"/>
      <c r="U58" s="52"/>
      <c r="V58" s="52"/>
      <c r="W58" s="52"/>
      <c r="X58" s="52"/>
      <c r="Y58" s="52"/>
      <c r="Z58" s="52"/>
    </row>
    <row r="59" spans="1:26">
      <c r="A59" s="52"/>
      <c r="B59" s="52"/>
      <c r="C59" s="52"/>
      <c r="D59" s="52"/>
      <c r="E59" s="52"/>
      <c r="F59" s="52"/>
      <c r="G59" s="55"/>
      <c r="H59" s="55"/>
      <c r="I59" s="55"/>
      <c r="J59" s="55"/>
      <c r="K59" s="55"/>
      <c r="L59" s="55"/>
      <c r="M59" s="55"/>
      <c r="N59" s="55"/>
      <c r="O59" s="55"/>
      <c r="P59" s="55"/>
      <c r="Q59" s="55"/>
      <c r="R59" s="55"/>
      <c r="S59" s="52"/>
      <c r="T59" s="52"/>
      <c r="U59" s="52"/>
      <c r="V59" s="52"/>
      <c r="W59" s="52"/>
      <c r="X59" s="52"/>
      <c r="Y59" s="52"/>
      <c r="Z59" s="52"/>
    </row>
    <row r="60" spans="1:26">
      <c r="A60" s="52"/>
      <c r="B60" s="52"/>
      <c r="C60" s="52"/>
      <c r="D60" s="52"/>
      <c r="E60" s="52"/>
      <c r="F60" s="52"/>
      <c r="G60" s="55"/>
      <c r="H60" s="55"/>
      <c r="I60" s="55"/>
      <c r="J60" s="55"/>
      <c r="K60" s="55"/>
      <c r="L60" s="55"/>
      <c r="M60" s="55"/>
      <c r="N60" s="55"/>
      <c r="O60" s="55"/>
      <c r="P60" s="55"/>
      <c r="Q60" s="55"/>
      <c r="R60" s="55"/>
      <c r="S60" s="52"/>
      <c r="T60" s="52"/>
      <c r="U60" s="52"/>
      <c r="V60" s="52"/>
      <c r="W60" s="52"/>
      <c r="X60" s="52"/>
      <c r="Y60" s="52"/>
      <c r="Z60" s="52"/>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3147-D337-44B2-AAB5-C79DA9B40D8E}">
  <dimension ref="A1:AQ1476"/>
  <sheetViews>
    <sheetView zoomScale="80" zoomScaleNormal="80" workbookViewId="0"/>
  </sheetViews>
  <sheetFormatPr defaultRowHeight="14"/>
  <cols>
    <col min="1" max="1" width="13.83203125" customWidth="1"/>
    <col min="2" max="2" width="15.58203125" customWidth="1"/>
    <col min="3" max="3" width="14.75" customWidth="1"/>
    <col min="4" max="4" width="16.83203125" customWidth="1"/>
    <col min="5" max="5" width="17" customWidth="1"/>
    <col min="6" max="6" width="30.83203125" customWidth="1"/>
    <col min="7" max="7" width="38.4140625" customWidth="1"/>
    <col min="8" max="8" width="5.83203125" customWidth="1"/>
    <col min="9" max="9" width="11.83203125" customWidth="1"/>
    <col min="10" max="10" width="28.58203125" customWidth="1"/>
    <col min="11" max="11" width="23.75" customWidth="1"/>
    <col min="38" max="38" width="39.83203125" customWidth="1"/>
  </cols>
  <sheetData>
    <row r="1" spans="1:43" ht="31.5" customHeight="1">
      <c r="A1" s="8" t="s">
        <v>224</v>
      </c>
      <c r="B1" s="8" t="s">
        <v>225</v>
      </c>
      <c r="C1" s="8" t="s">
        <v>226</v>
      </c>
      <c r="D1" s="8" t="s">
        <v>477</v>
      </c>
      <c r="E1" s="8" t="s">
        <v>478</v>
      </c>
      <c r="F1" s="28" t="s">
        <v>989</v>
      </c>
      <c r="G1" s="266" t="s">
        <v>1475</v>
      </c>
      <c r="H1" s="3"/>
      <c r="I1" s="19" t="s">
        <v>1016</v>
      </c>
      <c r="J1" s="19"/>
      <c r="K1" s="320"/>
      <c r="L1" s="320"/>
      <c r="M1" s="320"/>
      <c r="N1" s="320"/>
      <c r="O1" s="320"/>
      <c r="P1" s="320"/>
      <c r="Q1" s="320"/>
      <c r="R1" s="320"/>
      <c r="S1" s="320"/>
      <c r="T1" s="320"/>
      <c r="U1" s="320"/>
      <c r="V1" s="50"/>
      <c r="W1" s="50"/>
      <c r="X1" s="50"/>
      <c r="Y1" s="50"/>
      <c r="Z1" s="50"/>
      <c r="AA1" s="50"/>
      <c r="AB1" s="50"/>
      <c r="AC1" s="50"/>
      <c r="AD1" s="50"/>
      <c r="AE1" s="50"/>
      <c r="AF1" s="50"/>
      <c r="AG1" s="50"/>
      <c r="AH1" s="50"/>
      <c r="AI1" s="50"/>
      <c r="AJ1" s="50"/>
      <c r="AK1" s="50"/>
      <c r="AL1" s="57"/>
      <c r="AM1" s="52"/>
      <c r="AN1" s="52"/>
      <c r="AO1" s="52"/>
      <c r="AP1" s="52"/>
      <c r="AQ1" s="52"/>
    </row>
    <row r="2" spans="1:43" ht="14.25" customHeight="1">
      <c r="A2" s="331">
        <v>45322</v>
      </c>
      <c r="B2" s="332">
        <v>4845.6499999999996</v>
      </c>
      <c r="C2" s="30">
        <v>449.23</v>
      </c>
      <c r="D2" s="22"/>
      <c r="E2" s="22"/>
      <c r="F2" s="36" t="s">
        <v>289</v>
      </c>
      <c r="G2" s="206" t="s">
        <v>288</v>
      </c>
      <c r="H2" s="3"/>
      <c r="I2" s="19" t="s">
        <v>1017</v>
      </c>
      <c r="J2" s="19"/>
      <c r="K2" s="320"/>
      <c r="L2" s="320"/>
      <c r="M2" s="320"/>
      <c r="N2" s="320"/>
      <c r="O2" s="320"/>
      <c r="P2" s="320"/>
      <c r="Q2" s="320"/>
      <c r="R2" s="320"/>
      <c r="S2" s="320"/>
      <c r="T2" s="320"/>
      <c r="U2" s="320"/>
      <c r="V2" s="50"/>
      <c r="W2" s="50"/>
      <c r="X2" s="50"/>
      <c r="Y2" s="50"/>
      <c r="Z2" s="50"/>
      <c r="AA2" s="50"/>
      <c r="AB2" s="50"/>
      <c r="AC2" s="50"/>
      <c r="AD2" s="50"/>
      <c r="AE2" s="50"/>
      <c r="AF2" s="50"/>
      <c r="AG2" s="50"/>
      <c r="AH2" s="50"/>
      <c r="AI2" s="50"/>
      <c r="AJ2" s="50"/>
      <c r="AK2" s="50"/>
      <c r="AL2" s="57"/>
      <c r="AM2" s="52"/>
      <c r="AN2" s="52"/>
      <c r="AO2" s="52"/>
      <c r="AP2" s="52"/>
      <c r="AQ2" s="52"/>
    </row>
    <row r="3" spans="1:43">
      <c r="A3" s="331">
        <v>45321</v>
      </c>
      <c r="B3" s="332">
        <v>4924.97</v>
      </c>
      <c r="C3" s="30">
        <v>445.19</v>
      </c>
      <c r="D3" s="22">
        <f>(B3-B2)/B2</f>
        <v>1.6369320937335678E-2</v>
      </c>
      <c r="E3" s="22">
        <f>(C3-C2)/C2</f>
        <v>-8.9931660841885454E-3</v>
      </c>
      <c r="F3" s="12"/>
      <c r="G3" s="12"/>
      <c r="H3" s="3"/>
      <c r="I3" s="28" t="s">
        <v>1018</v>
      </c>
      <c r="J3" s="28"/>
      <c r="K3" s="320"/>
      <c r="L3" s="320"/>
      <c r="M3" s="320"/>
      <c r="N3" s="320"/>
      <c r="O3" s="320"/>
      <c r="P3" s="320"/>
      <c r="Q3" s="320"/>
      <c r="R3" s="320"/>
      <c r="S3" s="320"/>
      <c r="T3" s="320"/>
      <c r="U3" s="320"/>
      <c r="V3" s="50"/>
      <c r="W3" s="50"/>
      <c r="X3" s="50"/>
      <c r="Y3" s="50"/>
      <c r="Z3" s="50"/>
      <c r="AA3" s="50"/>
      <c r="AB3" s="50"/>
      <c r="AC3" s="50"/>
      <c r="AD3" s="50"/>
      <c r="AE3" s="50"/>
      <c r="AF3" s="50"/>
      <c r="AG3" s="50"/>
      <c r="AH3" s="50"/>
      <c r="AI3" s="50"/>
      <c r="AJ3" s="50"/>
      <c r="AK3" s="50"/>
      <c r="AL3" s="57"/>
      <c r="AM3" s="52"/>
      <c r="AN3" s="52"/>
      <c r="AO3" s="52"/>
      <c r="AP3" s="52"/>
      <c r="AQ3" s="52"/>
    </row>
    <row r="4" spans="1:43">
      <c r="A4" s="331">
        <v>45320</v>
      </c>
      <c r="B4" s="332">
        <v>4927.93</v>
      </c>
      <c r="C4" s="30">
        <v>440.58</v>
      </c>
      <c r="D4" s="22">
        <f t="shared" ref="D4:D67" si="0">(B4-B3)/B3</f>
        <v>6.0101888945517155E-4</v>
      </c>
      <c r="E4" s="22">
        <f>(C4-C3)/C3</f>
        <v>-1.0355129270648519E-2</v>
      </c>
      <c r="F4" s="12" t="s">
        <v>227</v>
      </c>
      <c r="G4" s="12" t="s">
        <v>117</v>
      </c>
      <c r="H4" s="3"/>
      <c r="I4" s="28" t="s">
        <v>1019</v>
      </c>
      <c r="J4" s="28"/>
      <c r="K4" s="320"/>
      <c r="L4" s="320"/>
      <c r="M4" s="320"/>
      <c r="N4" s="320"/>
      <c r="O4" s="320"/>
      <c r="P4" s="320"/>
      <c r="Q4" s="320"/>
      <c r="R4" s="320"/>
      <c r="S4" s="320"/>
      <c r="T4" s="320"/>
      <c r="U4" s="320"/>
      <c r="V4" s="50"/>
      <c r="W4" s="50"/>
      <c r="X4" s="50"/>
      <c r="Y4" s="50"/>
      <c r="Z4" s="50"/>
      <c r="AA4" s="50"/>
      <c r="AB4" s="50"/>
      <c r="AC4" s="50"/>
      <c r="AD4" s="50"/>
      <c r="AE4" s="50"/>
      <c r="AF4" s="50"/>
      <c r="AG4" s="50"/>
      <c r="AH4" s="50"/>
      <c r="AI4" s="50"/>
      <c r="AJ4" s="50"/>
      <c r="AK4" s="50"/>
      <c r="AL4" s="57"/>
      <c r="AM4" s="52"/>
      <c r="AN4" s="52"/>
      <c r="AO4" s="52"/>
      <c r="AP4" s="52"/>
      <c r="AQ4" s="52"/>
    </row>
    <row r="5" spans="1:43">
      <c r="A5" s="331">
        <v>45317</v>
      </c>
      <c r="B5" s="332">
        <v>4890.97</v>
      </c>
      <c r="C5" s="30">
        <v>438.53</v>
      </c>
      <c r="D5" s="22">
        <f t="shared" si="0"/>
        <v>-7.5001065356042063E-3</v>
      </c>
      <c r="E5" s="22">
        <f t="shared" ref="E5:E68" si="1">(C5-C4)/C4</f>
        <v>-4.652957465159588E-3</v>
      </c>
      <c r="F5" s="30" t="s">
        <v>227</v>
      </c>
      <c r="G5" s="33">
        <f>SLOPE(E3:E1316, D3:D1316)</f>
        <v>1.0354653976641042</v>
      </c>
      <c r="H5" s="3"/>
      <c r="I5" s="28" t="s">
        <v>1020</v>
      </c>
      <c r="J5" s="28"/>
      <c r="K5" s="320"/>
      <c r="L5" s="320"/>
      <c r="M5" s="320"/>
      <c r="N5" s="320"/>
      <c r="O5" s="320"/>
      <c r="P5" s="320"/>
      <c r="Q5" s="320"/>
      <c r="R5" s="320"/>
      <c r="S5" s="320"/>
      <c r="T5" s="320"/>
      <c r="U5" s="320"/>
      <c r="V5" s="50"/>
      <c r="W5" s="50"/>
      <c r="X5" s="50"/>
      <c r="Y5" s="50"/>
      <c r="Z5" s="50"/>
      <c r="AA5" s="50"/>
      <c r="AB5" s="50"/>
      <c r="AC5" s="50"/>
      <c r="AD5" s="50"/>
      <c r="AE5" s="50"/>
      <c r="AF5" s="50"/>
      <c r="AG5" s="50"/>
      <c r="AH5" s="50"/>
      <c r="AI5" s="50"/>
      <c r="AJ5" s="50"/>
      <c r="AK5" s="50"/>
      <c r="AL5" s="57"/>
      <c r="AM5" s="52"/>
      <c r="AN5" s="52"/>
      <c r="AO5" s="52"/>
      <c r="AP5" s="52"/>
      <c r="AQ5" s="52"/>
    </row>
    <row r="6" spans="1:43">
      <c r="A6" s="331">
        <v>45316</v>
      </c>
      <c r="B6" s="332">
        <v>4894.16</v>
      </c>
      <c r="C6" s="30">
        <v>436.8</v>
      </c>
      <c r="D6" s="22">
        <f t="shared" si="0"/>
        <v>6.5222236079951412E-4</v>
      </c>
      <c r="E6" s="22">
        <f t="shared" si="1"/>
        <v>-3.9449980617060664E-3</v>
      </c>
      <c r="F6" s="12"/>
      <c r="G6" s="33"/>
      <c r="H6" s="3"/>
      <c r="I6" s="28"/>
      <c r="J6" s="28"/>
      <c r="K6" s="320"/>
      <c r="L6" s="320"/>
      <c r="M6" s="320"/>
      <c r="N6" s="320"/>
      <c r="O6" s="320"/>
      <c r="P6" s="320"/>
      <c r="Q6" s="320"/>
      <c r="R6" s="320"/>
      <c r="S6" s="320"/>
      <c r="T6" s="320"/>
      <c r="U6" s="320"/>
      <c r="V6" s="50"/>
      <c r="W6" s="50"/>
      <c r="X6" s="50"/>
      <c r="Y6" s="50"/>
      <c r="Z6" s="50"/>
      <c r="AA6" s="50"/>
      <c r="AB6" s="50"/>
      <c r="AC6" s="50"/>
      <c r="AD6" s="50"/>
      <c r="AE6" s="50"/>
      <c r="AF6" s="50"/>
      <c r="AG6" s="50"/>
      <c r="AH6" s="50"/>
      <c r="AI6" s="50"/>
      <c r="AJ6" s="50"/>
      <c r="AK6" s="50"/>
      <c r="AL6" s="57"/>
      <c r="AM6" s="52"/>
      <c r="AN6" s="52"/>
      <c r="AO6" s="52"/>
      <c r="AP6" s="52"/>
      <c r="AQ6" s="52"/>
    </row>
    <row r="7" spans="1:43">
      <c r="A7" s="331">
        <v>45315</v>
      </c>
      <c r="B7" s="332">
        <v>4868.55</v>
      </c>
      <c r="C7" s="30">
        <v>438.7</v>
      </c>
      <c r="D7" s="22">
        <f t="shared" si="0"/>
        <v>-5.2327672164374835E-3</v>
      </c>
      <c r="E7" s="22">
        <f t="shared" si="1"/>
        <v>4.3498168498167979E-3</v>
      </c>
      <c r="F7" s="12" t="s">
        <v>191</v>
      </c>
      <c r="G7" s="12" t="s">
        <v>117</v>
      </c>
      <c r="H7" s="3"/>
      <c r="I7" s="19" t="s">
        <v>1021</v>
      </c>
      <c r="J7" s="19"/>
      <c r="K7" s="327" t="s">
        <v>1807</v>
      </c>
      <c r="L7" s="320"/>
      <c r="M7" s="320"/>
      <c r="N7" s="320"/>
      <c r="O7" s="320"/>
      <c r="P7" s="320"/>
      <c r="Q7" s="320"/>
      <c r="R7" s="320"/>
      <c r="S7" s="320"/>
      <c r="T7" s="320"/>
      <c r="U7" s="320"/>
      <c r="V7" s="50"/>
      <c r="W7" s="50"/>
      <c r="X7" s="50"/>
      <c r="Y7" s="50"/>
      <c r="Z7" s="50"/>
      <c r="AA7" s="50"/>
      <c r="AB7" s="50"/>
      <c r="AC7" s="50"/>
      <c r="AD7" s="50"/>
      <c r="AE7" s="50"/>
      <c r="AF7" s="50"/>
      <c r="AG7" s="50"/>
      <c r="AH7" s="50"/>
      <c r="AI7" s="50"/>
      <c r="AJ7" s="50"/>
      <c r="AK7" s="50"/>
      <c r="AL7" s="57"/>
      <c r="AM7" s="52"/>
      <c r="AN7" s="52"/>
      <c r="AO7" s="52"/>
      <c r="AP7" s="52"/>
      <c r="AQ7" s="52"/>
    </row>
    <row r="8" spans="1:43">
      <c r="A8" s="331">
        <v>45314</v>
      </c>
      <c r="B8" s="332">
        <v>4864.6000000000004</v>
      </c>
      <c r="C8" s="30">
        <v>438.76</v>
      </c>
      <c r="D8" s="22">
        <f t="shared" si="0"/>
        <v>-8.1132986207388608E-4</v>
      </c>
      <c r="E8" s="22">
        <f t="shared" si="1"/>
        <v>1.3676772281742027E-4</v>
      </c>
      <c r="F8" s="30" t="s">
        <v>191</v>
      </c>
      <c r="G8" s="33">
        <f>_xlfn.COVARIANCE.P(E3:E1316, D3:D1316) / _xlfn.VAR.P(D3:D1316)</f>
        <v>1.0354653976641053</v>
      </c>
      <c r="H8" s="3"/>
      <c r="I8" s="28" t="s">
        <v>1471</v>
      </c>
      <c r="J8" s="28"/>
      <c r="K8" s="320" t="s">
        <v>1808</v>
      </c>
      <c r="L8" s="320"/>
      <c r="M8" s="320"/>
      <c r="N8" s="320"/>
      <c r="O8" s="320"/>
      <c r="P8" s="320"/>
      <c r="Q8" s="320"/>
      <c r="R8" s="320"/>
      <c r="S8" s="320"/>
      <c r="T8" s="320"/>
      <c r="U8" s="320"/>
      <c r="V8" s="50"/>
      <c r="W8" s="50"/>
      <c r="X8" s="50"/>
      <c r="Y8" s="50"/>
      <c r="Z8" s="50"/>
      <c r="AA8" s="50"/>
      <c r="AB8" s="50"/>
      <c r="AC8" s="50"/>
      <c r="AD8" s="50"/>
      <c r="AE8" s="50"/>
      <c r="AF8" s="50"/>
      <c r="AG8" s="50"/>
      <c r="AH8" s="50"/>
      <c r="AI8" s="50"/>
      <c r="AJ8" s="50"/>
      <c r="AK8" s="50"/>
      <c r="AL8" s="57"/>
      <c r="AM8" s="52"/>
      <c r="AN8" s="52"/>
      <c r="AO8" s="52"/>
      <c r="AP8" s="52"/>
      <c r="AQ8" s="52"/>
    </row>
    <row r="9" spans="1:43">
      <c r="A9" s="331">
        <v>45313</v>
      </c>
      <c r="B9" s="332">
        <v>4850.43</v>
      </c>
      <c r="C9" s="30">
        <v>439.75</v>
      </c>
      <c r="D9" s="22">
        <f t="shared" si="0"/>
        <v>-2.9128808123998011E-3</v>
      </c>
      <c r="E9" s="22">
        <f t="shared" si="1"/>
        <v>2.25635882942841E-3</v>
      </c>
      <c r="F9" s="12"/>
      <c r="G9" s="22"/>
      <c r="H9" s="3"/>
      <c r="I9" s="28" t="s">
        <v>1472</v>
      </c>
      <c r="J9" s="28"/>
      <c r="K9" s="320"/>
      <c r="L9" s="320"/>
      <c r="M9" s="320"/>
      <c r="N9" s="320"/>
      <c r="O9" s="320"/>
      <c r="P9" s="327"/>
      <c r="Q9" s="327"/>
      <c r="R9" s="327"/>
      <c r="S9" s="327"/>
      <c r="T9" s="327"/>
      <c r="U9" s="327"/>
      <c r="V9" s="50"/>
      <c r="W9" s="50"/>
      <c r="X9" s="50"/>
      <c r="Y9" s="50"/>
      <c r="Z9" s="50"/>
      <c r="AA9" s="50"/>
      <c r="AB9" s="50"/>
      <c r="AC9" s="50"/>
      <c r="AD9" s="50"/>
      <c r="AE9" s="50"/>
      <c r="AF9" s="50"/>
      <c r="AG9" s="50"/>
      <c r="AH9" s="50"/>
      <c r="AI9" s="50"/>
      <c r="AJ9" s="50"/>
      <c r="AK9" s="50"/>
      <c r="AL9" s="57"/>
      <c r="AM9" s="52"/>
      <c r="AN9" s="52"/>
      <c r="AO9" s="52"/>
      <c r="AP9" s="52"/>
      <c r="AQ9" s="52"/>
    </row>
    <row r="10" spans="1:43">
      <c r="A10" s="331">
        <v>45310</v>
      </c>
      <c r="B10" s="332">
        <v>4839.8100000000004</v>
      </c>
      <c r="C10" s="30">
        <v>436.78</v>
      </c>
      <c r="D10" s="22">
        <f t="shared" si="0"/>
        <v>-2.1894966013322305E-3</v>
      </c>
      <c r="E10" s="22">
        <f t="shared" si="1"/>
        <v>-6.7538374076180265E-3</v>
      </c>
      <c r="F10" s="30" t="s">
        <v>1474</v>
      </c>
      <c r="G10" s="265">
        <f>AVERAGE(E3:E523)</f>
        <v>-2.3994308669842717E-4</v>
      </c>
      <c r="H10" s="3"/>
      <c r="I10" s="28" t="s">
        <v>1022</v>
      </c>
      <c r="J10" s="28"/>
      <c r="K10" s="320"/>
      <c r="L10" s="320"/>
      <c r="M10" s="320" t="s">
        <v>2323</v>
      </c>
      <c r="N10" s="320"/>
      <c r="O10" s="320"/>
      <c r="P10" s="320"/>
      <c r="Q10" s="320"/>
      <c r="R10" s="320"/>
      <c r="S10" s="320"/>
      <c r="T10" s="320"/>
      <c r="U10" s="320"/>
      <c r="V10" s="50"/>
      <c r="W10" s="50"/>
      <c r="X10" s="50"/>
      <c r="Y10" s="50"/>
      <c r="Z10" s="50"/>
      <c r="AA10" s="50"/>
      <c r="AB10" s="50"/>
      <c r="AC10" s="50"/>
      <c r="AD10" s="50"/>
      <c r="AE10" s="50"/>
      <c r="AF10" s="50"/>
      <c r="AG10" s="50"/>
      <c r="AH10" s="50"/>
      <c r="AI10" s="50"/>
      <c r="AJ10" s="50"/>
      <c r="AK10" s="50"/>
      <c r="AL10" s="57"/>
      <c r="AM10" s="52"/>
      <c r="AN10" s="52"/>
      <c r="AO10" s="52"/>
      <c r="AP10" s="52"/>
      <c r="AQ10" s="52"/>
    </row>
    <row r="11" spans="1:43">
      <c r="A11" s="331">
        <v>45309</v>
      </c>
      <c r="B11" s="332">
        <v>4780.9399999999996</v>
      </c>
      <c r="C11" s="30">
        <v>430.72</v>
      </c>
      <c r="D11" s="22">
        <f t="shared" si="0"/>
        <v>-1.2163700641141036E-2</v>
      </c>
      <c r="E11" s="22">
        <f t="shared" si="1"/>
        <v>-1.3874261642016451E-2</v>
      </c>
      <c r="F11" s="30" t="s">
        <v>1473</v>
      </c>
      <c r="G11" s="264">
        <f>AVERAGE(D3:D523)</f>
        <v>5.3722361074905271E-5</v>
      </c>
      <c r="H11" s="3"/>
      <c r="I11" s="28"/>
      <c r="J11" s="28"/>
      <c r="K11" s="320"/>
      <c r="L11" s="320"/>
      <c r="M11" s="320" t="s">
        <v>2324</v>
      </c>
      <c r="N11" s="320"/>
      <c r="O11" s="320"/>
      <c r="P11" s="320"/>
      <c r="Q11" s="320"/>
      <c r="R11" s="320"/>
      <c r="S11" s="320"/>
      <c r="T11" s="320"/>
      <c r="U11" s="320"/>
      <c r="V11" s="50"/>
      <c r="W11" s="50"/>
      <c r="X11" s="50"/>
      <c r="Y11" s="50"/>
      <c r="Z11" s="50"/>
      <c r="AA11" s="50"/>
      <c r="AB11" s="50"/>
      <c r="AC11" s="50"/>
      <c r="AD11" s="50"/>
      <c r="AE11" s="50"/>
      <c r="AF11" s="50"/>
      <c r="AG11" s="50"/>
      <c r="AH11" s="50"/>
      <c r="AI11" s="50"/>
      <c r="AJ11" s="50"/>
      <c r="AK11" s="50"/>
      <c r="AL11" s="57"/>
      <c r="AM11" s="52"/>
      <c r="AN11" s="52"/>
      <c r="AO11" s="52"/>
      <c r="AP11" s="52"/>
      <c r="AQ11" s="52"/>
    </row>
    <row r="12" spans="1:43">
      <c r="A12" s="331">
        <v>45308</v>
      </c>
      <c r="B12" s="332">
        <v>4739.21</v>
      </c>
      <c r="C12" s="30">
        <v>427.42</v>
      </c>
      <c r="D12" s="22">
        <f t="shared" si="0"/>
        <v>-8.7284090576329274E-3</v>
      </c>
      <c r="E12" s="22">
        <f t="shared" si="1"/>
        <v>-7.6615898959881386E-3</v>
      </c>
      <c r="F12" s="12"/>
      <c r="G12" s="12"/>
      <c r="H12" s="3"/>
      <c r="I12" s="19" t="s">
        <v>1023</v>
      </c>
      <c r="J12" s="19"/>
      <c r="K12" s="320"/>
      <c r="L12" s="320"/>
      <c r="M12" s="320" t="s">
        <v>2325</v>
      </c>
      <c r="N12" s="320"/>
      <c r="O12" s="320"/>
      <c r="P12" s="320"/>
      <c r="Q12" s="320"/>
      <c r="R12" s="320"/>
      <c r="S12" s="320"/>
      <c r="T12" s="320"/>
      <c r="U12" s="320"/>
      <c r="V12" s="50"/>
      <c r="W12" s="50"/>
      <c r="X12" s="50"/>
      <c r="Y12" s="50"/>
      <c r="Z12" s="50"/>
      <c r="AA12" s="50"/>
      <c r="AB12" s="50"/>
      <c r="AC12" s="50"/>
      <c r="AD12" s="50"/>
      <c r="AE12" s="50"/>
      <c r="AF12" s="50"/>
      <c r="AG12" s="50"/>
      <c r="AH12" s="50"/>
      <c r="AI12" s="50"/>
      <c r="AJ12" s="50"/>
      <c r="AK12" s="50"/>
      <c r="AL12" s="57"/>
      <c r="AM12" s="52"/>
      <c r="AN12" s="52"/>
      <c r="AO12" s="52"/>
      <c r="AP12" s="52"/>
      <c r="AQ12" s="52"/>
    </row>
    <row r="13" spans="1:43">
      <c r="A13" s="331">
        <v>45307</v>
      </c>
      <c r="B13" s="332">
        <v>4765.9799999999996</v>
      </c>
      <c r="C13" s="30">
        <v>428.35</v>
      </c>
      <c r="D13" s="22">
        <f t="shared" si="0"/>
        <v>5.6486207616880295E-3</v>
      </c>
      <c r="E13" s="22">
        <f t="shared" si="1"/>
        <v>2.1758457723082842E-3</v>
      </c>
      <c r="F13" s="12"/>
      <c r="G13" s="12"/>
      <c r="H13" s="3"/>
      <c r="I13" s="28" t="s">
        <v>1024</v>
      </c>
      <c r="J13" s="28"/>
      <c r="K13" s="320"/>
      <c r="L13" s="320"/>
      <c r="M13" s="320"/>
      <c r="N13" s="320"/>
      <c r="O13" s="320"/>
      <c r="P13" s="320"/>
      <c r="Q13" s="320"/>
      <c r="R13" s="320"/>
      <c r="S13" s="320"/>
      <c r="T13" s="320"/>
      <c r="U13" s="320"/>
      <c r="V13" s="50"/>
      <c r="W13" s="50"/>
      <c r="X13" s="50"/>
      <c r="Y13" s="50"/>
      <c r="Z13" s="50"/>
      <c r="AA13" s="50"/>
      <c r="AB13" s="50"/>
      <c r="AC13" s="50"/>
      <c r="AD13" s="50"/>
      <c r="AE13" s="50"/>
      <c r="AF13" s="50"/>
      <c r="AG13" s="50"/>
      <c r="AH13" s="50"/>
      <c r="AI13" s="50"/>
      <c r="AJ13" s="50"/>
      <c r="AK13" s="50"/>
      <c r="AL13" s="57"/>
      <c r="AM13" s="52"/>
      <c r="AN13" s="52"/>
      <c r="AO13" s="52"/>
      <c r="AP13" s="52"/>
      <c r="AQ13" s="52"/>
    </row>
    <row r="14" spans="1:43">
      <c r="A14" s="331">
        <v>45303</v>
      </c>
      <c r="B14" s="332">
        <v>4783.83</v>
      </c>
      <c r="C14" s="30">
        <v>429.1</v>
      </c>
      <c r="D14" s="22">
        <f t="shared" si="0"/>
        <v>3.7452947767301513E-3</v>
      </c>
      <c r="E14" s="22">
        <f t="shared" si="1"/>
        <v>1.7509046340609313E-3</v>
      </c>
      <c r="F14" s="12"/>
      <c r="G14" s="12"/>
      <c r="H14" s="3"/>
      <c r="I14" s="28" t="s">
        <v>1025</v>
      </c>
      <c r="J14" s="28"/>
      <c r="K14" s="320"/>
      <c r="L14" s="320"/>
      <c r="M14" s="320"/>
      <c r="N14" s="320"/>
      <c r="O14" s="320"/>
      <c r="P14" s="320"/>
      <c r="Q14" s="320"/>
      <c r="R14" s="320"/>
      <c r="S14" s="320"/>
      <c r="T14" s="320"/>
      <c r="U14" s="320"/>
      <c r="V14" s="50"/>
      <c r="W14" s="50"/>
      <c r="X14" s="50"/>
      <c r="Y14" s="50"/>
      <c r="Z14" s="50"/>
      <c r="AA14" s="50"/>
      <c r="AB14" s="50"/>
      <c r="AC14" s="50"/>
      <c r="AD14" s="50"/>
      <c r="AE14" s="50"/>
      <c r="AF14" s="50"/>
      <c r="AG14" s="50"/>
      <c r="AH14" s="50"/>
      <c r="AI14" s="50"/>
      <c r="AJ14" s="50"/>
      <c r="AK14" s="50"/>
      <c r="AL14" s="57"/>
      <c r="AM14" s="52"/>
      <c r="AN14" s="52"/>
      <c r="AO14" s="52"/>
      <c r="AP14" s="52"/>
      <c r="AQ14" s="52"/>
    </row>
    <row r="15" spans="1:43">
      <c r="A15" s="331">
        <v>45302</v>
      </c>
      <c r="B15" s="332">
        <v>4780.24</v>
      </c>
      <c r="C15" s="30">
        <v>426.72</v>
      </c>
      <c r="D15" s="22">
        <f t="shared" si="0"/>
        <v>-7.5044472734193013E-4</v>
      </c>
      <c r="E15" s="22">
        <f t="shared" si="1"/>
        <v>-5.5464926590538229E-3</v>
      </c>
      <c r="F15" s="12"/>
      <c r="G15" s="12"/>
      <c r="H15" s="3"/>
      <c r="I15" s="28" t="s">
        <v>1026</v>
      </c>
      <c r="J15" s="28"/>
      <c r="K15" s="327"/>
      <c r="L15" s="327"/>
      <c r="M15" s="327"/>
      <c r="N15" s="320"/>
      <c r="O15" s="320"/>
      <c r="P15" s="320"/>
      <c r="Q15" s="320"/>
      <c r="R15" s="320"/>
      <c r="S15" s="320"/>
      <c r="T15" s="320"/>
      <c r="U15" s="320"/>
      <c r="V15" s="50"/>
      <c r="W15" s="50"/>
      <c r="X15" s="50"/>
      <c r="Y15" s="50"/>
      <c r="Z15" s="50"/>
      <c r="AA15" s="50"/>
      <c r="AB15" s="50"/>
      <c r="AC15" s="50"/>
      <c r="AD15" s="50"/>
      <c r="AE15" s="50"/>
      <c r="AF15" s="50"/>
      <c r="AG15" s="50"/>
      <c r="AH15" s="50"/>
      <c r="AI15" s="50"/>
      <c r="AJ15" s="50"/>
      <c r="AK15" s="50"/>
      <c r="AL15" s="57"/>
      <c r="AM15" s="52"/>
      <c r="AN15" s="52"/>
      <c r="AO15" s="52"/>
      <c r="AP15" s="52"/>
      <c r="AQ15" s="52"/>
    </row>
    <row r="16" spans="1:43">
      <c r="A16" s="331">
        <v>45301</v>
      </c>
      <c r="B16" s="332">
        <v>4783.45</v>
      </c>
      <c r="C16" s="30">
        <v>428.27</v>
      </c>
      <c r="D16" s="22">
        <f t="shared" si="0"/>
        <v>6.7151440095058752E-4</v>
      </c>
      <c r="E16" s="22">
        <f t="shared" si="1"/>
        <v>3.632358455192994E-3</v>
      </c>
      <c r="F16" s="12"/>
      <c r="G16" s="12"/>
      <c r="H16" s="3"/>
      <c r="I16" s="28" t="s">
        <v>1027</v>
      </c>
      <c r="J16" s="28"/>
      <c r="K16" s="320"/>
      <c r="L16" s="320"/>
      <c r="M16" s="320"/>
      <c r="N16" s="320"/>
      <c r="O16" s="320"/>
      <c r="P16" s="320"/>
      <c r="Q16" s="320"/>
      <c r="R16" s="320"/>
      <c r="S16" s="320"/>
      <c r="T16" s="320"/>
      <c r="U16" s="320"/>
      <c r="V16" s="50"/>
      <c r="W16" s="50"/>
      <c r="X16" s="50"/>
      <c r="Y16" s="50"/>
      <c r="Z16" s="50"/>
      <c r="AA16" s="50"/>
      <c r="AB16" s="50"/>
      <c r="AC16" s="50"/>
      <c r="AD16" s="50"/>
      <c r="AE16" s="50"/>
      <c r="AF16" s="50"/>
      <c r="AG16" s="50"/>
      <c r="AH16" s="50"/>
      <c r="AI16" s="50"/>
      <c r="AJ16" s="50"/>
      <c r="AK16" s="50"/>
      <c r="AL16" s="57"/>
      <c r="AM16" s="52"/>
      <c r="AN16" s="52"/>
      <c r="AO16" s="52"/>
      <c r="AP16" s="52"/>
      <c r="AQ16" s="52"/>
    </row>
    <row r="17" spans="1:43">
      <c r="A17" s="331">
        <v>45300</v>
      </c>
      <c r="B17" s="332">
        <v>4756.5</v>
      </c>
      <c r="C17" s="30">
        <v>422.6</v>
      </c>
      <c r="D17" s="22">
        <f t="shared" si="0"/>
        <v>-5.6340089266115083E-3</v>
      </c>
      <c r="E17" s="22">
        <f t="shared" si="1"/>
        <v>-1.3239311649193172E-2</v>
      </c>
      <c r="F17" s="12"/>
      <c r="G17" s="12"/>
      <c r="H17" s="3"/>
      <c r="I17" s="327" t="s">
        <v>1476</v>
      </c>
      <c r="J17" s="327"/>
      <c r="K17" s="327"/>
      <c r="L17" s="327"/>
      <c r="M17" s="327"/>
      <c r="N17" s="327"/>
      <c r="O17" s="327"/>
      <c r="P17" s="320"/>
      <c r="Q17" s="320"/>
      <c r="R17" s="320"/>
      <c r="S17" s="320"/>
      <c r="T17" s="320"/>
      <c r="U17" s="320"/>
      <c r="V17" s="50"/>
      <c r="W17" s="50"/>
      <c r="X17" s="50"/>
      <c r="Y17" s="50"/>
      <c r="Z17" s="50"/>
      <c r="AA17" s="50"/>
      <c r="AB17" s="50"/>
      <c r="AC17" s="50"/>
      <c r="AD17" s="50"/>
      <c r="AE17" s="50"/>
      <c r="AF17" s="50"/>
      <c r="AG17" s="50"/>
      <c r="AH17" s="50"/>
      <c r="AI17" s="50"/>
      <c r="AJ17" s="50"/>
      <c r="AK17" s="50"/>
      <c r="AL17" s="57"/>
      <c r="AM17" s="52"/>
      <c r="AN17" s="52"/>
      <c r="AO17" s="52"/>
      <c r="AP17" s="52"/>
      <c r="AQ17" s="52"/>
    </row>
    <row r="18" spans="1:43">
      <c r="A18" s="331">
        <v>45299</v>
      </c>
      <c r="B18" s="332">
        <v>4763.54</v>
      </c>
      <c r="C18" s="30">
        <v>421.98</v>
      </c>
      <c r="D18" s="22">
        <f t="shared" si="0"/>
        <v>1.4800798906759096E-3</v>
      </c>
      <c r="E18" s="22">
        <f t="shared" si="1"/>
        <v>-1.467108376715581E-3</v>
      </c>
      <c r="F18" s="12"/>
      <c r="G18" s="12"/>
      <c r="H18" s="3"/>
      <c r="I18" s="19" t="s">
        <v>1028</v>
      </c>
      <c r="J18" s="19"/>
      <c r="K18" s="46"/>
      <c r="L18" s="320"/>
      <c r="M18" s="320"/>
      <c r="N18" s="320"/>
      <c r="O18" s="320"/>
      <c r="P18" s="320"/>
      <c r="Q18" s="320"/>
      <c r="R18" s="320"/>
      <c r="S18" s="320"/>
      <c r="T18" s="320"/>
      <c r="U18" s="320"/>
      <c r="V18" s="50"/>
      <c r="W18" s="50"/>
      <c r="X18" s="50"/>
      <c r="Y18" s="50"/>
      <c r="Z18" s="50"/>
      <c r="AA18" s="50"/>
      <c r="AB18" s="50"/>
      <c r="AC18" s="50"/>
      <c r="AD18" s="50"/>
      <c r="AE18" s="50"/>
      <c r="AF18" s="50"/>
      <c r="AG18" s="50"/>
      <c r="AH18" s="50"/>
      <c r="AI18" s="50"/>
      <c r="AJ18" s="50"/>
      <c r="AK18" s="50"/>
      <c r="AL18" s="57"/>
      <c r="AM18" s="52"/>
      <c r="AN18" s="52"/>
      <c r="AO18" s="52"/>
      <c r="AP18" s="52"/>
      <c r="AQ18" s="52"/>
    </row>
    <row r="19" spans="1:43">
      <c r="A19" s="331">
        <v>45296</v>
      </c>
      <c r="B19" s="332">
        <v>4697.24</v>
      </c>
      <c r="C19" s="30">
        <v>419.42</v>
      </c>
      <c r="D19" s="22">
        <f t="shared" si="0"/>
        <v>-1.3918220483086146E-2</v>
      </c>
      <c r="E19" s="22">
        <f t="shared" si="1"/>
        <v>-6.0666382292999723E-3</v>
      </c>
      <c r="F19" s="12"/>
      <c r="G19" s="12"/>
      <c r="H19" s="3"/>
      <c r="I19" s="19" t="s">
        <v>1029</v>
      </c>
      <c r="J19" s="19"/>
      <c r="K19" s="327"/>
      <c r="L19" s="320"/>
      <c r="M19" s="320"/>
      <c r="N19" s="320"/>
      <c r="O19" s="320"/>
      <c r="P19" s="320"/>
      <c r="Q19" s="320"/>
      <c r="R19" s="320"/>
      <c r="S19" s="320"/>
      <c r="T19" s="320"/>
      <c r="U19" s="320"/>
      <c r="V19" s="50"/>
      <c r="W19" s="50"/>
      <c r="X19" s="50"/>
      <c r="Y19" s="50"/>
      <c r="Z19" s="50"/>
      <c r="AA19" s="50"/>
      <c r="AB19" s="50"/>
      <c r="AC19" s="50"/>
      <c r="AD19" s="50"/>
      <c r="AE19" s="50"/>
      <c r="AF19" s="50"/>
      <c r="AG19" s="50"/>
      <c r="AH19" s="50"/>
      <c r="AI19" s="50"/>
      <c r="AJ19" s="50"/>
      <c r="AK19" s="50"/>
      <c r="AL19" s="57"/>
      <c r="AM19" s="52"/>
      <c r="AN19" s="52"/>
      <c r="AO19" s="52"/>
      <c r="AP19" s="52"/>
      <c r="AQ19" s="52"/>
    </row>
    <row r="20" spans="1:43">
      <c r="A20" s="331">
        <v>45295</v>
      </c>
      <c r="B20" s="332">
        <v>4688.68</v>
      </c>
      <c r="C20" s="30">
        <v>419.77</v>
      </c>
      <c r="D20" s="22">
        <f t="shared" si="0"/>
        <v>-1.8223467397875117E-3</v>
      </c>
      <c r="E20" s="22">
        <f t="shared" si="1"/>
        <v>8.3448571837290992E-4</v>
      </c>
      <c r="F20" s="12"/>
      <c r="G20" s="12"/>
      <c r="H20" s="3"/>
      <c r="I20" s="28" t="s">
        <v>1030</v>
      </c>
      <c r="J20" s="28" t="s">
        <v>1031</v>
      </c>
      <c r="K20" s="320" t="s">
        <v>1032</v>
      </c>
      <c r="L20" s="320"/>
      <c r="M20" s="320"/>
      <c r="N20" s="320"/>
      <c r="O20" s="320"/>
      <c r="P20" s="320"/>
      <c r="Q20" s="320"/>
      <c r="R20" s="320"/>
      <c r="S20" s="320"/>
      <c r="T20" s="320"/>
      <c r="U20" s="320"/>
      <c r="V20" s="50"/>
      <c r="W20" s="50"/>
      <c r="X20" s="50"/>
      <c r="Y20" s="50"/>
      <c r="Z20" s="50"/>
      <c r="AA20" s="50"/>
      <c r="AB20" s="50"/>
      <c r="AC20" s="50"/>
      <c r="AD20" s="50"/>
      <c r="AE20" s="50"/>
      <c r="AF20" s="50"/>
      <c r="AG20" s="50"/>
      <c r="AH20" s="50"/>
      <c r="AI20" s="50"/>
      <c r="AJ20" s="50"/>
      <c r="AK20" s="50"/>
      <c r="AL20" s="57"/>
      <c r="AM20" s="52"/>
      <c r="AN20" s="52"/>
      <c r="AO20" s="52"/>
      <c r="AP20" s="52"/>
      <c r="AQ20" s="52"/>
    </row>
    <row r="21" spans="1:43">
      <c r="A21" s="331">
        <v>45294</v>
      </c>
      <c r="B21" s="332">
        <v>4704.8100000000004</v>
      </c>
      <c r="C21" s="30">
        <v>418.77</v>
      </c>
      <c r="D21" s="22">
        <f t="shared" si="0"/>
        <v>3.4402006534888516E-3</v>
      </c>
      <c r="E21" s="22">
        <f t="shared" si="1"/>
        <v>-2.3822569502346524E-3</v>
      </c>
      <c r="F21" s="12"/>
      <c r="G21" s="12"/>
      <c r="H21" s="3"/>
      <c r="I21" s="28" t="s">
        <v>1033</v>
      </c>
      <c r="J21" s="28" t="s">
        <v>1034</v>
      </c>
      <c r="K21" s="320" t="s">
        <v>1035</v>
      </c>
      <c r="L21" s="320"/>
      <c r="M21" s="320"/>
      <c r="N21" s="320"/>
      <c r="O21" s="320"/>
      <c r="P21" s="320"/>
      <c r="Q21" s="320"/>
      <c r="R21" s="320"/>
      <c r="S21" s="320"/>
      <c r="T21" s="320"/>
      <c r="U21" s="320"/>
      <c r="V21" s="50"/>
      <c r="W21" s="50"/>
      <c r="X21" s="50"/>
      <c r="Y21" s="50"/>
      <c r="Z21" s="50"/>
      <c r="AA21" s="50"/>
      <c r="AB21" s="50"/>
      <c r="AC21" s="50"/>
      <c r="AD21" s="50"/>
      <c r="AE21" s="50"/>
      <c r="AF21" s="50"/>
      <c r="AG21" s="50"/>
      <c r="AH21" s="50"/>
      <c r="AI21" s="50"/>
      <c r="AJ21" s="50"/>
      <c r="AK21" s="50"/>
      <c r="AL21" s="57"/>
      <c r="AM21" s="52"/>
      <c r="AN21" s="52"/>
      <c r="AO21" s="52"/>
      <c r="AP21" s="52"/>
      <c r="AQ21" s="52"/>
    </row>
    <row r="22" spans="1:43">
      <c r="A22" s="331">
        <v>45293</v>
      </c>
      <c r="B22" s="332">
        <v>4742.83</v>
      </c>
      <c r="C22" s="30">
        <v>421.89</v>
      </c>
      <c r="D22" s="22">
        <f t="shared" si="0"/>
        <v>8.0810914787206121E-3</v>
      </c>
      <c r="E22" s="22">
        <f t="shared" si="1"/>
        <v>7.4503904291138446E-3</v>
      </c>
      <c r="F22" s="12"/>
      <c r="G22" s="12"/>
      <c r="H22" s="3"/>
      <c r="I22" s="28" t="s">
        <v>1036</v>
      </c>
      <c r="J22" s="28" t="s">
        <v>1037</v>
      </c>
      <c r="K22" s="320" t="s">
        <v>1038</v>
      </c>
      <c r="L22" s="320"/>
      <c r="M22" s="320"/>
      <c r="N22" s="320"/>
      <c r="O22" s="320"/>
      <c r="P22" s="320"/>
      <c r="Q22" s="320"/>
      <c r="R22" s="320"/>
      <c r="S22" s="320"/>
      <c r="T22" s="320"/>
      <c r="U22" s="320"/>
      <c r="V22" s="50"/>
      <c r="W22" s="50"/>
      <c r="X22" s="50"/>
      <c r="Y22" s="50"/>
      <c r="Z22" s="50"/>
      <c r="AA22" s="50"/>
      <c r="AB22" s="50"/>
      <c r="AC22" s="50"/>
      <c r="AD22" s="50"/>
      <c r="AE22" s="50"/>
      <c r="AF22" s="50"/>
      <c r="AG22" s="50"/>
      <c r="AH22" s="50"/>
      <c r="AI22" s="50"/>
      <c r="AJ22" s="50"/>
      <c r="AK22" s="50"/>
      <c r="AL22" s="57"/>
      <c r="AM22" s="52"/>
      <c r="AN22" s="52"/>
      <c r="AO22" s="52"/>
      <c r="AP22" s="52"/>
      <c r="AQ22" s="52"/>
    </row>
    <row r="23" spans="1:43">
      <c r="A23" s="331">
        <v>45289</v>
      </c>
      <c r="B23" s="332">
        <v>4769.83</v>
      </c>
      <c r="C23" s="30">
        <v>426.51</v>
      </c>
      <c r="D23" s="22">
        <f t="shared" si="0"/>
        <v>5.6928036636354241E-3</v>
      </c>
      <c r="E23" s="22">
        <f t="shared" si="1"/>
        <v>1.0950721752115491E-2</v>
      </c>
      <c r="F23" s="12"/>
      <c r="G23" s="12"/>
      <c r="H23" s="3"/>
      <c r="I23" s="28" t="s">
        <v>1039</v>
      </c>
      <c r="J23" s="28" t="s">
        <v>1040</v>
      </c>
      <c r="K23" s="320" t="s">
        <v>1041</v>
      </c>
      <c r="L23" s="320"/>
      <c r="M23" s="320"/>
      <c r="N23" s="320"/>
      <c r="O23" s="320"/>
      <c r="P23" s="320"/>
      <c r="Q23" s="320"/>
      <c r="R23" s="320"/>
      <c r="S23" s="320"/>
      <c r="T23" s="320"/>
      <c r="U23" s="320"/>
      <c r="V23" s="50"/>
      <c r="W23" s="50"/>
      <c r="X23" s="50"/>
      <c r="Y23" s="50"/>
      <c r="Z23" s="50"/>
      <c r="AA23" s="50"/>
      <c r="AB23" s="50"/>
      <c r="AC23" s="50"/>
      <c r="AD23" s="50"/>
      <c r="AE23" s="50"/>
      <c r="AF23" s="50"/>
      <c r="AG23" s="50"/>
      <c r="AH23" s="50"/>
      <c r="AI23" s="50"/>
      <c r="AJ23" s="50"/>
      <c r="AK23" s="50"/>
      <c r="AL23" s="57"/>
      <c r="AM23" s="52"/>
      <c r="AN23" s="52"/>
      <c r="AO23" s="52"/>
      <c r="AP23" s="52"/>
      <c r="AQ23" s="52"/>
    </row>
    <row r="24" spans="1:43">
      <c r="A24" s="331">
        <v>45288</v>
      </c>
      <c r="B24" s="332">
        <v>4783.3500000000004</v>
      </c>
      <c r="C24" s="30">
        <v>426.32</v>
      </c>
      <c r="D24" s="22">
        <f t="shared" si="0"/>
        <v>2.834482570657746E-3</v>
      </c>
      <c r="E24" s="22">
        <f t="shared" si="1"/>
        <v>-4.4547607324563958E-4</v>
      </c>
      <c r="F24" s="12"/>
      <c r="G24" s="12"/>
      <c r="H24" s="3"/>
      <c r="I24" s="28" t="s">
        <v>1042</v>
      </c>
      <c r="J24" s="28" t="s">
        <v>1043</v>
      </c>
      <c r="K24" s="320" t="s">
        <v>1044</v>
      </c>
      <c r="L24" s="320"/>
      <c r="M24" s="320"/>
      <c r="N24" s="320"/>
      <c r="O24" s="320"/>
      <c r="P24" s="320"/>
      <c r="Q24" s="320"/>
      <c r="R24" s="320"/>
      <c r="S24" s="320"/>
      <c r="T24" s="320"/>
      <c r="U24" s="320"/>
      <c r="V24" s="50"/>
      <c r="W24" s="50"/>
      <c r="X24" s="50"/>
      <c r="Y24" s="50"/>
      <c r="Z24" s="50"/>
      <c r="AA24" s="50"/>
      <c r="AB24" s="50"/>
      <c r="AC24" s="50"/>
      <c r="AD24" s="50"/>
      <c r="AE24" s="50"/>
      <c r="AF24" s="50"/>
      <c r="AG24" s="50"/>
      <c r="AH24" s="50"/>
      <c r="AI24" s="50"/>
      <c r="AJ24" s="50"/>
      <c r="AK24" s="50"/>
      <c r="AL24" s="57"/>
      <c r="AM24" s="52"/>
      <c r="AN24" s="52"/>
      <c r="AO24" s="52"/>
      <c r="AP24" s="52"/>
      <c r="AQ24" s="52"/>
    </row>
    <row r="25" spans="1:43">
      <c r="A25" s="331">
        <v>45287</v>
      </c>
      <c r="B25" s="332">
        <v>4781.58</v>
      </c>
      <c r="C25" s="30">
        <v>424.36</v>
      </c>
      <c r="D25" s="22">
        <f t="shared" si="0"/>
        <v>-3.7003355389014737E-4</v>
      </c>
      <c r="E25" s="22">
        <f t="shared" si="1"/>
        <v>-4.5974854569337106E-3</v>
      </c>
      <c r="F25" s="12"/>
      <c r="G25" s="12"/>
      <c r="H25" s="3"/>
      <c r="I25" s="327"/>
      <c r="J25" s="327"/>
      <c r="K25" s="327"/>
      <c r="L25" s="327"/>
      <c r="M25" s="320"/>
      <c r="N25" s="320"/>
      <c r="O25" s="320"/>
      <c r="P25" s="320"/>
      <c r="Q25" s="320"/>
      <c r="R25" s="320"/>
      <c r="S25" s="320"/>
      <c r="T25" s="320"/>
      <c r="U25" s="320"/>
      <c r="V25" s="50"/>
      <c r="W25" s="50"/>
      <c r="X25" s="50"/>
      <c r="Y25" s="50"/>
      <c r="Z25" s="50"/>
      <c r="AA25" s="50"/>
      <c r="AB25" s="50"/>
      <c r="AC25" s="50"/>
      <c r="AD25" s="50"/>
      <c r="AE25" s="50"/>
      <c r="AF25" s="50"/>
      <c r="AG25" s="50"/>
      <c r="AH25" s="50"/>
      <c r="AI25" s="50"/>
      <c r="AJ25" s="50"/>
      <c r="AK25" s="50"/>
      <c r="AL25" s="57"/>
      <c r="AM25" s="52"/>
      <c r="AN25" s="52"/>
      <c r="AO25" s="52"/>
      <c r="AP25" s="52"/>
      <c r="AQ25" s="52"/>
    </row>
    <row r="26" spans="1:43">
      <c r="A26" s="331">
        <v>45286</v>
      </c>
      <c r="B26" s="332">
        <v>4774.75</v>
      </c>
      <c r="C26" s="30">
        <v>423.67</v>
      </c>
      <c r="D26" s="22">
        <f t="shared" si="0"/>
        <v>-1.4283981445463482E-3</v>
      </c>
      <c r="E26" s="22">
        <f t="shared" si="1"/>
        <v>-1.6259779432557209E-3</v>
      </c>
      <c r="F26" s="12"/>
      <c r="G26" s="12"/>
      <c r="H26" s="3"/>
      <c r="I26" s="19" t="s">
        <v>1045</v>
      </c>
      <c r="J26" s="19"/>
      <c r="K26" s="320"/>
      <c r="L26" s="320"/>
      <c r="M26" s="320"/>
      <c r="N26" s="320"/>
      <c r="O26" s="320"/>
      <c r="P26" s="320"/>
      <c r="Q26" s="320"/>
      <c r="R26" s="320"/>
      <c r="S26" s="320"/>
      <c r="T26" s="320"/>
      <c r="U26" s="320"/>
      <c r="V26" s="50"/>
      <c r="W26" s="50"/>
      <c r="X26" s="50"/>
      <c r="Y26" s="50"/>
      <c r="Z26" s="50"/>
      <c r="AA26" s="50"/>
      <c r="AB26" s="50"/>
      <c r="AC26" s="50"/>
      <c r="AD26" s="50"/>
      <c r="AE26" s="50"/>
      <c r="AF26" s="50"/>
      <c r="AG26" s="50"/>
      <c r="AH26" s="50"/>
      <c r="AI26" s="50"/>
      <c r="AJ26" s="50"/>
      <c r="AK26" s="50"/>
      <c r="AL26" s="57"/>
      <c r="AM26" s="52"/>
      <c r="AN26" s="52"/>
      <c r="AO26" s="52"/>
      <c r="AP26" s="52"/>
      <c r="AQ26" s="52"/>
    </row>
    <row r="27" spans="1:43">
      <c r="A27" s="331">
        <v>45282</v>
      </c>
      <c r="B27" s="332">
        <v>4754.63</v>
      </c>
      <c r="C27" s="30">
        <v>424.1</v>
      </c>
      <c r="D27" s="22">
        <f t="shared" si="0"/>
        <v>-4.2138331849834844E-3</v>
      </c>
      <c r="E27" s="22">
        <f t="shared" si="1"/>
        <v>1.0149408737932986E-3</v>
      </c>
      <c r="F27" s="12"/>
      <c r="G27" s="12"/>
      <c r="H27" s="3"/>
      <c r="I27" s="28" t="s">
        <v>1503</v>
      </c>
      <c r="J27" s="28"/>
      <c r="K27" s="320"/>
      <c r="L27" s="320"/>
      <c r="M27" s="320"/>
      <c r="N27" s="320"/>
      <c r="O27" s="320"/>
      <c r="P27" s="320"/>
      <c r="Q27" s="320"/>
      <c r="R27" s="320"/>
      <c r="S27" s="320"/>
      <c r="T27" s="320"/>
      <c r="U27" s="320"/>
      <c r="V27" s="50"/>
      <c r="W27" s="50"/>
      <c r="X27" s="50"/>
      <c r="Y27" s="50"/>
      <c r="Z27" s="50"/>
      <c r="AA27" s="50"/>
      <c r="AB27" s="50"/>
      <c r="AC27" s="50"/>
      <c r="AD27" s="50"/>
      <c r="AE27" s="50"/>
      <c r="AF27" s="50"/>
      <c r="AG27" s="50"/>
      <c r="AH27" s="50"/>
      <c r="AI27" s="50"/>
      <c r="AJ27" s="50"/>
      <c r="AK27" s="50"/>
      <c r="AL27" s="57"/>
      <c r="AM27" s="52"/>
      <c r="AN27" s="52"/>
      <c r="AO27" s="52"/>
      <c r="AP27" s="52"/>
      <c r="AQ27" s="52"/>
    </row>
    <row r="28" spans="1:43">
      <c r="A28" s="331">
        <v>45281</v>
      </c>
      <c r="B28" s="332">
        <v>4746.75</v>
      </c>
      <c r="C28" s="30">
        <v>423.44</v>
      </c>
      <c r="D28" s="22">
        <f t="shared" si="0"/>
        <v>-1.6573319059527468E-3</v>
      </c>
      <c r="E28" s="22">
        <f t="shared" si="1"/>
        <v>-1.5562367366187809E-3</v>
      </c>
      <c r="F28" s="12"/>
      <c r="G28" s="12"/>
      <c r="H28" s="3"/>
      <c r="I28" s="28" t="s">
        <v>1504</v>
      </c>
      <c r="J28" s="28"/>
      <c r="K28" s="28"/>
      <c r="L28" s="28"/>
      <c r="M28" s="28"/>
      <c r="N28" s="28"/>
      <c r="O28" s="28"/>
      <c r="P28" s="28"/>
      <c r="Q28" s="28"/>
      <c r="R28" s="28"/>
      <c r="S28" s="28"/>
      <c r="T28" s="28"/>
      <c r="U28" s="28"/>
      <c r="V28" s="50"/>
      <c r="W28" s="50"/>
      <c r="X28" s="50"/>
      <c r="Y28" s="50"/>
      <c r="Z28" s="50"/>
      <c r="AA28" s="57"/>
      <c r="AB28" s="57"/>
      <c r="AC28" s="57"/>
      <c r="AD28" s="57"/>
      <c r="AE28" s="57"/>
      <c r="AF28" s="57"/>
      <c r="AG28" s="57"/>
      <c r="AH28" s="57"/>
      <c r="AI28" s="57"/>
      <c r="AJ28" s="57"/>
      <c r="AK28" s="57"/>
      <c r="AL28" s="57"/>
      <c r="AM28" s="52"/>
      <c r="AN28" s="52"/>
      <c r="AO28" s="52"/>
      <c r="AP28" s="52"/>
      <c r="AQ28" s="52"/>
    </row>
    <row r="29" spans="1:43">
      <c r="A29" s="331">
        <v>45280</v>
      </c>
      <c r="B29" s="332">
        <v>4698.3500000000004</v>
      </c>
      <c r="C29" s="30">
        <v>419.45</v>
      </c>
      <c r="D29" s="22">
        <f t="shared" si="0"/>
        <v>-1.0196450202770239E-2</v>
      </c>
      <c r="E29" s="22">
        <f t="shared" si="1"/>
        <v>-9.4228225958813746E-3</v>
      </c>
      <c r="F29" s="12"/>
      <c r="G29" s="12"/>
      <c r="H29" s="3"/>
      <c r="I29" s="28"/>
      <c r="J29" s="28"/>
      <c r="K29" s="28"/>
      <c r="L29" s="28"/>
      <c r="M29" s="28"/>
      <c r="N29" s="28"/>
      <c r="O29" s="28"/>
      <c r="P29" s="28"/>
      <c r="Q29" s="28"/>
      <c r="R29" s="28"/>
      <c r="S29" s="28"/>
      <c r="T29" s="28"/>
      <c r="U29" s="28"/>
      <c r="V29" s="50"/>
      <c r="W29" s="50"/>
      <c r="X29" s="50"/>
      <c r="Y29" s="50"/>
      <c r="Z29" s="50"/>
      <c r="AA29" s="57"/>
      <c r="AB29" s="57"/>
      <c r="AC29" s="57"/>
      <c r="AD29" s="57"/>
      <c r="AE29" s="57"/>
      <c r="AF29" s="57"/>
      <c r="AG29" s="57"/>
      <c r="AH29" s="57"/>
      <c r="AI29" s="57"/>
      <c r="AJ29" s="57"/>
      <c r="AK29" s="57"/>
      <c r="AL29" s="57"/>
      <c r="AM29" s="52"/>
      <c r="AN29" s="52"/>
      <c r="AO29" s="52"/>
      <c r="AP29" s="52"/>
      <c r="AQ29" s="52"/>
    </row>
    <row r="30" spans="1:43">
      <c r="A30" s="331">
        <v>45279</v>
      </c>
      <c r="B30" s="332">
        <v>4768.37</v>
      </c>
      <c r="C30" s="30">
        <v>425.47</v>
      </c>
      <c r="D30" s="22">
        <f t="shared" si="0"/>
        <v>1.4903104281290139E-2</v>
      </c>
      <c r="E30" s="22">
        <f t="shared" si="1"/>
        <v>1.4352127786387028E-2</v>
      </c>
      <c r="F30" s="12"/>
      <c r="G30" s="12"/>
      <c r="H30" s="3"/>
      <c r="I30" s="28" t="s">
        <v>1505</v>
      </c>
      <c r="J30" s="28"/>
      <c r="K30" s="28"/>
      <c r="L30" s="28"/>
      <c r="M30" s="28"/>
      <c r="N30" s="28"/>
      <c r="O30" s="28"/>
      <c r="P30" s="28"/>
      <c r="Q30" s="28"/>
      <c r="R30" s="28"/>
      <c r="S30" s="28"/>
      <c r="T30" s="28"/>
      <c r="U30" s="28"/>
      <c r="V30" s="50"/>
      <c r="W30" s="50"/>
      <c r="X30" s="50"/>
      <c r="Y30" s="50"/>
      <c r="Z30" s="50"/>
      <c r="AA30" s="57"/>
      <c r="AB30" s="57"/>
      <c r="AC30" s="57"/>
      <c r="AD30" s="57"/>
      <c r="AE30" s="57"/>
      <c r="AF30" s="57"/>
      <c r="AG30" s="57"/>
      <c r="AH30" s="57"/>
      <c r="AI30" s="57"/>
      <c r="AJ30" s="57"/>
      <c r="AK30" s="57"/>
      <c r="AL30" s="57"/>
      <c r="AM30" s="52"/>
      <c r="AN30" s="52"/>
      <c r="AO30" s="52"/>
      <c r="AP30" s="52"/>
      <c r="AQ30" s="52"/>
    </row>
    <row r="31" spans="1:43">
      <c r="A31" s="331">
        <v>45278</v>
      </c>
      <c r="B31" s="332">
        <v>4740.5600000000004</v>
      </c>
      <c r="C31" s="30">
        <v>424.43</v>
      </c>
      <c r="D31" s="22">
        <f t="shared" si="0"/>
        <v>-5.8321816469777913E-3</v>
      </c>
      <c r="E31" s="22">
        <f t="shared" si="1"/>
        <v>-2.444355653747668E-3</v>
      </c>
      <c r="F31" s="12"/>
      <c r="G31" s="12"/>
      <c r="H31" s="3"/>
      <c r="I31" s="327" t="s">
        <v>1506</v>
      </c>
      <c r="J31" s="327"/>
      <c r="K31" s="327"/>
      <c r="L31" s="28"/>
      <c r="M31" s="28"/>
      <c r="N31" s="28"/>
      <c r="O31" s="28"/>
      <c r="P31" s="28"/>
      <c r="Q31" s="28"/>
      <c r="R31" s="28"/>
      <c r="S31" s="28"/>
      <c r="T31" s="28"/>
      <c r="U31" s="28"/>
      <c r="V31" s="50"/>
      <c r="W31" s="50"/>
      <c r="X31" s="50"/>
      <c r="Y31" s="50"/>
      <c r="Z31" s="50"/>
      <c r="AA31" s="57"/>
      <c r="AB31" s="57"/>
      <c r="AC31" s="57"/>
      <c r="AD31" s="57"/>
      <c r="AE31" s="57"/>
      <c r="AF31" s="57"/>
      <c r="AG31" s="57"/>
      <c r="AH31" s="57"/>
      <c r="AI31" s="57"/>
      <c r="AJ31" s="57"/>
      <c r="AK31" s="57"/>
      <c r="AL31" s="57"/>
      <c r="AM31" s="52"/>
      <c r="AN31" s="52"/>
      <c r="AO31" s="52"/>
      <c r="AP31" s="52"/>
      <c r="AQ31" s="52"/>
    </row>
    <row r="32" spans="1:43">
      <c r="A32" s="331">
        <v>45275</v>
      </c>
      <c r="B32" s="332">
        <v>4719.1899999999996</v>
      </c>
      <c r="C32" s="30">
        <v>418.57</v>
      </c>
      <c r="D32" s="22">
        <f t="shared" si="0"/>
        <v>-4.5079062389255277E-3</v>
      </c>
      <c r="E32" s="22">
        <f t="shared" si="1"/>
        <v>-1.3806752585821015E-2</v>
      </c>
      <c r="F32" s="12"/>
      <c r="G32" s="12"/>
      <c r="H32" s="3"/>
      <c r="I32" s="28"/>
      <c r="J32" s="28"/>
      <c r="K32" s="28"/>
      <c r="L32" s="28"/>
      <c r="M32" s="28"/>
      <c r="N32" s="28"/>
      <c r="O32" s="28"/>
      <c r="P32" s="28"/>
      <c r="Q32" s="28"/>
      <c r="R32" s="28"/>
      <c r="S32" s="28"/>
      <c r="T32" s="28"/>
      <c r="U32" s="28"/>
      <c r="V32" s="50"/>
      <c r="W32" s="50"/>
      <c r="X32" s="50"/>
      <c r="Y32" s="50"/>
      <c r="Z32" s="50"/>
      <c r="AA32" s="57"/>
      <c r="AB32" s="57"/>
      <c r="AC32" s="57"/>
      <c r="AD32" s="57"/>
      <c r="AE32" s="57"/>
      <c r="AF32" s="57"/>
      <c r="AG32" s="57"/>
      <c r="AH32" s="57"/>
      <c r="AI32" s="57"/>
      <c r="AJ32" s="57"/>
      <c r="AK32" s="57"/>
      <c r="AL32" s="57"/>
      <c r="AM32" s="52"/>
      <c r="AN32" s="52"/>
      <c r="AO32" s="52"/>
      <c r="AP32" s="52"/>
      <c r="AQ32" s="52"/>
    </row>
    <row r="33" spans="1:43">
      <c r="A33" s="331">
        <v>45274</v>
      </c>
      <c r="B33" s="332">
        <v>4719.55</v>
      </c>
      <c r="C33" s="30">
        <v>418.56</v>
      </c>
      <c r="D33" s="22">
        <f t="shared" si="0"/>
        <v>7.6284277598609535E-5</v>
      </c>
      <c r="E33" s="22">
        <f t="shared" si="1"/>
        <v>-2.3890866521707015E-5</v>
      </c>
      <c r="F33" s="12"/>
      <c r="G33" s="12"/>
      <c r="H33" s="3"/>
      <c r="I33" s="327" t="s">
        <v>1507</v>
      </c>
      <c r="J33" s="327"/>
      <c r="K33" s="327"/>
      <c r="L33" s="327"/>
      <c r="M33" s="28"/>
      <c r="N33" s="28"/>
      <c r="O33" s="28"/>
      <c r="P33" s="28"/>
      <c r="Q33" s="28"/>
      <c r="R33" s="28"/>
      <c r="S33" s="28"/>
      <c r="T33" s="28"/>
      <c r="U33" s="28"/>
      <c r="V33" s="50"/>
      <c r="W33" s="50"/>
      <c r="X33" s="50"/>
      <c r="Y33" s="50"/>
      <c r="Z33" s="50"/>
      <c r="AA33" s="57"/>
      <c r="AB33" s="57"/>
      <c r="AC33" s="57"/>
      <c r="AD33" s="57"/>
      <c r="AE33" s="57"/>
      <c r="AF33" s="57"/>
      <c r="AG33" s="57"/>
      <c r="AH33" s="57"/>
      <c r="AI33" s="57"/>
      <c r="AJ33" s="57"/>
      <c r="AK33" s="57"/>
      <c r="AL33" s="57"/>
      <c r="AM33" s="52"/>
      <c r="AN33" s="52"/>
      <c r="AO33" s="52"/>
      <c r="AP33" s="52"/>
      <c r="AQ33" s="52"/>
    </row>
    <row r="34" spans="1:43">
      <c r="A34" s="331">
        <v>45273</v>
      </c>
      <c r="B34" s="332">
        <v>4707.09</v>
      </c>
      <c r="C34" s="30">
        <v>424.68</v>
      </c>
      <c r="D34" s="22">
        <f t="shared" si="0"/>
        <v>-2.6400822112277729E-3</v>
      </c>
      <c r="E34" s="22">
        <f t="shared" si="1"/>
        <v>1.4621559633027534E-2</v>
      </c>
      <c r="F34" s="12"/>
      <c r="G34" s="12"/>
      <c r="H34" s="3"/>
      <c r="I34" s="28" t="s">
        <v>1508</v>
      </c>
      <c r="J34" s="28"/>
      <c r="K34" s="28"/>
      <c r="L34" s="28"/>
      <c r="M34" s="28"/>
      <c r="N34" s="28"/>
      <c r="O34" s="28"/>
      <c r="P34" s="28"/>
      <c r="Q34" s="28"/>
      <c r="R34" s="28"/>
      <c r="S34" s="28"/>
      <c r="T34" s="28"/>
      <c r="U34" s="28"/>
      <c r="V34" s="50"/>
      <c r="W34" s="50"/>
      <c r="X34" s="50"/>
      <c r="Y34" s="50"/>
      <c r="Z34" s="50"/>
      <c r="AA34" s="57"/>
      <c r="AB34" s="57"/>
      <c r="AC34" s="57"/>
      <c r="AD34" s="57"/>
      <c r="AE34" s="57"/>
      <c r="AF34" s="57"/>
      <c r="AG34" s="57"/>
      <c r="AH34" s="57"/>
      <c r="AI34" s="57"/>
      <c r="AJ34" s="57"/>
      <c r="AK34" s="57"/>
      <c r="AL34" s="57"/>
      <c r="AM34" s="52"/>
      <c r="AN34" s="52"/>
      <c r="AO34" s="52"/>
      <c r="AP34" s="52"/>
      <c r="AQ34" s="52"/>
    </row>
    <row r="35" spans="1:43">
      <c r="A35" s="331">
        <v>45272</v>
      </c>
      <c r="B35" s="332">
        <v>4643.7</v>
      </c>
      <c r="C35" s="30">
        <v>420.75</v>
      </c>
      <c r="D35" s="22">
        <f t="shared" si="0"/>
        <v>-1.3466919051898375E-2</v>
      </c>
      <c r="E35" s="22">
        <f t="shared" si="1"/>
        <v>-9.25402656117549E-3</v>
      </c>
      <c r="F35" s="12"/>
      <c r="G35" s="12"/>
      <c r="H35" s="3"/>
      <c r="I35" s="327" t="s">
        <v>1509</v>
      </c>
      <c r="J35" s="327"/>
      <c r="K35" s="327"/>
      <c r="L35" s="327"/>
      <c r="M35" s="327"/>
      <c r="N35" s="327"/>
      <c r="O35" s="28"/>
      <c r="P35" s="28"/>
      <c r="Q35" s="28"/>
      <c r="R35" s="28"/>
      <c r="S35" s="28"/>
      <c r="T35" s="28"/>
      <c r="U35" s="28"/>
      <c r="V35" s="50"/>
      <c r="W35" s="50"/>
      <c r="X35" s="50"/>
      <c r="Y35" s="50"/>
      <c r="Z35" s="50"/>
      <c r="AA35" s="57"/>
      <c r="AB35" s="57"/>
      <c r="AC35" s="57"/>
      <c r="AD35" s="57"/>
      <c r="AE35" s="57"/>
      <c r="AF35" s="57"/>
      <c r="AG35" s="57"/>
      <c r="AH35" s="57"/>
      <c r="AI35" s="57"/>
      <c r="AJ35" s="57"/>
      <c r="AK35" s="57"/>
      <c r="AL35" s="57"/>
      <c r="AM35" s="52"/>
      <c r="AN35" s="52"/>
      <c r="AO35" s="52"/>
      <c r="AP35" s="52"/>
      <c r="AQ35" s="52"/>
    </row>
    <row r="36" spans="1:43">
      <c r="A36" s="331">
        <v>45271</v>
      </c>
      <c r="B36" s="332">
        <v>4622.4399999999996</v>
      </c>
      <c r="C36" s="30">
        <v>415.71</v>
      </c>
      <c r="D36" s="22">
        <f t="shared" si="0"/>
        <v>-4.5782457953787324E-3</v>
      </c>
      <c r="E36" s="22">
        <f t="shared" si="1"/>
        <v>-1.1978609625668497E-2</v>
      </c>
      <c r="F36" s="12"/>
      <c r="G36" s="12"/>
      <c r="H36" s="3"/>
      <c r="I36" s="28" t="s">
        <v>1510</v>
      </c>
      <c r="J36" s="28"/>
      <c r="K36" s="28"/>
      <c r="L36" s="28"/>
      <c r="M36" s="28"/>
      <c r="N36" s="28"/>
      <c r="O36" s="28"/>
      <c r="P36" s="28"/>
      <c r="Q36" s="28"/>
      <c r="R36" s="28"/>
      <c r="S36" s="28"/>
      <c r="T36" s="28"/>
      <c r="U36" s="28"/>
      <c r="V36" s="50"/>
      <c r="W36" s="50"/>
      <c r="X36" s="50"/>
      <c r="Y36" s="50"/>
      <c r="Z36" s="50"/>
      <c r="AA36" s="57"/>
      <c r="AB36" s="57"/>
      <c r="AC36" s="57"/>
      <c r="AD36" s="57"/>
      <c r="AE36" s="57"/>
      <c r="AF36" s="57"/>
      <c r="AG36" s="57"/>
      <c r="AH36" s="57"/>
      <c r="AI36" s="57"/>
      <c r="AJ36" s="57"/>
      <c r="AK36" s="57"/>
      <c r="AL36" s="57"/>
      <c r="AM36" s="52"/>
      <c r="AN36" s="52"/>
      <c r="AO36" s="52"/>
      <c r="AP36" s="52"/>
      <c r="AQ36" s="52"/>
    </row>
    <row r="37" spans="1:43">
      <c r="A37" s="331">
        <v>45268</v>
      </c>
      <c r="B37" s="332">
        <v>4604.37</v>
      </c>
      <c r="C37" s="30">
        <v>412.16</v>
      </c>
      <c r="D37" s="22">
        <f t="shared" si="0"/>
        <v>-3.909190816971061E-3</v>
      </c>
      <c r="E37" s="22">
        <f t="shared" si="1"/>
        <v>-8.5396069375284558E-3</v>
      </c>
      <c r="F37" s="137" t="s">
        <v>2326</v>
      </c>
      <c r="G37" s="137"/>
      <c r="H37" s="64"/>
      <c r="I37" s="64"/>
      <c r="J37" s="64"/>
      <c r="K37" s="64"/>
      <c r="L37" s="64"/>
      <c r="M37" s="64"/>
      <c r="N37" s="64"/>
      <c r="O37" s="64"/>
      <c r="P37" s="64"/>
      <c r="Q37" s="64"/>
      <c r="R37" s="64"/>
      <c r="S37" s="64"/>
      <c r="T37" s="64"/>
      <c r="U37" s="64"/>
      <c r="V37" s="63"/>
      <c r="W37" s="63"/>
      <c r="X37" s="63"/>
      <c r="Y37" s="63"/>
      <c r="Z37" s="63"/>
      <c r="AA37" s="460"/>
      <c r="AB37" s="460"/>
      <c r="AC37" s="460"/>
      <c r="AD37" s="460"/>
      <c r="AE37" s="460"/>
      <c r="AF37" s="460"/>
      <c r="AG37" s="460"/>
      <c r="AH37" s="198"/>
      <c r="AI37" s="198"/>
      <c r="AJ37" s="198"/>
      <c r="AK37" s="198"/>
      <c r="AL37" s="198"/>
      <c r="AM37" s="52"/>
      <c r="AN37" s="52"/>
      <c r="AO37" s="52"/>
      <c r="AP37" s="52"/>
      <c r="AQ37" s="52"/>
    </row>
    <row r="38" spans="1:43">
      <c r="A38" s="331">
        <v>45267</v>
      </c>
      <c r="B38" s="332">
        <v>4585.59</v>
      </c>
      <c r="C38" s="30">
        <v>413.15</v>
      </c>
      <c r="D38" s="22">
        <f t="shared" si="0"/>
        <v>-4.0787338984485926E-3</v>
      </c>
      <c r="E38" s="22">
        <f t="shared" si="1"/>
        <v>2.4019798136644802E-3</v>
      </c>
      <c r="F38" s="12"/>
      <c r="G38" s="12"/>
      <c r="H38" s="3"/>
      <c r="I38" s="3"/>
      <c r="J38" s="3"/>
      <c r="K38" s="3"/>
      <c r="L38" s="3"/>
      <c r="M38" s="3"/>
      <c r="N38" s="3"/>
      <c r="O38" s="3"/>
      <c r="P38" s="3"/>
      <c r="Q38" s="3"/>
      <c r="R38" s="3"/>
      <c r="S38" s="3"/>
      <c r="T38" s="3"/>
      <c r="U38" s="3"/>
      <c r="V38" s="47"/>
      <c r="W38" s="47"/>
      <c r="X38" s="47"/>
      <c r="Y38" s="47"/>
      <c r="Z38" s="47"/>
      <c r="AA38" s="198"/>
      <c r="AB38" s="198"/>
      <c r="AC38" s="198"/>
      <c r="AD38" s="198"/>
      <c r="AE38" s="198"/>
      <c r="AF38" s="198"/>
      <c r="AG38" s="198"/>
      <c r="AH38" s="198"/>
      <c r="AI38" s="198"/>
      <c r="AJ38" s="198"/>
      <c r="AK38" s="198"/>
      <c r="AL38" s="198"/>
      <c r="AM38" s="52"/>
      <c r="AN38" s="52"/>
      <c r="AO38" s="52"/>
      <c r="AP38" s="52"/>
      <c r="AQ38" s="52"/>
    </row>
    <row r="39" spans="1:43">
      <c r="A39" s="331">
        <v>45266</v>
      </c>
      <c r="B39" s="332">
        <v>4549.34</v>
      </c>
      <c r="C39" s="30">
        <v>410.38</v>
      </c>
      <c r="D39" s="22">
        <f t="shared" si="0"/>
        <v>-7.9051986767242604E-3</v>
      </c>
      <c r="E39" s="22">
        <f t="shared" si="1"/>
        <v>-6.7045867118479532E-3</v>
      </c>
      <c r="F39" s="12"/>
      <c r="G39" s="12"/>
      <c r="H39" s="3"/>
      <c r="I39" s="3"/>
      <c r="J39" s="3"/>
      <c r="K39" s="3"/>
      <c r="L39" s="3"/>
      <c r="M39" s="3"/>
      <c r="N39" s="3"/>
      <c r="O39" s="3"/>
      <c r="P39" s="3"/>
      <c r="Q39" s="3"/>
      <c r="R39" s="3"/>
      <c r="S39" s="3"/>
      <c r="T39" s="3"/>
      <c r="U39" s="3"/>
      <c r="V39" s="47"/>
      <c r="W39" s="47"/>
      <c r="X39" s="47"/>
      <c r="Y39" s="47"/>
      <c r="Z39" s="47"/>
      <c r="AA39" s="198"/>
      <c r="AB39" s="198"/>
      <c r="AC39" s="198"/>
      <c r="AD39" s="198"/>
      <c r="AE39" s="198"/>
      <c r="AF39" s="198"/>
      <c r="AG39" s="198"/>
      <c r="AH39" s="198"/>
      <c r="AI39" s="198"/>
      <c r="AJ39" s="198"/>
      <c r="AK39" s="198"/>
      <c r="AL39" s="198"/>
      <c r="AM39" s="52"/>
      <c r="AN39" s="52"/>
      <c r="AO39" s="52"/>
      <c r="AP39" s="52"/>
      <c r="AQ39" s="52"/>
    </row>
    <row r="40" spans="1:43">
      <c r="A40" s="331">
        <v>45265</v>
      </c>
      <c r="B40" s="332">
        <v>4567.18</v>
      </c>
      <c r="C40" s="30">
        <v>408.69</v>
      </c>
      <c r="D40" s="22">
        <f t="shared" si="0"/>
        <v>3.9214479462955382E-3</v>
      </c>
      <c r="E40" s="22">
        <f t="shared" si="1"/>
        <v>-4.1181344120083769E-3</v>
      </c>
      <c r="F40" s="12"/>
      <c r="G40" s="12"/>
      <c r="H40" s="3"/>
      <c r="I40" s="3"/>
      <c r="J40" s="3"/>
      <c r="K40" s="3"/>
      <c r="L40" s="3"/>
      <c r="M40" s="3"/>
      <c r="N40" s="3"/>
      <c r="O40" s="3"/>
      <c r="P40" s="3"/>
      <c r="Q40" s="3"/>
      <c r="R40" s="3"/>
      <c r="S40" s="3"/>
      <c r="T40" s="3"/>
      <c r="U40" s="3"/>
      <c r="V40" s="47"/>
      <c r="W40" s="47"/>
      <c r="X40" s="47"/>
      <c r="Y40" s="47"/>
      <c r="Z40" s="47"/>
      <c r="AA40" s="198"/>
      <c r="AB40" s="198"/>
      <c r="AC40" s="198"/>
      <c r="AD40" s="198"/>
      <c r="AE40" s="198"/>
      <c r="AF40" s="198"/>
      <c r="AG40" s="198"/>
      <c r="AH40" s="198"/>
      <c r="AI40" s="198"/>
      <c r="AJ40" s="198"/>
      <c r="AK40" s="198"/>
      <c r="AL40" s="198"/>
      <c r="AM40" s="52"/>
      <c r="AN40" s="52"/>
      <c r="AO40" s="52"/>
      <c r="AP40" s="52"/>
      <c r="AQ40" s="52"/>
    </row>
    <row r="41" spans="1:43">
      <c r="A41" s="331">
        <v>45264</v>
      </c>
      <c r="B41" s="332">
        <v>4569.78</v>
      </c>
      <c r="C41" s="30">
        <v>408.23</v>
      </c>
      <c r="D41" s="22">
        <f t="shared" si="0"/>
        <v>5.692790737390368E-4</v>
      </c>
      <c r="E41" s="22">
        <f t="shared" si="1"/>
        <v>-1.1255474809757507E-3</v>
      </c>
      <c r="F41" s="12"/>
      <c r="G41" s="12"/>
      <c r="H41" s="3"/>
      <c r="I41" s="3"/>
      <c r="J41" s="3"/>
      <c r="K41" s="3"/>
      <c r="L41" s="3"/>
      <c r="M41" s="3"/>
      <c r="N41" s="3"/>
      <c r="O41" s="3"/>
      <c r="P41" s="3"/>
      <c r="Q41" s="3"/>
      <c r="R41" s="3"/>
      <c r="S41" s="3"/>
      <c r="T41" s="3"/>
      <c r="U41" s="3"/>
      <c r="V41" s="47"/>
      <c r="W41" s="47"/>
      <c r="X41" s="47"/>
      <c r="Y41" s="47"/>
      <c r="Z41" s="47"/>
      <c r="AA41" s="198"/>
      <c r="AB41" s="198"/>
      <c r="AC41" s="198"/>
      <c r="AD41" s="198"/>
      <c r="AE41" s="198"/>
      <c r="AF41" s="198"/>
      <c r="AG41" s="198"/>
      <c r="AH41" s="198"/>
      <c r="AI41" s="198"/>
      <c r="AJ41" s="198"/>
      <c r="AK41" s="198"/>
      <c r="AL41" s="198"/>
      <c r="AM41" s="52"/>
      <c r="AN41" s="52"/>
      <c r="AO41" s="52"/>
      <c r="AP41" s="52"/>
      <c r="AQ41" s="52"/>
    </row>
    <row r="42" spans="1:43">
      <c r="A42" s="331">
        <v>45261</v>
      </c>
      <c r="B42" s="332">
        <v>4594.63</v>
      </c>
      <c r="C42" s="30">
        <v>414.36</v>
      </c>
      <c r="D42" s="22">
        <f t="shared" si="0"/>
        <v>5.4378985421618467E-3</v>
      </c>
      <c r="E42" s="22">
        <f t="shared" si="1"/>
        <v>1.5016044876662653E-2</v>
      </c>
      <c r="F42" s="12"/>
      <c r="G42" s="12"/>
      <c r="H42" s="3"/>
      <c r="I42" s="198"/>
      <c r="J42" s="198"/>
      <c r="K42" s="198"/>
      <c r="L42" s="3"/>
      <c r="M42" s="3"/>
      <c r="N42" s="3"/>
      <c r="O42" s="3"/>
      <c r="P42" s="3"/>
      <c r="Q42" s="3"/>
      <c r="R42" s="3"/>
      <c r="S42" s="3"/>
      <c r="T42" s="3"/>
      <c r="U42" s="3"/>
      <c r="V42" s="47"/>
      <c r="W42" s="47"/>
      <c r="X42" s="47"/>
      <c r="Y42" s="47"/>
      <c r="Z42" s="47"/>
      <c r="AA42" s="198"/>
      <c r="AB42" s="198"/>
      <c r="AC42" s="198"/>
      <c r="AD42" s="198"/>
      <c r="AE42" s="198"/>
      <c r="AF42" s="198"/>
      <c r="AG42" s="198"/>
      <c r="AH42" s="198"/>
      <c r="AI42" s="198"/>
      <c r="AJ42" s="198"/>
      <c r="AK42" s="198"/>
      <c r="AL42" s="198"/>
      <c r="AM42" s="52"/>
      <c r="AN42" s="52"/>
      <c r="AO42" s="52"/>
      <c r="AP42" s="52"/>
      <c r="AQ42" s="52"/>
    </row>
    <row r="43" spans="1:43">
      <c r="A43" s="331">
        <v>45260</v>
      </c>
      <c r="B43" s="332">
        <v>4567.8</v>
      </c>
      <c r="C43" s="30">
        <v>413.83</v>
      </c>
      <c r="D43" s="22">
        <f t="shared" si="0"/>
        <v>-5.8394255903086705E-3</v>
      </c>
      <c r="E43" s="22">
        <f t="shared" si="1"/>
        <v>-1.2790809923738525E-3</v>
      </c>
      <c r="F43" s="12"/>
      <c r="G43" s="12"/>
      <c r="H43" s="3"/>
      <c r="I43" s="3"/>
      <c r="J43" s="3"/>
      <c r="K43" s="3"/>
      <c r="L43" s="3"/>
      <c r="M43" s="3"/>
      <c r="N43" s="3"/>
      <c r="O43" s="3"/>
      <c r="P43" s="3"/>
      <c r="Q43" s="3"/>
      <c r="R43" s="3"/>
      <c r="S43" s="3"/>
      <c r="T43" s="3"/>
      <c r="U43" s="3"/>
      <c r="V43" s="47"/>
      <c r="W43" s="47"/>
      <c r="X43" s="47"/>
      <c r="Y43" s="47"/>
      <c r="Z43" s="47"/>
      <c r="AA43" s="198"/>
      <c r="AB43" s="198"/>
      <c r="AC43" s="198"/>
      <c r="AD43" s="198"/>
      <c r="AE43" s="198"/>
      <c r="AF43" s="198"/>
      <c r="AG43" s="198"/>
      <c r="AH43" s="198"/>
      <c r="AI43" s="198"/>
      <c r="AJ43" s="198"/>
      <c r="AK43" s="198"/>
      <c r="AL43" s="198"/>
      <c r="AM43" s="52"/>
      <c r="AN43" s="52"/>
      <c r="AO43" s="52"/>
      <c r="AP43" s="52"/>
      <c r="AQ43" s="52"/>
    </row>
    <row r="44" spans="1:43">
      <c r="A44" s="331">
        <v>45259</v>
      </c>
      <c r="B44" s="332">
        <v>4550.58</v>
      </c>
      <c r="C44" s="30">
        <v>409.82</v>
      </c>
      <c r="D44" s="22">
        <f t="shared" si="0"/>
        <v>-3.7698673321949852E-3</v>
      </c>
      <c r="E44" s="22">
        <f t="shared" si="1"/>
        <v>-9.6899693110697408E-3</v>
      </c>
      <c r="F44" s="12"/>
      <c r="G44" s="12"/>
      <c r="H44" s="3"/>
      <c r="I44" s="198"/>
      <c r="J44" s="198"/>
      <c r="K44" s="198"/>
      <c r="L44" s="3"/>
      <c r="M44" s="3"/>
      <c r="N44" s="3"/>
      <c r="O44" s="3"/>
      <c r="P44" s="3"/>
      <c r="Q44" s="3"/>
      <c r="R44" s="3"/>
      <c r="S44" s="3"/>
      <c r="T44" s="3"/>
      <c r="U44" s="3"/>
      <c r="V44" s="47"/>
      <c r="W44" s="47"/>
      <c r="X44" s="47"/>
      <c r="Y44" s="47"/>
      <c r="Z44" s="47"/>
      <c r="AA44" s="198"/>
      <c r="AB44" s="198"/>
      <c r="AC44" s="198"/>
      <c r="AD44" s="198"/>
      <c r="AE44" s="198"/>
      <c r="AF44" s="198"/>
      <c r="AG44" s="198"/>
      <c r="AH44" s="198"/>
      <c r="AI44" s="198"/>
      <c r="AJ44" s="198"/>
      <c r="AK44" s="198"/>
      <c r="AL44" s="198"/>
      <c r="AM44" s="52"/>
      <c r="AN44" s="52"/>
      <c r="AO44" s="52"/>
      <c r="AP44" s="52"/>
      <c r="AQ44" s="52"/>
    </row>
    <row r="45" spans="1:43">
      <c r="A45" s="331">
        <v>45258</v>
      </c>
      <c r="B45" s="332">
        <v>4554.8900000000003</v>
      </c>
      <c r="C45" s="30">
        <v>409.01</v>
      </c>
      <c r="D45" s="22">
        <f t="shared" si="0"/>
        <v>9.4713201394116804E-4</v>
      </c>
      <c r="E45" s="22">
        <f t="shared" si="1"/>
        <v>-1.9764774779171398E-3</v>
      </c>
      <c r="F45" s="12"/>
      <c r="G45" s="12"/>
      <c r="H45" s="3"/>
      <c r="I45" s="198"/>
      <c r="J45" s="198"/>
      <c r="K45" s="198"/>
      <c r="L45" s="3"/>
      <c r="M45" s="3"/>
      <c r="N45" s="3"/>
      <c r="O45" s="3"/>
      <c r="P45" s="3"/>
      <c r="Q45" s="3"/>
      <c r="R45" s="3"/>
      <c r="S45" s="3"/>
      <c r="T45" s="3"/>
      <c r="U45" s="3"/>
      <c r="V45" s="47"/>
      <c r="W45" s="47"/>
      <c r="X45" s="47"/>
      <c r="Y45" s="47"/>
      <c r="Z45" s="47"/>
      <c r="AA45" s="198"/>
      <c r="AB45" s="198"/>
      <c r="AC45" s="198"/>
      <c r="AD45" s="198"/>
      <c r="AE45" s="198"/>
      <c r="AF45" s="198"/>
      <c r="AG45" s="198"/>
      <c r="AH45" s="198"/>
      <c r="AI45" s="198"/>
      <c r="AJ45" s="198"/>
      <c r="AK45" s="198"/>
      <c r="AL45" s="198"/>
      <c r="AM45" s="52"/>
      <c r="AN45" s="52"/>
      <c r="AO45" s="52"/>
      <c r="AP45" s="52"/>
      <c r="AQ45" s="52"/>
    </row>
    <row r="46" spans="1:43">
      <c r="A46" s="331">
        <v>45257</v>
      </c>
      <c r="B46" s="332">
        <v>4550.43</v>
      </c>
      <c r="C46" s="30">
        <v>408.97</v>
      </c>
      <c r="D46" s="22">
        <f t="shared" si="0"/>
        <v>-9.791674442192976E-4</v>
      </c>
      <c r="E46" s="22">
        <f t="shared" si="1"/>
        <v>-9.7797119874730746E-5</v>
      </c>
      <c r="F46" s="12"/>
      <c r="G46" s="12"/>
      <c r="H46" s="3"/>
      <c r="I46" s="198"/>
      <c r="J46" s="198"/>
      <c r="K46" s="198"/>
      <c r="L46" s="3"/>
      <c r="M46" s="3"/>
      <c r="N46" s="3"/>
      <c r="O46" s="3"/>
      <c r="P46" s="3"/>
      <c r="Q46" s="3"/>
      <c r="R46" s="3"/>
      <c r="S46" s="3"/>
      <c r="T46" s="3"/>
      <c r="U46" s="3"/>
      <c r="V46" s="47"/>
      <c r="W46" s="47"/>
      <c r="X46" s="47"/>
      <c r="Y46" s="47"/>
      <c r="Z46" s="47"/>
      <c r="AA46" s="198"/>
      <c r="AB46" s="198"/>
      <c r="AC46" s="198"/>
      <c r="AD46" s="198"/>
      <c r="AE46" s="198"/>
      <c r="AF46" s="198"/>
      <c r="AG46" s="198"/>
      <c r="AH46" s="198"/>
      <c r="AI46" s="198"/>
      <c r="AJ46" s="198"/>
      <c r="AK46" s="198"/>
      <c r="AL46" s="198"/>
      <c r="AM46" s="52"/>
      <c r="AN46" s="52"/>
      <c r="AO46" s="52"/>
      <c r="AP46" s="52"/>
      <c r="AQ46" s="52"/>
    </row>
    <row r="47" spans="1:43">
      <c r="A47" s="331">
        <v>45254</v>
      </c>
      <c r="B47" s="332">
        <v>4559.34</v>
      </c>
      <c r="C47" s="30">
        <v>412.5</v>
      </c>
      <c r="D47" s="22">
        <f t="shared" si="0"/>
        <v>1.9580567111239715E-3</v>
      </c>
      <c r="E47" s="22">
        <f t="shared" si="1"/>
        <v>8.6314399589211242E-3</v>
      </c>
      <c r="F47" s="12"/>
      <c r="G47" s="12"/>
      <c r="H47" s="3"/>
      <c r="I47" s="198"/>
      <c r="J47" s="198"/>
      <c r="K47" s="198"/>
      <c r="L47" s="3"/>
      <c r="M47" s="3"/>
      <c r="N47" s="3"/>
      <c r="O47" s="3"/>
      <c r="P47" s="3"/>
      <c r="Q47" s="3"/>
      <c r="R47" s="3"/>
      <c r="S47" s="3"/>
      <c r="T47" s="3"/>
      <c r="U47" s="3"/>
      <c r="V47" s="47"/>
      <c r="W47" s="47"/>
      <c r="X47" s="47"/>
      <c r="Y47" s="47"/>
      <c r="Z47" s="47"/>
      <c r="AA47" s="198"/>
      <c r="AB47" s="198"/>
      <c r="AC47" s="198"/>
      <c r="AD47" s="198"/>
      <c r="AE47" s="198"/>
      <c r="AF47" s="198"/>
      <c r="AG47" s="198"/>
      <c r="AH47" s="198"/>
      <c r="AI47" s="198"/>
      <c r="AJ47" s="198"/>
      <c r="AK47" s="198"/>
      <c r="AL47" s="198"/>
      <c r="AM47" s="52"/>
      <c r="AN47" s="52"/>
      <c r="AO47" s="52"/>
      <c r="AP47" s="52"/>
      <c r="AQ47" s="52"/>
    </row>
    <row r="48" spans="1:43">
      <c r="A48" s="331">
        <v>45252</v>
      </c>
      <c r="B48" s="332">
        <v>4556.62</v>
      </c>
      <c r="C48" s="30">
        <v>410.33</v>
      </c>
      <c r="D48" s="22">
        <f t="shared" si="0"/>
        <v>-5.9657757482448222E-4</v>
      </c>
      <c r="E48" s="22">
        <f t="shared" si="1"/>
        <v>-5.2606060606060993E-3</v>
      </c>
      <c r="F48" s="12"/>
      <c r="G48" s="12"/>
      <c r="H48" s="3"/>
      <c r="I48" s="198"/>
      <c r="J48" s="198"/>
      <c r="K48" s="198"/>
      <c r="L48" s="3"/>
      <c r="M48" s="3"/>
      <c r="N48" s="3"/>
      <c r="O48" s="3"/>
      <c r="P48" s="3"/>
      <c r="Q48" s="3"/>
      <c r="R48" s="3"/>
      <c r="S48" s="3"/>
      <c r="T48" s="3"/>
      <c r="U48" s="3"/>
      <c r="V48" s="47"/>
      <c r="W48" s="47"/>
      <c r="X48" s="47"/>
      <c r="Y48" s="47"/>
      <c r="Z48" s="47"/>
      <c r="AA48" s="198"/>
      <c r="AB48" s="198"/>
      <c r="AC48" s="198"/>
      <c r="AD48" s="198"/>
      <c r="AE48" s="198"/>
      <c r="AF48" s="198"/>
      <c r="AG48" s="198"/>
      <c r="AH48" s="198"/>
      <c r="AI48" s="198"/>
      <c r="AJ48" s="198"/>
      <c r="AK48" s="198"/>
      <c r="AL48" s="198"/>
      <c r="AM48" s="52"/>
      <c r="AN48" s="52"/>
      <c r="AO48" s="52"/>
      <c r="AP48" s="52"/>
      <c r="AQ48" s="52"/>
    </row>
    <row r="49" spans="1:43">
      <c r="A49" s="331">
        <v>45251</v>
      </c>
      <c r="B49" s="332">
        <v>4538.1899999999996</v>
      </c>
      <c r="C49" s="30">
        <v>408.95</v>
      </c>
      <c r="D49" s="22">
        <f t="shared" si="0"/>
        <v>-4.0446646856661939E-3</v>
      </c>
      <c r="E49" s="22">
        <f t="shared" si="1"/>
        <v>-3.3631467355542989E-3</v>
      </c>
      <c r="F49" s="12"/>
      <c r="G49" s="12"/>
      <c r="H49" s="3"/>
      <c r="I49" s="3"/>
      <c r="J49" s="3"/>
      <c r="K49" s="3"/>
      <c r="L49" s="3"/>
      <c r="M49" s="3"/>
      <c r="N49" s="3"/>
      <c r="O49" s="3"/>
      <c r="P49" s="3"/>
      <c r="Q49" s="3"/>
      <c r="R49" s="3"/>
      <c r="S49" s="3"/>
      <c r="T49" s="3"/>
      <c r="U49" s="3"/>
      <c r="V49" s="47"/>
      <c r="W49" s="47"/>
      <c r="X49" s="47"/>
      <c r="Y49" s="47"/>
      <c r="Z49" s="47"/>
      <c r="AA49" s="198"/>
      <c r="AB49" s="198"/>
      <c r="AC49" s="198"/>
      <c r="AD49" s="198"/>
      <c r="AE49" s="198"/>
      <c r="AF49" s="198"/>
      <c r="AG49" s="198"/>
      <c r="AH49" s="198"/>
      <c r="AI49" s="198"/>
      <c r="AJ49" s="198"/>
      <c r="AK49" s="198"/>
      <c r="AL49" s="198"/>
      <c r="AM49" s="52"/>
      <c r="AN49" s="52"/>
      <c r="AO49" s="52"/>
      <c r="AP49" s="52"/>
      <c r="AQ49" s="52"/>
    </row>
    <row r="50" spans="1:43">
      <c r="A50" s="331">
        <v>45250</v>
      </c>
      <c r="B50" s="332">
        <v>4547.38</v>
      </c>
      <c r="C50" s="30">
        <v>404.4</v>
      </c>
      <c r="D50" s="22">
        <f t="shared" si="0"/>
        <v>2.0250364131956817E-3</v>
      </c>
      <c r="E50" s="22">
        <f t="shared" si="1"/>
        <v>-1.1126054529893658E-2</v>
      </c>
      <c r="F50" s="12"/>
      <c r="G50" s="12"/>
      <c r="H50" s="3"/>
      <c r="I50" s="3"/>
      <c r="J50" s="3"/>
      <c r="K50" s="3"/>
      <c r="L50" s="3"/>
      <c r="M50" s="3"/>
      <c r="N50" s="3"/>
      <c r="O50" s="3"/>
      <c r="P50" s="3"/>
      <c r="Q50" s="3"/>
      <c r="R50" s="3"/>
      <c r="S50" s="3"/>
      <c r="T50" s="3"/>
      <c r="U50" s="3"/>
      <c r="V50" s="47"/>
      <c r="W50" s="47"/>
      <c r="X50" s="47"/>
      <c r="Y50" s="47"/>
      <c r="Z50" s="47"/>
      <c r="AA50" s="198"/>
      <c r="AB50" s="198"/>
      <c r="AC50" s="198"/>
      <c r="AD50" s="198"/>
      <c r="AE50" s="198"/>
      <c r="AF50" s="198"/>
      <c r="AG50" s="198"/>
      <c r="AH50" s="198"/>
      <c r="AI50" s="198"/>
      <c r="AJ50" s="198"/>
      <c r="AK50" s="198"/>
      <c r="AL50" s="198"/>
      <c r="AM50" s="52"/>
      <c r="AN50" s="52"/>
      <c r="AO50" s="52"/>
      <c r="AP50" s="52"/>
      <c r="AQ50" s="52"/>
    </row>
    <row r="51" spans="1:43">
      <c r="A51" s="331">
        <v>45247</v>
      </c>
      <c r="B51" s="332">
        <v>4514.0200000000004</v>
      </c>
      <c r="C51" s="30">
        <v>400.3</v>
      </c>
      <c r="D51" s="22">
        <f t="shared" si="0"/>
        <v>-7.3360924312460517E-3</v>
      </c>
      <c r="E51" s="22">
        <f t="shared" si="1"/>
        <v>-1.0138476755687355E-2</v>
      </c>
      <c r="F51" s="12"/>
      <c r="G51" s="12"/>
      <c r="H51" s="3"/>
      <c r="I51" s="198"/>
      <c r="J51" s="198"/>
      <c r="K51" s="3"/>
      <c r="L51" s="3"/>
      <c r="M51" s="3"/>
      <c r="N51" s="3"/>
      <c r="O51" s="3"/>
      <c r="P51" s="3"/>
      <c r="Q51" s="3"/>
      <c r="R51" s="3"/>
      <c r="S51" s="3"/>
      <c r="T51" s="3"/>
      <c r="U51" s="3"/>
      <c r="V51" s="47"/>
      <c r="W51" s="47"/>
      <c r="X51" s="47"/>
      <c r="Y51" s="47"/>
      <c r="Z51" s="47"/>
      <c r="AA51" s="198"/>
      <c r="AB51" s="198"/>
      <c r="AC51" s="198"/>
      <c r="AD51" s="198"/>
      <c r="AE51" s="198"/>
      <c r="AF51" s="198"/>
      <c r="AG51" s="198"/>
      <c r="AH51" s="198"/>
      <c r="AI51" s="198"/>
      <c r="AJ51" s="198"/>
      <c r="AK51" s="198"/>
      <c r="AL51" s="198"/>
      <c r="AM51" s="52"/>
      <c r="AN51" s="52"/>
      <c r="AO51" s="52"/>
      <c r="AP51" s="52"/>
      <c r="AQ51" s="52"/>
    </row>
    <row r="52" spans="1:43">
      <c r="A52" s="331">
        <v>45246</v>
      </c>
      <c r="B52" s="332">
        <v>4508.24</v>
      </c>
      <c r="C52" s="30">
        <v>397.1</v>
      </c>
      <c r="D52" s="22">
        <f t="shared" si="0"/>
        <v>-1.2804551153961776E-3</v>
      </c>
      <c r="E52" s="22">
        <f t="shared" si="1"/>
        <v>-7.9940044966275003E-3</v>
      </c>
      <c r="F52" s="12"/>
      <c r="G52" s="12"/>
      <c r="H52" s="3"/>
      <c r="I52" s="3"/>
      <c r="J52" s="3"/>
      <c r="K52" s="3"/>
      <c r="L52" s="3"/>
      <c r="M52" s="3"/>
      <c r="N52" s="3"/>
      <c r="O52" s="3"/>
      <c r="P52" s="3"/>
      <c r="Q52" s="3"/>
      <c r="R52" s="3"/>
      <c r="S52" s="3"/>
      <c r="T52" s="3"/>
      <c r="U52" s="3"/>
      <c r="V52" s="47"/>
      <c r="W52" s="47"/>
      <c r="X52" s="47"/>
      <c r="Y52" s="47"/>
      <c r="Z52" s="47"/>
      <c r="AA52" s="198"/>
      <c r="AB52" s="198"/>
      <c r="AC52" s="198"/>
      <c r="AD52" s="198"/>
      <c r="AE52" s="198"/>
      <c r="AF52" s="198"/>
      <c r="AG52" s="198"/>
      <c r="AH52" s="198"/>
      <c r="AI52" s="198"/>
      <c r="AJ52" s="198"/>
      <c r="AK52" s="198"/>
      <c r="AL52" s="198"/>
      <c r="AM52" s="52"/>
      <c r="AN52" s="52"/>
      <c r="AO52" s="52"/>
      <c r="AP52" s="52"/>
      <c r="AQ52" s="52"/>
    </row>
    <row r="53" spans="1:43">
      <c r="A53" s="331">
        <v>45245</v>
      </c>
      <c r="B53" s="332">
        <v>4502.88</v>
      </c>
      <c r="C53" s="30">
        <v>396.83</v>
      </c>
      <c r="D53" s="22">
        <f t="shared" si="0"/>
        <v>-1.1889340407785906E-3</v>
      </c>
      <c r="E53" s="22">
        <f t="shared" si="1"/>
        <v>-6.7992948879385198E-4</v>
      </c>
      <c r="F53" s="12"/>
      <c r="G53" s="12"/>
      <c r="H53" s="3"/>
      <c r="I53" s="198"/>
      <c r="J53" s="198"/>
      <c r="K53" s="198"/>
      <c r="L53" s="198"/>
      <c r="M53" s="198"/>
      <c r="N53" s="198"/>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52"/>
      <c r="AN53" s="52"/>
      <c r="AO53" s="52"/>
      <c r="AP53" s="52"/>
      <c r="AQ53" s="52"/>
    </row>
    <row r="54" spans="1:43">
      <c r="A54" s="331">
        <v>45244</v>
      </c>
      <c r="B54" s="332">
        <v>4495.7</v>
      </c>
      <c r="C54" s="30">
        <v>397.65</v>
      </c>
      <c r="D54" s="22">
        <f t="shared" si="0"/>
        <v>-1.5945350531216223E-3</v>
      </c>
      <c r="E54" s="22">
        <f t="shared" si="1"/>
        <v>2.0663760300380345E-3</v>
      </c>
      <c r="F54" s="12"/>
      <c r="G54" s="12"/>
      <c r="H54" s="3"/>
      <c r="I54" s="3"/>
      <c r="J54" s="3"/>
      <c r="K54" s="3"/>
      <c r="L54" s="3"/>
      <c r="M54" s="3"/>
      <c r="N54" s="3"/>
      <c r="O54" s="3"/>
      <c r="P54" s="3"/>
      <c r="Q54" s="3"/>
      <c r="R54" s="3"/>
      <c r="S54" s="3"/>
      <c r="T54" s="3"/>
      <c r="U54" s="3"/>
      <c r="V54" s="47"/>
      <c r="W54" s="47"/>
      <c r="X54" s="47"/>
      <c r="Y54" s="47"/>
      <c r="Z54" s="47"/>
      <c r="AA54" s="198"/>
      <c r="AB54" s="198"/>
      <c r="AC54" s="198"/>
      <c r="AD54" s="198"/>
      <c r="AE54" s="198"/>
      <c r="AF54" s="198"/>
      <c r="AG54" s="198"/>
      <c r="AH54" s="198"/>
      <c r="AI54" s="198"/>
      <c r="AJ54" s="198"/>
      <c r="AK54" s="198"/>
      <c r="AL54" s="198"/>
      <c r="AM54" s="52"/>
      <c r="AN54" s="52"/>
      <c r="AO54" s="52"/>
      <c r="AP54" s="52"/>
      <c r="AQ54" s="52"/>
    </row>
    <row r="55" spans="1:43">
      <c r="A55" s="331">
        <v>45243</v>
      </c>
      <c r="B55" s="332">
        <v>4411.55</v>
      </c>
      <c r="C55" s="30">
        <v>394.35</v>
      </c>
      <c r="D55" s="22">
        <f t="shared" si="0"/>
        <v>-1.8717885979936302E-2</v>
      </c>
      <c r="E55" s="22">
        <f t="shared" si="1"/>
        <v>-8.2987551867218772E-3</v>
      </c>
      <c r="F55" s="12"/>
      <c r="G55" s="12"/>
      <c r="H55" s="3"/>
      <c r="I55" s="3"/>
      <c r="J55" s="3"/>
      <c r="K55" s="3"/>
      <c r="L55" s="3"/>
      <c r="M55" s="3"/>
      <c r="N55" s="3"/>
      <c r="O55" s="3"/>
      <c r="P55" s="3"/>
      <c r="Q55" s="3"/>
      <c r="R55" s="3"/>
      <c r="S55" s="3"/>
      <c r="T55" s="3"/>
      <c r="U55" s="3"/>
      <c r="V55" s="47"/>
      <c r="W55" s="47"/>
      <c r="X55" s="47"/>
      <c r="Y55" s="47"/>
      <c r="Z55" s="47"/>
      <c r="AA55" s="198"/>
      <c r="AB55" s="198"/>
      <c r="AC55" s="198"/>
      <c r="AD55" s="198"/>
      <c r="AE55" s="198"/>
      <c r="AF55" s="198"/>
      <c r="AG55" s="198"/>
      <c r="AH55" s="198"/>
      <c r="AI55" s="198"/>
      <c r="AJ55" s="198"/>
      <c r="AK55" s="198"/>
      <c r="AL55" s="198"/>
      <c r="AM55" s="52"/>
      <c r="AN55" s="52"/>
      <c r="AO55" s="52"/>
      <c r="AP55" s="52"/>
      <c r="AQ55" s="52"/>
    </row>
    <row r="56" spans="1:43">
      <c r="A56" s="331">
        <v>45240</v>
      </c>
      <c r="B56" s="332">
        <v>4415.24</v>
      </c>
      <c r="C56" s="30">
        <v>394.38</v>
      </c>
      <c r="D56" s="22">
        <f t="shared" si="0"/>
        <v>8.3644070678097265E-4</v>
      </c>
      <c r="E56" s="22">
        <f t="shared" si="1"/>
        <v>7.6074553061931569E-5</v>
      </c>
      <c r="F56" s="12"/>
      <c r="G56" s="12"/>
      <c r="H56" s="3"/>
      <c r="I56" s="3"/>
      <c r="J56" s="3"/>
      <c r="K56" s="3"/>
      <c r="L56" s="3"/>
      <c r="M56" s="3"/>
      <c r="N56" s="3"/>
      <c r="O56" s="3"/>
      <c r="P56" s="3"/>
      <c r="Q56" s="3"/>
      <c r="R56" s="3"/>
      <c r="S56" s="3"/>
      <c r="T56" s="3"/>
      <c r="U56" s="3"/>
      <c r="V56" s="47"/>
      <c r="W56" s="47"/>
      <c r="X56" s="47"/>
      <c r="Y56" s="47"/>
      <c r="Z56" s="47"/>
      <c r="AA56" s="198"/>
      <c r="AB56" s="198"/>
      <c r="AC56" s="198"/>
      <c r="AD56" s="198"/>
      <c r="AE56" s="198"/>
      <c r="AF56" s="198"/>
      <c r="AG56" s="198"/>
      <c r="AH56" s="198"/>
      <c r="AI56" s="198"/>
      <c r="AJ56" s="198"/>
      <c r="AK56" s="198"/>
      <c r="AL56" s="198"/>
      <c r="AM56" s="52"/>
      <c r="AN56" s="52"/>
      <c r="AO56" s="52"/>
      <c r="AP56" s="52"/>
      <c r="AQ56" s="52"/>
    </row>
    <row r="57" spans="1:43">
      <c r="A57" s="331">
        <v>45239</v>
      </c>
      <c r="B57" s="332">
        <v>4347.3500000000004</v>
      </c>
      <c r="C57" s="30">
        <v>387.96</v>
      </c>
      <c r="D57" s="22">
        <f t="shared" si="0"/>
        <v>-1.5376287585725673E-2</v>
      </c>
      <c r="E57" s="22">
        <f t="shared" si="1"/>
        <v>-1.6278715959227183E-2</v>
      </c>
      <c r="F57" s="12"/>
      <c r="G57" s="12"/>
      <c r="H57" s="3"/>
      <c r="I57" s="3"/>
      <c r="J57" s="3"/>
      <c r="K57" s="3"/>
      <c r="L57" s="3"/>
      <c r="M57" s="3"/>
      <c r="N57" s="3"/>
      <c r="O57" s="3"/>
      <c r="P57" s="3"/>
      <c r="Q57" s="3"/>
      <c r="R57" s="3"/>
      <c r="S57" s="3"/>
      <c r="T57" s="3"/>
      <c r="U57" s="3"/>
      <c r="V57" s="47"/>
      <c r="W57" s="47"/>
      <c r="X57" s="47"/>
      <c r="Y57" s="47"/>
      <c r="Z57" s="47"/>
      <c r="AA57" s="198"/>
      <c r="AB57" s="198"/>
      <c r="AC57" s="198"/>
      <c r="AD57" s="198"/>
      <c r="AE57" s="198"/>
      <c r="AF57" s="198"/>
      <c r="AG57" s="198"/>
      <c r="AH57" s="198"/>
      <c r="AI57" s="198"/>
      <c r="AJ57" s="198"/>
      <c r="AK57" s="198"/>
      <c r="AL57" s="198"/>
      <c r="AM57" s="52"/>
      <c r="AN57" s="52"/>
      <c r="AO57" s="52"/>
      <c r="AP57" s="52"/>
      <c r="AQ57" s="52"/>
    </row>
    <row r="58" spans="1:43">
      <c r="A58" s="331">
        <v>45238</v>
      </c>
      <c r="B58" s="332">
        <v>4382.78</v>
      </c>
      <c r="C58" s="30">
        <v>389.7</v>
      </c>
      <c r="D58" s="22">
        <f t="shared" si="0"/>
        <v>8.1497924022679059E-3</v>
      </c>
      <c r="E58" s="22">
        <f t="shared" si="1"/>
        <v>4.4849984534488328E-3</v>
      </c>
      <c r="F58" s="12"/>
      <c r="G58" s="12"/>
      <c r="H58" s="3"/>
      <c r="I58" s="3"/>
      <c r="J58" s="3"/>
      <c r="K58" s="3"/>
      <c r="L58" s="3"/>
      <c r="M58" s="3"/>
      <c r="N58" s="3"/>
      <c r="O58" s="3"/>
      <c r="P58" s="3"/>
      <c r="Q58" s="3"/>
      <c r="R58" s="3"/>
      <c r="S58" s="3"/>
      <c r="T58" s="3"/>
      <c r="U58" s="3"/>
      <c r="V58" s="47"/>
      <c r="W58" s="47"/>
      <c r="X58" s="47"/>
      <c r="Y58" s="47"/>
      <c r="Z58" s="47"/>
      <c r="AA58" s="198"/>
      <c r="AB58" s="198"/>
      <c r="AC58" s="198"/>
      <c r="AD58" s="198"/>
      <c r="AE58" s="198"/>
      <c r="AF58" s="198"/>
      <c r="AG58" s="198"/>
      <c r="AH58" s="198"/>
      <c r="AI58" s="198"/>
      <c r="AJ58" s="198"/>
      <c r="AK58" s="198"/>
      <c r="AL58" s="198"/>
      <c r="AM58" s="52"/>
      <c r="AN58" s="52"/>
      <c r="AO58" s="52"/>
      <c r="AP58" s="52"/>
      <c r="AQ58" s="52"/>
    </row>
    <row r="59" spans="1:43">
      <c r="A59" s="331">
        <v>45237</v>
      </c>
      <c r="B59" s="332">
        <v>4378.38</v>
      </c>
      <c r="C59" s="30">
        <v>388.87</v>
      </c>
      <c r="D59" s="22">
        <f t="shared" si="0"/>
        <v>-1.0039290130920641E-3</v>
      </c>
      <c r="E59" s="22">
        <f t="shared" si="1"/>
        <v>-2.1298434693353455E-3</v>
      </c>
      <c r="F59" s="12"/>
      <c r="G59" s="12"/>
      <c r="H59" s="3"/>
      <c r="I59" s="3"/>
      <c r="J59" s="3"/>
      <c r="K59" s="3"/>
      <c r="L59" s="3"/>
      <c r="M59" s="3"/>
      <c r="N59" s="3"/>
      <c r="O59" s="3"/>
      <c r="P59" s="3"/>
      <c r="Q59" s="3"/>
      <c r="R59" s="3"/>
      <c r="S59" s="3"/>
      <c r="T59" s="3"/>
      <c r="U59" s="3"/>
      <c r="V59" s="47"/>
      <c r="W59" s="47"/>
      <c r="X59" s="47"/>
      <c r="Y59" s="47"/>
      <c r="Z59" s="47"/>
      <c r="AA59" s="198"/>
      <c r="AB59" s="198"/>
      <c r="AC59" s="198"/>
      <c r="AD59" s="198"/>
      <c r="AE59" s="198"/>
      <c r="AF59" s="198"/>
      <c r="AG59" s="198"/>
      <c r="AH59" s="198"/>
      <c r="AI59" s="198"/>
      <c r="AJ59" s="198"/>
      <c r="AK59" s="198"/>
      <c r="AL59" s="198"/>
      <c r="AM59" s="52"/>
      <c r="AN59" s="52"/>
      <c r="AO59" s="52"/>
      <c r="AP59" s="52"/>
      <c r="AQ59" s="52"/>
    </row>
    <row r="60" spans="1:43">
      <c r="A60" s="331">
        <v>45236</v>
      </c>
      <c r="B60" s="332">
        <v>4365.9799999999996</v>
      </c>
      <c r="C60" s="30">
        <v>386.16</v>
      </c>
      <c r="D60" s="22">
        <f t="shared" si="0"/>
        <v>-2.8320977165071431E-3</v>
      </c>
      <c r="E60" s="22">
        <f t="shared" si="1"/>
        <v>-6.9689099184817018E-3</v>
      </c>
      <c r="F60" s="12"/>
      <c r="G60" s="12"/>
      <c r="H60" s="3"/>
      <c r="I60" s="3"/>
      <c r="J60" s="3"/>
      <c r="K60" s="3"/>
      <c r="L60" s="3"/>
      <c r="M60" s="3"/>
      <c r="N60" s="3"/>
      <c r="O60" s="3"/>
      <c r="P60" s="3"/>
      <c r="Q60" s="3"/>
      <c r="R60" s="3"/>
      <c r="S60" s="3"/>
      <c r="T60" s="3"/>
      <c r="U60" s="3"/>
      <c r="V60" s="47"/>
      <c r="W60" s="47"/>
      <c r="X60" s="47"/>
      <c r="Y60" s="47"/>
      <c r="Z60" s="47"/>
      <c r="AA60" s="198"/>
      <c r="AB60" s="198"/>
      <c r="AC60" s="198"/>
      <c r="AD60" s="198"/>
      <c r="AE60" s="198"/>
      <c r="AF60" s="198"/>
      <c r="AG60" s="198"/>
      <c r="AH60" s="198"/>
      <c r="AI60" s="198"/>
      <c r="AJ60" s="198"/>
      <c r="AK60" s="198"/>
      <c r="AL60" s="198"/>
      <c r="AM60" s="52"/>
      <c r="AN60" s="52"/>
      <c r="AO60" s="52"/>
      <c r="AP60" s="52"/>
      <c r="AQ60" s="52"/>
    </row>
    <row r="61" spans="1:43">
      <c r="A61" s="331">
        <v>45233</v>
      </c>
      <c r="B61" s="332">
        <v>4358.34</v>
      </c>
      <c r="C61" s="30">
        <v>386.05</v>
      </c>
      <c r="D61" s="22">
        <f t="shared" si="0"/>
        <v>-1.7498934947020872E-3</v>
      </c>
      <c r="E61" s="22">
        <f t="shared" si="1"/>
        <v>-2.848560182308205E-4</v>
      </c>
      <c r="F61" s="12"/>
      <c r="G61" s="12"/>
      <c r="H61" s="3"/>
      <c r="I61" s="3"/>
      <c r="J61" s="3"/>
      <c r="K61" s="3"/>
      <c r="L61" s="3"/>
      <c r="M61" s="3"/>
      <c r="N61" s="3"/>
      <c r="O61" s="3"/>
      <c r="P61" s="3"/>
      <c r="Q61" s="3"/>
      <c r="R61" s="3"/>
      <c r="S61" s="3"/>
      <c r="T61" s="3"/>
      <c r="U61" s="3"/>
      <c r="V61" s="47"/>
      <c r="W61" s="47"/>
      <c r="X61" s="47"/>
      <c r="Y61" s="47"/>
      <c r="Z61" s="47"/>
      <c r="AA61" s="198"/>
      <c r="AB61" s="198"/>
      <c r="AC61" s="198"/>
      <c r="AD61" s="198"/>
      <c r="AE61" s="198"/>
      <c r="AF61" s="198"/>
      <c r="AG61" s="198"/>
      <c r="AH61" s="198"/>
      <c r="AI61" s="198"/>
      <c r="AJ61" s="198"/>
      <c r="AK61" s="198"/>
      <c r="AL61" s="198"/>
      <c r="AM61" s="52"/>
      <c r="AN61" s="52"/>
      <c r="AO61" s="52"/>
      <c r="AP61" s="52"/>
      <c r="AQ61" s="52"/>
    </row>
    <row r="62" spans="1:43">
      <c r="A62" s="331">
        <v>45232</v>
      </c>
      <c r="B62" s="332">
        <v>4317.78</v>
      </c>
      <c r="C62" s="30">
        <v>382.69</v>
      </c>
      <c r="D62" s="22">
        <f t="shared" si="0"/>
        <v>-9.3062955161828578E-3</v>
      </c>
      <c r="E62" s="22">
        <f t="shared" si="1"/>
        <v>-8.7035358114234251E-3</v>
      </c>
      <c r="F62" s="12"/>
      <c r="G62" s="12"/>
      <c r="H62" s="3"/>
      <c r="I62" s="3"/>
      <c r="J62" s="3"/>
      <c r="K62" s="3"/>
      <c r="L62" s="3"/>
      <c r="M62" s="3"/>
      <c r="N62" s="3"/>
      <c r="O62" s="3"/>
      <c r="P62" s="3"/>
      <c r="Q62" s="3"/>
      <c r="R62" s="3"/>
      <c r="S62" s="3"/>
      <c r="T62" s="3"/>
      <c r="U62" s="3"/>
      <c r="V62" s="47"/>
      <c r="W62" s="47"/>
      <c r="X62" s="47"/>
      <c r="Y62" s="47"/>
      <c r="Z62" s="47"/>
      <c r="AA62" s="198"/>
      <c r="AB62" s="198"/>
      <c r="AC62" s="198"/>
      <c r="AD62" s="198"/>
      <c r="AE62" s="198"/>
      <c r="AF62" s="198"/>
      <c r="AG62" s="198"/>
      <c r="AH62" s="198"/>
      <c r="AI62" s="198"/>
      <c r="AJ62" s="198"/>
      <c r="AK62" s="198"/>
      <c r="AL62" s="198"/>
      <c r="AM62" s="52"/>
      <c r="AN62" s="52"/>
      <c r="AO62" s="52"/>
      <c r="AP62" s="52"/>
      <c r="AQ62" s="52"/>
    </row>
    <row r="63" spans="1:43">
      <c r="A63" s="331">
        <v>45231</v>
      </c>
      <c r="B63" s="332">
        <v>4237.8599999999997</v>
      </c>
      <c r="C63" s="30">
        <v>377.82</v>
      </c>
      <c r="D63" s="22">
        <f t="shared" si="0"/>
        <v>-1.8509511832469482E-2</v>
      </c>
      <c r="E63" s="22">
        <f t="shared" si="1"/>
        <v>-1.2725704878622396E-2</v>
      </c>
      <c r="F63" s="12"/>
      <c r="G63" s="12"/>
      <c r="H63" s="3"/>
      <c r="I63" s="3"/>
      <c r="J63" s="3"/>
      <c r="K63" s="3"/>
      <c r="L63" s="3"/>
      <c r="M63" s="3"/>
      <c r="N63" s="3"/>
      <c r="O63" s="3"/>
      <c r="P63" s="3"/>
      <c r="Q63" s="3"/>
      <c r="R63" s="3"/>
      <c r="S63" s="3"/>
      <c r="T63" s="3"/>
      <c r="U63" s="3"/>
      <c r="V63" s="47"/>
      <c r="W63" s="47"/>
      <c r="X63" s="47"/>
      <c r="Y63" s="47"/>
      <c r="Z63" s="47"/>
      <c r="AA63" s="198"/>
      <c r="AB63" s="198"/>
      <c r="AC63" s="198"/>
      <c r="AD63" s="198"/>
      <c r="AE63" s="198"/>
      <c r="AF63" s="198"/>
      <c r="AG63" s="198"/>
      <c r="AH63" s="198"/>
      <c r="AI63" s="198"/>
      <c r="AJ63" s="198"/>
      <c r="AK63" s="198"/>
      <c r="AL63" s="198"/>
      <c r="AM63" s="52"/>
      <c r="AN63" s="52"/>
      <c r="AO63" s="52"/>
      <c r="AP63" s="52"/>
      <c r="AQ63" s="52"/>
    </row>
    <row r="64" spans="1:43">
      <c r="A64" s="331">
        <v>45230</v>
      </c>
      <c r="B64" s="332">
        <v>4193.8</v>
      </c>
      <c r="C64" s="30">
        <v>376.35</v>
      </c>
      <c r="D64" s="22">
        <f t="shared" si="0"/>
        <v>-1.0396756853694906E-2</v>
      </c>
      <c r="E64" s="22">
        <f t="shared" si="1"/>
        <v>-3.890741622994999E-3</v>
      </c>
      <c r="F64" s="12"/>
      <c r="G64" s="12"/>
      <c r="H64" s="3"/>
      <c r="I64" s="3"/>
      <c r="J64" s="3"/>
      <c r="K64" s="3"/>
      <c r="L64" s="3"/>
      <c r="M64" s="3"/>
      <c r="N64" s="3"/>
      <c r="O64" s="3"/>
      <c r="P64" s="3"/>
      <c r="Q64" s="3"/>
      <c r="R64" s="3"/>
      <c r="S64" s="3"/>
      <c r="T64" s="3"/>
      <c r="U64" s="3"/>
      <c r="V64" s="47"/>
      <c r="W64" s="47"/>
      <c r="X64" s="47"/>
      <c r="Y64" s="47"/>
      <c r="Z64" s="47"/>
      <c r="AA64" s="198"/>
      <c r="AB64" s="198"/>
      <c r="AC64" s="198"/>
      <c r="AD64" s="198"/>
      <c r="AE64" s="198"/>
      <c r="AF64" s="198"/>
      <c r="AG64" s="198"/>
      <c r="AH64" s="198"/>
      <c r="AI64" s="198"/>
      <c r="AJ64" s="198"/>
      <c r="AK64" s="198"/>
      <c r="AL64" s="198"/>
      <c r="AM64" s="52"/>
      <c r="AN64" s="52"/>
      <c r="AO64" s="52"/>
      <c r="AP64" s="52"/>
      <c r="AQ64" s="52"/>
    </row>
    <row r="65" spans="1:43">
      <c r="A65" s="331">
        <v>45229</v>
      </c>
      <c r="B65" s="332">
        <v>4166.82</v>
      </c>
      <c r="C65" s="30">
        <v>372.42</v>
      </c>
      <c r="D65" s="22">
        <f t="shared" si="0"/>
        <v>-6.4333063093138616E-3</v>
      </c>
      <c r="E65" s="22">
        <f t="shared" si="1"/>
        <v>-1.0442407333599061E-2</v>
      </c>
      <c r="F65" s="12"/>
      <c r="G65" s="12"/>
      <c r="H65" s="3"/>
      <c r="I65" s="3"/>
      <c r="J65" s="3"/>
      <c r="K65" s="3"/>
      <c r="L65" s="3"/>
      <c r="M65" s="3"/>
      <c r="N65" s="3"/>
      <c r="O65" s="3"/>
      <c r="P65" s="3"/>
      <c r="Q65" s="3"/>
      <c r="R65" s="3"/>
      <c r="S65" s="3"/>
      <c r="T65" s="3"/>
      <c r="U65" s="3"/>
      <c r="V65" s="47"/>
      <c r="W65" s="47"/>
      <c r="X65" s="47"/>
      <c r="Y65" s="47"/>
      <c r="Z65" s="47"/>
      <c r="AA65" s="198"/>
      <c r="AB65" s="198"/>
      <c r="AC65" s="198"/>
      <c r="AD65" s="198"/>
      <c r="AE65" s="198"/>
      <c r="AF65" s="198"/>
      <c r="AG65" s="198"/>
      <c r="AH65" s="198"/>
      <c r="AI65" s="198"/>
      <c r="AJ65" s="198"/>
      <c r="AK65" s="198"/>
      <c r="AL65" s="198"/>
      <c r="AM65" s="52"/>
      <c r="AN65" s="52"/>
      <c r="AO65" s="52"/>
      <c r="AP65" s="52"/>
      <c r="AQ65" s="52"/>
    </row>
    <row r="66" spans="1:43">
      <c r="A66" s="331">
        <v>45226</v>
      </c>
      <c r="B66" s="332">
        <v>4117.37</v>
      </c>
      <c r="C66" s="30">
        <v>364.08</v>
      </c>
      <c r="D66" s="22">
        <f t="shared" si="0"/>
        <v>-1.1867563273671486E-2</v>
      </c>
      <c r="E66" s="22">
        <f t="shared" si="1"/>
        <v>-2.2394071209924364E-2</v>
      </c>
      <c r="F66" s="12"/>
      <c r="G66" s="12"/>
      <c r="H66" s="3"/>
      <c r="I66" s="3"/>
      <c r="J66" s="3"/>
      <c r="K66" s="3"/>
      <c r="L66" s="3"/>
      <c r="M66" s="3"/>
      <c r="N66" s="3"/>
      <c r="O66" s="3"/>
      <c r="P66" s="3"/>
      <c r="Q66" s="3"/>
      <c r="R66" s="3"/>
      <c r="S66" s="3"/>
      <c r="T66" s="3"/>
      <c r="U66" s="3"/>
      <c r="V66" s="47"/>
      <c r="W66" s="47"/>
      <c r="X66" s="47"/>
      <c r="Y66" s="47"/>
      <c r="Z66" s="47"/>
      <c r="AA66" s="198"/>
      <c r="AB66" s="198"/>
      <c r="AC66" s="198"/>
      <c r="AD66" s="198"/>
      <c r="AE66" s="198"/>
      <c r="AF66" s="198"/>
      <c r="AG66" s="198"/>
      <c r="AH66" s="198"/>
      <c r="AI66" s="198"/>
      <c r="AJ66" s="198"/>
      <c r="AK66" s="198"/>
      <c r="AL66" s="198"/>
      <c r="AM66" s="52"/>
      <c r="AN66" s="52"/>
      <c r="AO66" s="52"/>
      <c r="AP66" s="52"/>
      <c r="AQ66" s="52"/>
    </row>
    <row r="67" spans="1:43">
      <c r="A67" s="331">
        <v>45225</v>
      </c>
      <c r="B67" s="332">
        <v>4137.2299999999996</v>
      </c>
      <c r="C67" s="30">
        <v>364.59</v>
      </c>
      <c r="D67" s="22">
        <f t="shared" si="0"/>
        <v>4.8234674075926312E-3</v>
      </c>
      <c r="E67" s="22">
        <f t="shared" si="1"/>
        <v>1.4007910349373514E-3</v>
      </c>
      <c r="F67" s="12"/>
      <c r="G67" s="12"/>
      <c r="H67" s="3"/>
      <c r="I67" s="3"/>
      <c r="J67" s="3"/>
      <c r="K67" s="3"/>
      <c r="L67" s="3"/>
      <c r="M67" s="3"/>
      <c r="N67" s="3"/>
      <c r="O67" s="3"/>
      <c r="P67" s="3"/>
      <c r="Q67" s="3"/>
      <c r="R67" s="3"/>
      <c r="S67" s="3"/>
      <c r="T67" s="3"/>
      <c r="U67" s="3"/>
      <c r="V67" s="47"/>
      <c r="W67" s="47"/>
      <c r="X67" s="47"/>
      <c r="Y67" s="47"/>
      <c r="Z67" s="47"/>
      <c r="AA67" s="198"/>
      <c r="AB67" s="198"/>
      <c r="AC67" s="198"/>
      <c r="AD67" s="198"/>
      <c r="AE67" s="198"/>
      <c r="AF67" s="198"/>
      <c r="AG67" s="198"/>
      <c r="AH67" s="198"/>
      <c r="AI67" s="198"/>
      <c r="AJ67" s="198"/>
      <c r="AK67" s="198"/>
      <c r="AL67" s="198"/>
      <c r="AM67" s="52"/>
      <c r="AN67" s="52"/>
      <c r="AO67" s="52"/>
      <c r="AP67" s="52"/>
      <c r="AQ67" s="52"/>
    </row>
    <row r="68" spans="1:43">
      <c r="A68" s="331">
        <v>45224</v>
      </c>
      <c r="B68" s="332">
        <v>4186.7700000000004</v>
      </c>
      <c r="C68" s="30">
        <v>386.31</v>
      </c>
      <c r="D68" s="22">
        <f t="shared" ref="D68:D131" si="2">(B68-B67)/B67</f>
        <v>1.197419529491976E-2</v>
      </c>
      <c r="E68" s="22">
        <f t="shared" si="1"/>
        <v>5.9573767793960418E-2</v>
      </c>
      <c r="F68" s="12"/>
      <c r="G68" s="12"/>
      <c r="H68" s="3"/>
      <c r="I68" s="3"/>
      <c r="J68" s="3"/>
      <c r="K68" s="3"/>
      <c r="L68" s="3"/>
      <c r="M68" s="3"/>
      <c r="N68" s="3"/>
      <c r="O68" s="3"/>
      <c r="P68" s="3"/>
      <c r="Q68" s="3"/>
      <c r="R68" s="3"/>
      <c r="S68" s="3"/>
      <c r="T68" s="3"/>
      <c r="U68" s="3"/>
      <c r="V68" s="47"/>
      <c r="W68" s="47"/>
      <c r="X68" s="47"/>
      <c r="Y68" s="47"/>
      <c r="Z68" s="47"/>
      <c r="AA68" s="198"/>
      <c r="AB68" s="198"/>
      <c r="AC68" s="198"/>
      <c r="AD68" s="198"/>
      <c r="AE68" s="198"/>
      <c r="AF68" s="198"/>
      <c r="AG68" s="198"/>
      <c r="AH68" s="198"/>
      <c r="AI68" s="198"/>
      <c r="AJ68" s="198"/>
      <c r="AK68" s="198"/>
      <c r="AL68" s="198"/>
      <c r="AM68" s="52"/>
      <c r="AN68" s="52"/>
      <c r="AO68" s="52"/>
      <c r="AP68" s="52"/>
      <c r="AQ68" s="52"/>
    </row>
    <row r="69" spans="1:43">
      <c r="A69" s="331">
        <v>45223</v>
      </c>
      <c r="B69" s="332">
        <v>4247.68</v>
      </c>
      <c r="C69" s="30">
        <v>386.91</v>
      </c>
      <c r="D69" s="22">
        <f t="shared" si="2"/>
        <v>1.4548207806972881E-2</v>
      </c>
      <c r="E69" s="22">
        <f t="shared" ref="E69:E132" si="3">(C69-C68)/C68</f>
        <v>1.5531567911781282E-3</v>
      </c>
      <c r="F69" s="12"/>
      <c r="G69" s="12"/>
      <c r="H69" s="3"/>
      <c r="I69" s="3"/>
      <c r="J69" s="3"/>
      <c r="K69" s="3"/>
      <c r="L69" s="3"/>
      <c r="M69" s="3"/>
      <c r="N69" s="3"/>
      <c r="O69" s="3"/>
      <c r="P69" s="3"/>
      <c r="Q69" s="3"/>
      <c r="R69" s="3"/>
      <c r="S69" s="3"/>
      <c r="T69" s="3"/>
      <c r="U69" s="3"/>
      <c r="V69" s="47"/>
      <c r="W69" s="47"/>
      <c r="X69" s="47"/>
      <c r="Y69" s="47"/>
      <c r="Z69" s="47"/>
      <c r="AA69" s="198"/>
      <c r="AB69" s="198"/>
      <c r="AC69" s="198"/>
      <c r="AD69" s="198"/>
      <c r="AE69" s="198"/>
      <c r="AF69" s="198"/>
      <c r="AG69" s="198"/>
      <c r="AH69" s="198"/>
      <c r="AI69" s="198"/>
      <c r="AJ69" s="198"/>
      <c r="AK69" s="198"/>
      <c r="AL69" s="198"/>
      <c r="AM69" s="52"/>
      <c r="AN69" s="52"/>
      <c r="AO69" s="52"/>
      <c r="AP69" s="52"/>
      <c r="AQ69" s="52"/>
    </row>
    <row r="70" spans="1:43">
      <c r="A70" s="331">
        <v>45222</v>
      </c>
      <c r="B70" s="332">
        <v>4217.04</v>
      </c>
      <c r="C70" s="30">
        <v>383.67</v>
      </c>
      <c r="D70" s="22">
        <f t="shared" si="2"/>
        <v>-7.2133494048516661E-3</v>
      </c>
      <c r="E70" s="22">
        <f t="shared" si="3"/>
        <v>-8.3740404745289831E-3</v>
      </c>
      <c r="F70" s="12"/>
      <c r="G70" s="12"/>
      <c r="H70" s="3"/>
      <c r="I70" s="3"/>
      <c r="J70" s="3"/>
      <c r="K70" s="3"/>
      <c r="L70" s="3"/>
      <c r="M70" s="3"/>
      <c r="N70" s="3"/>
      <c r="O70" s="3"/>
      <c r="P70" s="3"/>
      <c r="Q70" s="3"/>
      <c r="R70" s="3"/>
      <c r="S70" s="3"/>
      <c r="T70" s="3"/>
      <c r="U70" s="3"/>
      <c r="V70" s="47"/>
      <c r="W70" s="47"/>
      <c r="X70" s="47"/>
      <c r="Y70" s="47"/>
      <c r="Z70" s="47"/>
      <c r="AA70" s="198"/>
      <c r="AB70" s="198"/>
      <c r="AC70" s="198"/>
      <c r="AD70" s="198"/>
      <c r="AE70" s="198"/>
      <c r="AF70" s="198"/>
      <c r="AG70" s="198"/>
      <c r="AH70" s="198"/>
      <c r="AI70" s="198"/>
      <c r="AJ70" s="198"/>
      <c r="AK70" s="198"/>
      <c r="AL70" s="198"/>
      <c r="AM70" s="52"/>
      <c r="AN70" s="52"/>
      <c r="AO70" s="52"/>
      <c r="AP70" s="52"/>
      <c r="AQ70" s="52"/>
    </row>
    <row r="71" spans="1:43">
      <c r="A71" s="331">
        <v>45219</v>
      </c>
      <c r="B71" s="332">
        <v>4224.16</v>
      </c>
      <c r="C71" s="30">
        <v>384.41</v>
      </c>
      <c r="D71" s="22">
        <f t="shared" si="2"/>
        <v>1.6883880636654836E-3</v>
      </c>
      <c r="E71" s="22">
        <f t="shared" si="3"/>
        <v>1.9287408449970263E-3</v>
      </c>
      <c r="F71" s="12"/>
      <c r="G71" s="12"/>
      <c r="H71" s="3"/>
      <c r="I71" s="3"/>
      <c r="J71" s="3"/>
      <c r="K71" s="3"/>
      <c r="L71" s="3"/>
      <c r="M71" s="3"/>
      <c r="N71" s="3"/>
      <c r="O71" s="3"/>
      <c r="P71" s="3"/>
      <c r="Q71" s="3"/>
      <c r="R71" s="3"/>
      <c r="S71" s="3"/>
      <c r="T71" s="3"/>
      <c r="U71" s="3"/>
      <c r="V71" s="47"/>
      <c r="W71" s="47"/>
      <c r="X71" s="47"/>
      <c r="Y71" s="47"/>
      <c r="Z71" s="47"/>
      <c r="AA71" s="198"/>
      <c r="AB71" s="198"/>
      <c r="AC71" s="198"/>
      <c r="AD71" s="198"/>
      <c r="AE71" s="198"/>
      <c r="AF71" s="198"/>
      <c r="AG71" s="198"/>
      <c r="AH71" s="198"/>
      <c r="AI71" s="198"/>
      <c r="AJ71" s="198"/>
      <c r="AK71" s="198"/>
      <c r="AL71" s="198"/>
      <c r="AM71" s="52"/>
      <c r="AN71" s="52"/>
      <c r="AO71" s="52"/>
      <c r="AP71" s="52"/>
      <c r="AQ71" s="52"/>
    </row>
    <row r="72" spans="1:43">
      <c r="A72" s="331">
        <v>45218</v>
      </c>
      <c r="B72" s="332">
        <v>4278</v>
      </c>
      <c r="C72" s="30">
        <v>387.87</v>
      </c>
      <c r="D72" s="22">
        <f t="shared" si="2"/>
        <v>1.2745729328434563E-2</v>
      </c>
      <c r="E72" s="22">
        <f t="shared" si="3"/>
        <v>9.0008064306339054E-3</v>
      </c>
      <c r="F72" s="12"/>
      <c r="G72" s="12"/>
      <c r="H72" s="3"/>
      <c r="I72" s="3"/>
      <c r="J72" s="3"/>
      <c r="K72" s="3"/>
      <c r="L72" s="3"/>
      <c r="M72" s="3"/>
      <c r="N72" s="3"/>
      <c r="O72" s="3"/>
      <c r="P72" s="3"/>
      <c r="Q72" s="3"/>
      <c r="R72" s="3"/>
      <c r="S72" s="3"/>
      <c r="T72" s="3"/>
      <c r="U72" s="3"/>
      <c r="V72" s="47"/>
      <c r="W72" s="47"/>
      <c r="X72" s="47"/>
      <c r="Y72" s="47"/>
      <c r="Z72" s="47"/>
      <c r="AA72" s="198"/>
      <c r="AB72" s="198"/>
      <c r="AC72" s="198"/>
      <c r="AD72" s="198"/>
      <c r="AE72" s="198"/>
      <c r="AF72" s="198"/>
      <c r="AG72" s="198"/>
      <c r="AH72" s="198"/>
      <c r="AI72" s="198"/>
      <c r="AJ72" s="198"/>
      <c r="AK72" s="198"/>
      <c r="AL72" s="198"/>
      <c r="AM72" s="52"/>
      <c r="AN72" s="52"/>
      <c r="AO72" s="52"/>
      <c r="AP72" s="52"/>
      <c r="AQ72" s="52"/>
    </row>
    <row r="73" spans="1:43">
      <c r="A73" s="331">
        <v>45217</v>
      </c>
      <c r="B73" s="332">
        <v>4314.6000000000004</v>
      </c>
      <c r="C73" s="30">
        <v>393.21</v>
      </c>
      <c r="D73" s="22">
        <f t="shared" si="2"/>
        <v>8.555399719495177E-3</v>
      </c>
      <c r="E73" s="22">
        <f t="shared" si="3"/>
        <v>1.3767499419908668E-2</v>
      </c>
      <c r="F73" s="12"/>
      <c r="G73" s="12"/>
      <c r="H73" s="3"/>
      <c r="I73" s="3"/>
      <c r="J73" s="3"/>
      <c r="K73" s="3"/>
      <c r="L73" s="3"/>
      <c r="M73" s="3"/>
      <c r="N73" s="3"/>
      <c r="O73" s="3"/>
      <c r="P73" s="3"/>
      <c r="Q73" s="3"/>
      <c r="R73" s="3"/>
      <c r="S73" s="3"/>
      <c r="T73" s="3"/>
      <c r="U73" s="3"/>
      <c r="V73" s="47"/>
      <c r="W73" s="47"/>
      <c r="X73" s="47"/>
      <c r="Y73" s="47"/>
      <c r="Z73" s="47"/>
      <c r="AA73" s="198"/>
      <c r="AB73" s="198"/>
      <c r="AC73" s="198"/>
      <c r="AD73" s="198"/>
      <c r="AE73" s="198"/>
      <c r="AF73" s="198"/>
      <c r="AG73" s="198"/>
      <c r="AH73" s="198"/>
      <c r="AI73" s="198"/>
      <c r="AJ73" s="198"/>
      <c r="AK73" s="198"/>
      <c r="AL73" s="198"/>
      <c r="AM73" s="52"/>
      <c r="AN73" s="52"/>
      <c r="AO73" s="52"/>
      <c r="AP73" s="52"/>
      <c r="AQ73" s="52"/>
    </row>
    <row r="74" spans="1:43">
      <c r="A74" s="331">
        <v>45216</v>
      </c>
      <c r="B74" s="332">
        <v>4373.2</v>
      </c>
      <c r="C74" s="30">
        <v>401.77</v>
      </c>
      <c r="D74" s="22">
        <f t="shared" si="2"/>
        <v>1.3581792054883291E-2</v>
      </c>
      <c r="E74" s="22">
        <f t="shared" si="3"/>
        <v>2.1769537905953568E-2</v>
      </c>
      <c r="F74" s="12"/>
      <c r="G74" s="12"/>
      <c r="H74" s="3"/>
      <c r="I74" s="3"/>
      <c r="J74" s="3"/>
      <c r="K74" s="3"/>
      <c r="L74" s="3"/>
      <c r="M74" s="3"/>
      <c r="N74" s="3"/>
      <c r="O74" s="3"/>
      <c r="P74" s="3"/>
      <c r="Q74" s="3"/>
      <c r="R74" s="3"/>
      <c r="S74" s="3"/>
      <c r="T74" s="3"/>
      <c r="U74" s="3"/>
      <c r="V74" s="47"/>
      <c r="W74" s="47"/>
      <c r="X74" s="47"/>
      <c r="Y74" s="47"/>
      <c r="Z74" s="47"/>
      <c r="AA74" s="198"/>
      <c r="AB74" s="198"/>
      <c r="AC74" s="198"/>
      <c r="AD74" s="198"/>
      <c r="AE74" s="198"/>
      <c r="AF74" s="198"/>
      <c r="AG74" s="198"/>
      <c r="AH74" s="198"/>
      <c r="AI74" s="198"/>
      <c r="AJ74" s="198"/>
      <c r="AK74" s="198"/>
      <c r="AL74" s="198"/>
      <c r="AM74" s="52"/>
      <c r="AN74" s="52"/>
      <c r="AO74" s="52"/>
      <c r="AP74" s="52"/>
      <c r="AQ74" s="52"/>
    </row>
    <row r="75" spans="1:43">
      <c r="A75" s="331">
        <v>45215</v>
      </c>
      <c r="B75" s="332">
        <v>4373.63</v>
      </c>
      <c r="C75" s="30">
        <v>401.16</v>
      </c>
      <c r="D75" s="22">
        <f t="shared" si="2"/>
        <v>9.8326168480812913E-5</v>
      </c>
      <c r="E75" s="22">
        <f t="shared" si="3"/>
        <v>-1.518281603902623E-3</v>
      </c>
      <c r="F75" s="12"/>
      <c r="G75" s="12"/>
      <c r="H75" s="3"/>
      <c r="I75" s="3"/>
      <c r="J75" s="3"/>
      <c r="K75" s="3"/>
      <c r="L75" s="3"/>
      <c r="M75" s="3"/>
      <c r="N75" s="3"/>
      <c r="O75" s="3"/>
      <c r="P75" s="3"/>
      <c r="Q75" s="3"/>
      <c r="R75" s="3"/>
      <c r="S75" s="3"/>
      <c r="T75" s="3"/>
      <c r="U75" s="3"/>
      <c r="V75" s="47"/>
      <c r="W75" s="47"/>
      <c r="X75" s="47"/>
      <c r="Y75" s="47"/>
      <c r="Z75" s="47"/>
      <c r="AA75" s="198"/>
      <c r="AB75" s="198"/>
      <c r="AC75" s="198"/>
      <c r="AD75" s="198"/>
      <c r="AE75" s="198"/>
      <c r="AF75" s="198"/>
      <c r="AG75" s="198"/>
      <c r="AH75" s="198"/>
      <c r="AI75" s="198"/>
      <c r="AJ75" s="198"/>
      <c r="AK75" s="198"/>
      <c r="AL75" s="198"/>
      <c r="AM75" s="52"/>
      <c r="AN75" s="52"/>
      <c r="AO75" s="52"/>
      <c r="AP75" s="52"/>
      <c r="AQ75" s="52"/>
    </row>
    <row r="76" spans="1:43">
      <c r="A76" s="331">
        <v>45212</v>
      </c>
      <c r="B76" s="332">
        <v>4327.78</v>
      </c>
      <c r="C76" s="30">
        <v>398.03</v>
      </c>
      <c r="D76" s="22">
        <f t="shared" si="2"/>
        <v>-1.0483282765117388E-2</v>
      </c>
      <c r="E76" s="22">
        <f t="shared" si="3"/>
        <v>-7.8023731179580518E-3</v>
      </c>
      <c r="F76" s="12"/>
      <c r="G76" s="12"/>
      <c r="H76" s="3"/>
      <c r="I76" s="3"/>
      <c r="J76" s="3"/>
      <c r="K76" s="3"/>
      <c r="L76" s="3"/>
      <c r="M76" s="3"/>
      <c r="N76" s="3"/>
      <c r="O76" s="3"/>
      <c r="P76" s="3"/>
      <c r="Q76" s="3"/>
      <c r="R76" s="3"/>
      <c r="S76" s="3"/>
      <c r="T76" s="3"/>
      <c r="U76" s="3"/>
      <c r="V76" s="47"/>
      <c r="W76" s="47"/>
      <c r="X76" s="47"/>
      <c r="Y76" s="47"/>
      <c r="Z76" s="47"/>
      <c r="AA76" s="198"/>
      <c r="AB76" s="198"/>
      <c r="AC76" s="198"/>
      <c r="AD76" s="198"/>
      <c r="AE76" s="198"/>
      <c r="AF76" s="198"/>
      <c r="AG76" s="198"/>
      <c r="AH76" s="198"/>
      <c r="AI76" s="198"/>
      <c r="AJ76" s="198"/>
      <c r="AK76" s="198"/>
      <c r="AL76" s="198"/>
      <c r="AM76" s="52"/>
      <c r="AN76" s="52"/>
      <c r="AO76" s="52"/>
      <c r="AP76" s="52"/>
      <c r="AQ76" s="52"/>
    </row>
    <row r="77" spans="1:43">
      <c r="A77" s="331">
        <v>45211</v>
      </c>
      <c r="B77" s="332">
        <v>4349.6099999999997</v>
      </c>
      <c r="C77" s="30">
        <v>399.9</v>
      </c>
      <c r="D77" s="22">
        <f t="shared" si="2"/>
        <v>5.0441565883663055E-3</v>
      </c>
      <c r="E77" s="22">
        <f t="shared" si="3"/>
        <v>4.6981383312815735E-3</v>
      </c>
      <c r="F77" s="12"/>
      <c r="G77" s="12"/>
      <c r="H77" s="3"/>
      <c r="I77" s="3"/>
      <c r="J77" s="3"/>
      <c r="K77" s="3"/>
      <c r="L77" s="3"/>
      <c r="M77" s="3"/>
      <c r="N77" s="3"/>
      <c r="O77" s="3"/>
      <c r="P77" s="3"/>
      <c r="Q77" s="3"/>
      <c r="R77" s="3"/>
      <c r="S77" s="3"/>
      <c r="T77" s="3"/>
      <c r="U77" s="3"/>
      <c r="V77" s="47"/>
      <c r="W77" s="47"/>
      <c r="X77" s="47"/>
      <c r="Y77" s="47"/>
      <c r="Z77" s="47"/>
      <c r="AA77" s="198"/>
      <c r="AB77" s="198"/>
      <c r="AC77" s="198"/>
      <c r="AD77" s="198"/>
      <c r="AE77" s="198"/>
      <c r="AF77" s="198"/>
      <c r="AG77" s="198"/>
      <c r="AH77" s="198"/>
      <c r="AI77" s="198"/>
      <c r="AJ77" s="198"/>
      <c r="AK77" s="198"/>
      <c r="AL77" s="198"/>
      <c r="AM77" s="52"/>
      <c r="AN77" s="52"/>
      <c r="AO77" s="52"/>
      <c r="AP77" s="52"/>
      <c r="AQ77" s="52"/>
    </row>
    <row r="78" spans="1:43">
      <c r="A78" s="331">
        <v>45210</v>
      </c>
      <c r="B78" s="332">
        <v>4376.95</v>
      </c>
      <c r="C78" s="30">
        <v>399.81</v>
      </c>
      <c r="D78" s="22">
        <f t="shared" si="2"/>
        <v>6.2856210096997539E-3</v>
      </c>
      <c r="E78" s="22">
        <f t="shared" si="3"/>
        <v>-2.2505626406595398E-4</v>
      </c>
      <c r="F78" s="12"/>
      <c r="G78" s="12"/>
      <c r="H78" s="3"/>
      <c r="I78" s="3"/>
      <c r="J78" s="3"/>
      <c r="K78" s="3"/>
      <c r="L78" s="3"/>
      <c r="M78" s="3"/>
      <c r="N78" s="3"/>
      <c r="O78" s="3"/>
      <c r="P78" s="3"/>
      <c r="Q78" s="3"/>
      <c r="R78" s="3"/>
      <c r="S78" s="3"/>
      <c r="T78" s="3"/>
      <c r="U78" s="3"/>
      <c r="V78" s="47"/>
      <c r="W78" s="47"/>
      <c r="X78" s="47"/>
      <c r="Y78" s="47"/>
      <c r="Z78" s="47"/>
      <c r="AA78" s="198"/>
      <c r="AB78" s="198"/>
      <c r="AC78" s="198"/>
      <c r="AD78" s="198"/>
      <c r="AE78" s="198"/>
      <c r="AF78" s="198"/>
      <c r="AG78" s="198"/>
      <c r="AH78" s="198"/>
      <c r="AI78" s="198"/>
      <c r="AJ78" s="198"/>
      <c r="AK78" s="198"/>
      <c r="AL78" s="198"/>
      <c r="AM78" s="52"/>
      <c r="AN78" s="52"/>
      <c r="AO78" s="52"/>
      <c r="AP78" s="52"/>
      <c r="AQ78" s="52"/>
    </row>
    <row r="79" spans="1:43">
      <c r="A79" s="331">
        <v>45209</v>
      </c>
      <c r="B79" s="332">
        <v>4358.24</v>
      </c>
      <c r="C79" s="30">
        <v>400.37</v>
      </c>
      <c r="D79" s="22">
        <f t="shared" si="2"/>
        <v>-4.2746661488022569E-3</v>
      </c>
      <c r="E79" s="22">
        <f t="shared" si="3"/>
        <v>1.4006653160251177E-3</v>
      </c>
      <c r="F79" s="12"/>
      <c r="G79" s="12"/>
      <c r="H79" s="3"/>
      <c r="I79" s="3"/>
      <c r="J79" s="3"/>
      <c r="K79" s="3"/>
      <c r="L79" s="3"/>
      <c r="M79" s="3"/>
      <c r="N79" s="3"/>
      <c r="O79" s="3"/>
      <c r="P79" s="3"/>
      <c r="Q79" s="3"/>
      <c r="R79" s="3"/>
      <c r="S79" s="3"/>
      <c r="T79" s="3"/>
      <c r="U79" s="3"/>
      <c r="V79" s="47"/>
      <c r="W79" s="47"/>
      <c r="X79" s="47"/>
      <c r="Y79" s="47"/>
      <c r="Z79" s="47"/>
      <c r="AA79" s="198"/>
      <c r="AB79" s="198"/>
      <c r="AC79" s="198"/>
      <c r="AD79" s="198"/>
      <c r="AE79" s="198"/>
      <c r="AF79" s="198"/>
      <c r="AG79" s="198"/>
      <c r="AH79" s="198"/>
      <c r="AI79" s="198"/>
      <c r="AJ79" s="198"/>
      <c r="AK79" s="198"/>
      <c r="AL79" s="198"/>
      <c r="AM79" s="52"/>
      <c r="AN79" s="52"/>
      <c r="AO79" s="52"/>
      <c r="AP79" s="52"/>
      <c r="AQ79" s="52"/>
    </row>
    <row r="80" spans="1:43">
      <c r="A80" s="331">
        <v>45208</v>
      </c>
      <c r="B80" s="332">
        <v>4335.66</v>
      </c>
      <c r="C80" s="30">
        <v>394.74</v>
      </c>
      <c r="D80" s="22">
        <f t="shared" si="2"/>
        <v>-5.1809904915745639E-3</v>
      </c>
      <c r="E80" s="22">
        <f t="shared" si="3"/>
        <v>-1.4061992656792456E-2</v>
      </c>
      <c r="F80" s="12"/>
      <c r="G80" s="12"/>
      <c r="H80" s="3"/>
      <c r="I80" s="3"/>
      <c r="J80" s="3"/>
      <c r="K80" s="3"/>
      <c r="L80" s="3"/>
      <c r="M80" s="3"/>
      <c r="N80" s="3"/>
      <c r="O80" s="3"/>
      <c r="P80" s="3"/>
      <c r="Q80" s="3"/>
      <c r="R80" s="3"/>
      <c r="S80" s="3"/>
      <c r="T80" s="3"/>
      <c r="U80" s="3"/>
      <c r="V80" s="47"/>
      <c r="W80" s="47"/>
      <c r="X80" s="47"/>
      <c r="Y80" s="47"/>
      <c r="Z80" s="47"/>
      <c r="AA80" s="198"/>
      <c r="AB80" s="198"/>
      <c r="AC80" s="198"/>
      <c r="AD80" s="198"/>
      <c r="AE80" s="198"/>
      <c r="AF80" s="198"/>
      <c r="AG80" s="198"/>
      <c r="AH80" s="198"/>
      <c r="AI80" s="198"/>
      <c r="AJ80" s="198"/>
      <c r="AK80" s="198"/>
      <c r="AL80" s="198"/>
      <c r="AM80" s="52"/>
      <c r="AN80" s="52"/>
      <c r="AO80" s="52"/>
      <c r="AP80" s="52"/>
      <c r="AQ80" s="52"/>
    </row>
    <row r="81" spans="1:43">
      <c r="A81" s="331">
        <v>45205</v>
      </c>
      <c r="B81" s="332">
        <v>4308.5</v>
      </c>
      <c r="C81" s="30">
        <v>397.97</v>
      </c>
      <c r="D81" s="22">
        <f t="shared" si="2"/>
        <v>-6.2643288449739732E-3</v>
      </c>
      <c r="E81" s="22">
        <f t="shared" si="3"/>
        <v>8.1826012058570652E-3</v>
      </c>
      <c r="F81" s="12"/>
      <c r="G81" s="12"/>
      <c r="H81" s="3"/>
      <c r="I81" s="3"/>
      <c r="J81" s="3"/>
      <c r="K81" s="3"/>
      <c r="L81" s="3"/>
      <c r="M81" s="3"/>
      <c r="N81" s="3"/>
      <c r="O81" s="3"/>
      <c r="P81" s="3"/>
      <c r="Q81" s="3"/>
      <c r="R81" s="3"/>
      <c r="S81" s="3"/>
      <c r="T81" s="3"/>
      <c r="U81" s="3"/>
      <c r="V81" s="47"/>
      <c r="W81" s="47"/>
      <c r="X81" s="47"/>
      <c r="Y81" s="47"/>
      <c r="Z81" s="47"/>
      <c r="AA81" s="198"/>
      <c r="AB81" s="198"/>
      <c r="AC81" s="198"/>
      <c r="AD81" s="198"/>
      <c r="AE81" s="198"/>
      <c r="AF81" s="198"/>
      <c r="AG81" s="198"/>
      <c r="AH81" s="198"/>
      <c r="AI81" s="198"/>
      <c r="AJ81" s="198"/>
      <c r="AK81" s="198"/>
      <c r="AL81" s="198"/>
      <c r="AM81" s="52"/>
      <c r="AN81" s="52"/>
      <c r="AO81" s="52"/>
      <c r="AP81" s="52"/>
      <c r="AQ81" s="52"/>
    </row>
    <row r="82" spans="1:43">
      <c r="A82" s="331">
        <v>45204</v>
      </c>
      <c r="B82" s="332">
        <v>4258.1899999999996</v>
      </c>
      <c r="C82" s="30">
        <v>394.2</v>
      </c>
      <c r="D82" s="22">
        <f t="shared" si="2"/>
        <v>-1.1676917720784588E-2</v>
      </c>
      <c r="E82" s="22">
        <f t="shared" si="3"/>
        <v>-9.4730758599895423E-3</v>
      </c>
      <c r="F82" s="12"/>
      <c r="G82" s="12"/>
      <c r="H82" s="3"/>
      <c r="I82" s="3"/>
      <c r="J82" s="3"/>
      <c r="K82" s="3"/>
      <c r="L82" s="3"/>
      <c r="M82" s="3"/>
      <c r="N82" s="3"/>
      <c r="O82" s="3"/>
      <c r="P82" s="3"/>
      <c r="Q82" s="3"/>
      <c r="R82" s="3"/>
      <c r="S82" s="3"/>
      <c r="T82" s="3"/>
      <c r="U82" s="3"/>
      <c r="V82" s="47"/>
      <c r="W82" s="47"/>
      <c r="X82" s="47"/>
      <c r="Y82" s="47"/>
      <c r="Z82" s="47"/>
      <c r="AA82" s="198"/>
      <c r="AB82" s="198"/>
      <c r="AC82" s="198"/>
      <c r="AD82" s="198"/>
      <c r="AE82" s="198"/>
      <c r="AF82" s="198"/>
      <c r="AG82" s="198"/>
      <c r="AH82" s="198"/>
      <c r="AI82" s="198"/>
      <c r="AJ82" s="198"/>
      <c r="AK82" s="198"/>
      <c r="AL82" s="198"/>
      <c r="AM82" s="52"/>
      <c r="AN82" s="52"/>
      <c r="AO82" s="52"/>
      <c r="AP82" s="52"/>
      <c r="AQ82" s="52"/>
    </row>
    <row r="83" spans="1:43">
      <c r="A83" s="331">
        <v>45203</v>
      </c>
      <c r="B83" s="332">
        <v>4263.75</v>
      </c>
      <c r="C83" s="30">
        <v>393.76</v>
      </c>
      <c r="D83" s="22">
        <f t="shared" si="2"/>
        <v>1.3057190966115652E-3</v>
      </c>
      <c r="E83" s="22">
        <f t="shared" si="3"/>
        <v>-1.1161846778285076E-3</v>
      </c>
      <c r="F83" s="12"/>
      <c r="G83" s="12"/>
      <c r="H83" s="3"/>
      <c r="I83" s="3"/>
      <c r="J83" s="3"/>
      <c r="K83" s="3"/>
      <c r="L83" s="3"/>
      <c r="M83" s="3"/>
      <c r="N83" s="3"/>
      <c r="O83" s="3"/>
      <c r="P83" s="3"/>
      <c r="Q83" s="3"/>
      <c r="R83" s="3"/>
      <c r="S83" s="3"/>
      <c r="T83" s="3"/>
      <c r="U83" s="3"/>
      <c r="V83" s="47"/>
      <c r="W83" s="47"/>
      <c r="X83" s="47"/>
      <c r="Y83" s="47"/>
      <c r="Z83" s="47"/>
      <c r="AA83" s="198"/>
      <c r="AB83" s="198"/>
      <c r="AC83" s="198"/>
      <c r="AD83" s="198"/>
      <c r="AE83" s="198"/>
      <c r="AF83" s="198"/>
      <c r="AG83" s="198"/>
      <c r="AH83" s="198"/>
      <c r="AI83" s="198"/>
      <c r="AJ83" s="198"/>
      <c r="AK83" s="198"/>
      <c r="AL83" s="198"/>
      <c r="AM83" s="52"/>
      <c r="AN83" s="52"/>
      <c r="AO83" s="52"/>
      <c r="AP83" s="52"/>
      <c r="AQ83" s="52"/>
    </row>
    <row r="84" spans="1:43">
      <c r="A84" s="331">
        <v>45202</v>
      </c>
      <c r="B84" s="332">
        <v>4229.45</v>
      </c>
      <c r="C84" s="30">
        <v>391.06</v>
      </c>
      <c r="D84" s="22">
        <f t="shared" si="2"/>
        <v>-8.0445617121079286E-3</v>
      </c>
      <c r="E84" s="22">
        <f t="shared" si="3"/>
        <v>-6.8569687119057008E-3</v>
      </c>
      <c r="F84" s="12"/>
      <c r="G84" s="12"/>
      <c r="H84" s="3"/>
      <c r="I84" s="3"/>
      <c r="J84" s="3"/>
      <c r="K84" s="3"/>
      <c r="L84" s="3"/>
      <c r="M84" s="3"/>
      <c r="N84" s="3"/>
      <c r="O84" s="3"/>
      <c r="P84" s="3"/>
      <c r="Q84" s="3"/>
      <c r="R84" s="3"/>
      <c r="S84" s="3"/>
      <c r="T84" s="3"/>
      <c r="U84" s="3"/>
      <c r="V84" s="47"/>
      <c r="W84" s="47"/>
      <c r="X84" s="47"/>
      <c r="Y84" s="47"/>
      <c r="Z84" s="47"/>
      <c r="AA84" s="198"/>
      <c r="AB84" s="198"/>
      <c r="AC84" s="198"/>
      <c r="AD84" s="198"/>
      <c r="AE84" s="198"/>
      <c r="AF84" s="198"/>
      <c r="AG84" s="198"/>
      <c r="AH84" s="198"/>
      <c r="AI84" s="198"/>
      <c r="AJ84" s="198"/>
      <c r="AK84" s="198"/>
      <c r="AL84" s="198"/>
      <c r="AM84" s="52"/>
      <c r="AN84" s="52"/>
      <c r="AO84" s="52"/>
      <c r="AP84" s="52"/>
      <c r="AQ84" s="52"/>
    </row>
    <row r="85" spans="1:43">
      <c r="A85" s="331">
        <v>45201</v>
      </c>
      <c r="B85" s="332">
        <v>4288.3900000000003</v>
      </c>
      <c r="C85" s="30">
        <v>395.85</v>
      </c>
      <c r="D85" s="22">
        <f t="shared" si="2"/>
        <v>1.3935618106373291E-2</v>
      </c>
      <c r="E85" s="22">
        <f t="shared" si="3"/>
        <v>1.224875978110781E-2</v>
      </c>
      <c r="F85" s="12"/>
      <c r="G85" s="12"/>
      <c r="H85" s="3"/>
      <c r="I85" s="3"/>
      <c r="J85" s="3"/>
      <c r="K85" s="3"/>
      <c r="L85" s="3"/>
      <c r="M85" s="3"/>
      <c r="N85" s="3"/>
      <c r="O85" s="3"/>
      <c r="P85" s="3"/>
      <c r="Q85" s="3"/>
      <c r="R85" s="3"/>
      <c r="S85" s="3"/>
      <c r="T85" s="3"/>
      <c r="U85" s="3"/>
      <c r="V85" s="47"/>
      <c r="W85" s="47"/>
      <c r="X85" s="47"/>
      <c r="Y85" s="47"/>
      <c r="Z85" s="47"/>
      <c r="AA85" s="198"/>
      <c r="AB85" s="198"/>
      <c r="AC85" s="198"/>
      <c r="AD85" s="198"/>
      <c r="AE85" s="198"/>
      <c r="AF85" s="198"/>
      <c r="AG85" s="198"/>
      <c r="AH85" s="198"/>
      <c r="AI85" s="198"/>
      <c r="AJ85" s="198"/>
      <c r="AK85" s="198"/>
      <c r="AL85" s="198"/>
      <c r="AM85" s="52"/>
      <c r="AN85" s="52"/>
      <c r="AO85" s="52"/>
      <c r="AP85" s="52"/>
      <c r="AQ85" s="52"/>
    </row>
    <row r="86" spans="1:43">
      <c r="A86" s="331">
        <v>45198</v>
      </c>
      <c r="B86" s="332">
        <v>4288.05</v>
      </c>
      <c r="C86" s="30">
        <v>395.91</v>
      </c>
      <c r="D86" s="22">
        <f t="shared" si="2"/>
        <v>-7.9283833793135765E-5</v>
      </c>
      <c r="E86" s="22">
        <f t="shared" si="3"/>
        <v>1.5157256536567454E-4</v>
      </c>
      <c r="F86" s="12"/>
      <c r="G86" s="12"/>
      <c r="H86" s="3"/>
      <c r="I86" s="3"/>
      <c r="J86" s="3"/>
      <c r="K86" s="3"/>
      <c r="L86" s="3"/>
      <c r="M86" s="3"/>
      <c r="N86" s="3"/>
      <c r="O86" s="3"/>
      <c r="P86" s="3"/>
      <c r="Q86" s="3"/>
      <c r="R86" s="3"/>
      <c r="S86" s="3"/>
      <c r="T86" s="3"/>
      <c r="U86" s="3"/>
      <c r="V86" s="47"/>
      <c r="W86" s="47"/>
      <c r="X86" s="47"/>
      <c r="Y86" s="47"/>
      <c r="Z86" s="47"/>
      <c r="AA86" s="198"/>
      <c r="AB86" s="198"/>
      <c r="AC86" s="198"/>
      <c r="AD86" s="198"/>
      <c r="AE86" s="198"/>
      <c r="AF86" s="198"/>
      <c r="AG86" s="198"/>
      <c r="AH86" s="198"/>
      <c r="AI86" s="198"/>
      <c r="AJ86" s="198"/>
      <c r="AK86" s="198"/>
      <c r="AL86" s="198"/>
      <c r="AM86" s="52"/>
      <c r="AN86" s="52"/>
      <c r="AO86" s="52"/>
      <c r="AP86" s="52"/>
      <c r="AQ86" s="52"/>
    </row>
    <row r="87" spans="1:43">
      <c r="A87" s="331">
        <v>45197</v>
      </c>
      <c r="B87" s="332">
        <v>4299.7</v>
      </c>
      <c r="C87" s="30">
        <v>399.44</v>
      </c>
      <c r="D87" s="22">
        <f t="shared" si="2"/>
        <v>2.7168526486397396E-3</v>
      </c>
      <c r="E87" s="22">
        <f t="shared" si="3"/>
        <v>8.9161678159176902E-3</v>
      </c>
      <c r="F87" s="12"/>
      <c r="G87" s="12"/>
      <c r="H87" s="3"/>
      <c r="I87" s="3"/>
      <c r="J87" s="3"/>
      <c r="K87" s="3"/>
      <c r="L87" s="3"/>
      <c r="M87" s="3"/>
      <c r="N87" s="3"/>
      <c r="O87" s="3"/>
      <c r="P87" s="3"/>
      <c r="Q87" s="3"/>
      <c r="R87" s="3"/>
      <c r="S87" s="3"/>
      <c r="T87" s="3"/>
      <c r="U87" s="3"/>
      <c r="V87" s="47"/>
      <c r="W87" s="47"/>
      <c r="X87" s="47"/>
      <c r="Y87" s="47"/>
      <c r="Z87" s="47"/>
      <c r="AA87" s="198"/>
      <c r="AB87" s="198"/>
      <c r="AC87" s="198"/>
      <c r="AD87" s="198"/>
      <c r="AE87" s="198"/>
      <c r="AF87" s="198"/>
      <c r="AG87" s="198"/>
      <c r="AH87" s="198"/>
      <c r="AI87" s="198"/>
      <c r="AJ87" s="198"/>
      <c r="AK87" s="198"/>
      <c r="AL87" s="198"/>
      <c r="AM87" s="52"/>
      <c r="AN87" s="52"/>
      <c r="AO87" s="52"/>
      <c r="AP87" s="52"/>
      <c r="AQ87" s="52"/>
    </row>
    <row r="88" spans="1:43">
      <c r="A88" s="331">
        <v>45196</v>
      </c>
      <c r="B88" s="332">
        <v>4274.51</v>
      </c>
      <c r="C88" s="30">
        <v>395.48</v>
      </c>
      <c r="D88" s="22">
        <f t="shared" si="2"/>
        <v>-5.8585482708094988E-3</v>
      </c>
      <c r="E88" s="22">
        <f t="shared" si="3"/>
        <v>-9.913879431203634E-3</v>
      </c>
      <c r="F88" s="12"/>
      <c r="G88" s="12"/>
      <c r="H88" s="3"/>
      <c r="I88" s="3"/>
      <c r="J88" s="3"/>
      <c r="K88" s="3"/>
      <c r="L88" s="3"/>
      <c r="M88" s="3"/>
      <c r="N88" s="3"/>
      <c r="O88" s="3"/>
      <c r="P88" s="3"/>
      <c r="Q88" s="3"/>
      <c r="R88" s="3"/>
      <c r="S88" s="3"/>
      <c r="T88" s="3"/>
      <c r="U88" s="3"/>
      <c r="V88" s="47"/>
      <c r="W88" s="47"/>
      <c r="X88" s="47"/>
      <c r="Y88" s="47"/>
      <c r="Z88" s="47"/>
      <c r="AA88" s="198"/>
      <c r="AB88" s="198"/>
      <c r="AC88" s="198"/>
      <c r="AD88" s="198"/>
      <c r="AE88" s="198"/>
      <c r="AF88" s="198"/>
      <c r="AG88" s="198"/>
      <c r="AH88" s="198"/>
      <c r="AI88" s="198"/>
      <c r="AJ88" s="198"/>
      <c r="AK88" s="198"/>
      <c r="AL88" s="198"/>
      <c r="AM88" s="52"/>
      <c r="AN88" s="52"/>
      <c r="AO88" s="52"/>
      <c r="AP88" s="52"/>
      <c r="AQ88" s="52"/>
    </row>
    <row r="89" spans="1:43">
      <c r="A89" s="331">
        <v>45195</v>
      </c>
      <c r="B89" s="332">
        <v>4273.53</v>
      </c>
      <c r="C89" s="30">
        <v>395.38</v>
      </c>
      <c r="D89" s="22">
        <f t="shared" si="2"/>
        <v>-2.2926604452919115E-4</v>
      </c>
      <c r="E89" s="22">
        <f t="shared" si="3"/>
        <v>-2.528572873470788E-4</v>
      </c>
      <c r="F89" s="12"/>
      <c r="G89" s="12"/>
      <c r="H89" s="3"/>
      <c r="I89" s="3"/>
      <c r="J89" s="3"/>
      <c r="K89" s="3"/>
      <c r="L89" s="3"/>
      <c r="M89" s="3"/>
      <c r="N89" s="3"/>
      <c r="O89" s="3"/>
      <c r="P89" s="3"/>
      <c r="Q89" s="3"/>
      <c r="R89" s="3"/>
      <c r="S89" s="3"/>
      <c r="T89" s="3"/>
      <c r="U89" s="3"/>
      <c r="V89" s="47"/>
      <c r="W89" s="47"/>
      <c r="X89" s="47"/>
      <c r="Y89" s="47"/>
      <c r="Z89" s="47"/>
      <c r="AA89" s="198"/>
      <c r="AB89" s="198"/>
      <c r="AC89" s="198"/>
      <c r="AD89" s="198"/>
      <c r="AE89" s="198"/>
      <c r="AF89" s="198"/>
      <c r="AG89" s="198"/>
      <c r="AH89" s="198"/>
      <c r="AI89" s="198"/>
      <c r="AJ89" s="198"/>
      <c r="AK89" s="198"/>
      <c r="AL89" s="198"/>
      <c r="AM89" s="52"/>
      <c r="AN89" s="52"/>
      <c r="AO89" s="52"/>
      <c r="AP89" s="52"/>
      <c r="AQ89" s="52"/>
    </row>
    <row r="90" spans="1:43">
      <c r="A90" s="331">
        <v>45194</v>
      </c>
      <c r="B90" s="332">
        <v>4337.4399999999996</v>
      </c>
      <c r="C90" s="30">
        <v>402.49</v>
      </c>
      <c r="D90" s="22">
        <f t="shared" si="2"/>
        <v>1.4954849971803137E-2</v>
      </c>
      <c r="E90" s="22">
        <f t="shared" si="3"/>
        <v>1.7982700187161752E-2</v>
      </c>
      <c r="F90" s="12"/>
      <c r="G90" s="12"/>
      <c r="H90" s="3"/>
      <c r="I90" s="3"/>
      <c r="J90" s="3"/>
      <c r="K90" s="3"/>
      <c r="L90" s="3"/>
      <c r="M90" s="3"/>
      <c r="N90" s="3"/>
      <c r="O90" s="3"/>
      <c r="P90" s="3"/>
      <c r="Q90" s="3"/>
      <c r="R90" s="3"/>
      <c r="S90" s="3"/>
      <c r="T90" s="3"/>
      <c r="U90" s="3"/>
      <c r="V90" s="47"/>
      <c r="W90" s="47"/>
      <c r="X90" s="47"/>
      <c r="Y90" s="47"/>
      <c r="Z90" s="47"/>
      <c r="AA90" s="198"/>
      <c r="AB90" s="198"/>
      <c r="AC90" s="198"/>
      <c r="AD90" s="198"/>
      <c r="AE90" s="198"/>
      <c r="AF90" s="198"/>
      <c r="AG90" s="198"/>
      <c r="AH90" s="198"/>
      <c r="AI90" s="198"/>
      <c r="AJ90" s="198"/>
      <c r="AK90" s="198"/>
      <c r="AL90" s="198"/>
      <c r="AM90" s="52"/>
      <c r="AN90" s="52"/>
      <c r="AO90" s="52"/>
      <c r="AP90" s="52"/>
      <c r="AQ90" s="52"/>
    </row>
    <row r="91" spans="1:43">
      <c r="A91" s="331">
        <v>45191</v>
      </c>
      <c r="B91" s="332">
        <v>4320.0600000000004</v>
      </c>
      <c r="C91" s="30">
        <v>402.22</v>
      </c>
      <c r="D91" s="22">
        <f t="shared" si="2"/>
        <v>-4.0069718543655243E-3</v>
      </c>
      <c r="E91" s="22">
        <f t="shared" si="3"/>
        <v>-6.7082411985386423E-4</v>
      </c>
      <c r="F91" s="12"/>
      <c r="G91" s="12"/>
      <c r="H91" s="3"/>
      <c r="I91" s="3"/>
      <c r="J91" s="3"/>
      <c r="K91" s="3"/>
      <c r="L91" s="3"/>
      <c r="M91" s="3"/>
      <c r="N91" s="3"/>
      <c r="O91" s="3"/>
      <c r="P91" s="3"/>
      <c r="Q91" s="3"/>
      <c r="R91" s="3"/>
      <c r="S91" s="3"/>
      <c r="T91" s="3"/>
      <c r="U91" s="3"/>
      <c r="V91" s="47"/>
      <c r="W91" s="47"/>
      <c r="X91" s="47"/>
      <c r="Y91" s="47"/>
      <c r="Z91" s="47"/>
      <c r="AA91" s="198"/>
      <c r="AB91" s="198"/>
      <c r="AC91" s="198"/>
      <c r="AD91" s="198"/>
      <c r="AE91" s="198"/>
      <c r="AF91" s="198"/>
      <c r="AG91" s="198"/>
      <c r="AH91" s="198"/>
      <c r="AI91" s="198"/>
      <c r="AJ91" s="198"/>
      <c r="AK91" s="198"/>
      <c r="AL91" s="198"/>
      <c r="AM91" s="52"/>
      <c r="AN91" s="52"/>
      <c r="AO91" s="52"/>
      <c r="AP91" s="52"/>
      <c r="AQ91" s="52"/>
    </row>
    <row r="92" spans="1:43">
      <c r="A92" s="331">
        <v>45190</v>
      </c>
      <c r="B92" s="332">
        <v>4330</v>
      </c>
      <c r="C92" s="30">
        <v>403.36</v>
      </c>
      <c r="D92" s="22">
        <f t="shared" si="2"/>
        <v>2.3008939690651515E-3</v>
      </c>
      <c r="E92" s="22">
        <f t="shared" si="3"/>
        <v>2.8342698025955603E-3</v>
      </c>
      <c r="F92" s="12"/>
      <c r="G92" s="12"/>
      <c r="H92" s="3"/>
      <c r="I92" s="3"/>
      <c r="J92" s="3"/>
      <c r="K92" s="3"/>
      <c r="L92" s="3"/>
      <c r="M92" s="3"/>
      <c r="N92" s="3"/>
      <c r="O92" s="3"/>
      <c r="P92" s="3"/>
      <c r="Q92" s="3"/>
      <c r="R92" s="3"/>
      <c r="S92" s="3"/>
      <c r="T92" s="3"/>
      <c r="U92" s="3"/>
      <c r="V92" s="47"/>
      <c r="W92" s="47"/>
      <c r="X92" s="47"/>
      <c r="Y92" s="47"/>
      <c r="Z92" s="47"/>
      <c r="AA92" s="198"/>
      <c r="AB92" s="198"/>
      <c r="AC92" s="198"/>
      <c r="AD92" s="198"/>
      <c r="AE92" s="198"/>
      <c r="AF92" s="198"/>
      <c r="AG92" s="198"/>
      <c r="AH92" s="198"/>
      <c r="AI92" s="198"/>
      <c r="AJ92" s="198"/>
      <c r="AK92" s="198"/>
      <c r="AL92" s="198"/>
      <c r="AM92" s="52"/>
      <c r="AN92" s="52"/>
      <c r="AO92" s="52"/>
      <c r="AP92" s="52"/>
      <c r="AQ92" s="52"/>
    </row>
    <row r="93" spans="1:43">
      <c r="A93" s="331">
        <v>45189</v>
      </c>
      <c r="B93" s="332">
        <v>4402.2</v>
      </c>
      <c r="C93" s="30">
        <v>410.52</v>
      </c>
      <c r="D93" s="22">
        <f t="shared" si="2"/>
        <v>1.6674364896073861E-2</v>
      </c>
      <c r="E93" s="22">
        <f t="shared" si="3"/>
        <v>1.775089250297493E-2</v>
      </c>
      <c r="F93" s="12"/>
      <c r="G93" s="12"/>
      <c r="H93" s="3"/>
      <c r="I93" s="3"/>
      <c r="J93" s="3"/>
      <c r="K93" s="3"/>
      <c r="L93" s="3"/>
      <c r="M93" s="3"/>
      <c r="N93" s="3"/>
      <c r="O93" s="3"/>
      <c r="P93" s="3"/>
      <c r="Q93" s="3"/>
      <c r="R93" s="3"/>
      <c r="S93" s="3"/>
      <c r="T93" s="3"/>
      <c r="U93" s="3"/>
      <c r="V93" s="47"/>
      <c r="W93" s="47"/>
      <c r="X93" s="47"/>
      <c r="Y93" s="47"/>
      <c r="Z93" s="47"/>
      <c r="AA93" s="198"/>
      <c r="AB93" s="198"/>
      <c r="AC93" s="198"/>
      <c r="AD93" s="198"/>
      <c r="AE93" s="198"/>
      <c r="AF93" s="198"/>
      <c r="AG93" s="198"/>
      <c r="AH93" s="198"/>
      <c r="AI93" s="198"/>
      <c r="AJ93" s="198"/>
      <c r="AK93" s="198"/>
      <c r="AL93" s="198"/>
      <c r="AM93" s="52"/>
      <c r="AN93" s="52"/>
      <c r="AO93" s="52"/>
      <c r="AP93" s="52"/>
      <c r="AQ93" s="52"/>
    </row>
    <row r="94" spans="1:43">
      <c r="A94" s="331">
        <v>45188</v>
      </c>
      <c r="B94" s="332">
        <v>4443.95</v>
      </c>
      <c r="C94" s="30">
        <v>413.53</v>
      </c>
      <c r="D94" s="22">
        <f t="shared" si="2"/>
        <v>9.4838944164281503E-3</v>
      </c>
      <c r="E94" s="22">
        <f t="shared" si="3"/>
        <v>7.3321640845756385E-3</v>
      </c>
      <c r="F94" s="12"/>
      <c r="G94" s="12"/>
      <c r="H94" s="3"/>
      <c r="I94" s="3"/>
      <c r="J94" s="3"/>
      <c r="K94" s="3"/>
      <c r="L94" s="3"/>
      <c r="M94" s="3"/>
      <c r="N94" s="3"/>
      <c r="O94" s="3"/>
      <c r="P94" s="3"/>
      <c r="Q94" s="3"/>
      <c r="R94" s="3"/>
      <c r="S94" s="3"/>
      <c r="T94" s="3"/>
      <c r="U94" s="3"/>
      <c r="V94" s="47"/>
      <c r="W94" s="47"/>
      <c r="X94" s="47"/>
      <c r="Y94" s="47"/>
      <c r="Z94" s="47"/>
      <c r="AA94" s="198"/>
      <c r="AB94" s="198"/>
      <c r="AC94" s="198"/>
      <c r="AD94" s="198"/>
      <c r="AE94" s="198"/>
      <c r="AF94" s="198"/>
      <c r="AG94" s="198"/>
      <c r="AH94" s="198"/>
      <c r="AI94" s="198"/>
      <c r="AJ94" s="198"/>
      <c r="AK94" s="198"/>
      <c r="AL94" s="198"/>
      <c r="AM94" s="52"/>
      <c r="AN94" s="52"/>
      <c r="AO94" s="52"/>
      <c r="AP94" s="52"/>
      <c r="AQ94" s="52"/>
    </row>
    <row r="95" spans="1:43">
      <c r="A95" s="331">
        <v>45187</v>
      </c>
      <c r="B95" s="332">
        <v>4453.53</v>
      </c>
      <c r="C95" s="30">
        <v>417.13</v>
      </c>
      <c r="D95" s="22">
        <f t="shared" si="2"/>
        <v>2.1557398260556326E-3</v>
      </c>
      <c r="E95" s="22">
        <f t="shared" si="3"/>
        <v>8.705535269508919E-3</v>
      </c>
      <c r="F95" s="12"/>
      <c r="G95" s="12"/>
      <c r="H95" s="3"/>
      <c r="I95" s="3"/>
      <c r="J95" s="3"/>
      <c r="K95" s="3"/>
      <c r="L95" s="3"/>
      <c r="M95" s="3"/>
      <c r="N95" s="3"/>
      <c r="O95" s="3"/>
      <c r="P95" s="3"/>
      <c r="Q95" s="3"/>
      <c r="R95" s="3"/>
      <c r="S95" s="3"/>
      <c r="T95" s="3"/>
      <c r="U95" s="3"/>
      <c r="V95" s="47"/>
      <c r="W95" s="47"/>
      <c r="X95" s="47"/>
      <c r="Y95" s="47"/>
      <c r="Z95" s="47"/>
      <c r="AA95" s="198"/>
      <c r="AB95" s="198"/>
      <c r="AC95" s="198"/>
      <c r="AD95" s="198"/>
      <c r="AE95" s="198"/>
      <c r="AF95" s="198"/>
      <c r="AG95" s="198"/>
      <c r="AH95" s="198"/>
      <c r="AI95" s="198"/>
      <c r="AJ95" s="198"/>
      <c r="AK95" s="198"/>
      <c r="AL95" s="198"/>
      <c r="AM95" s="52"/>
      <c r="AN95" s="52"/>
      <c r="AO95" s="52"/>
      <c r="AP95" s="52"/>
      <c r="AQ95" s="52"/>
    </row>
    <row r="96" spans="1:43">
      <c r="A96" s="331">
        <v>45184</v>
      </c>
      <c r="B96" s="332">
        <v>4450.32</v>
      </c>
      <c r="C96" s="30">
        <v>414.31</v>
      </c>
      <c r="D96" s="22">
        <f t="shared" si="2"/>
        <v>-7.2077655253249373E-4</v>
      </c>
      <c r="E96" s="22">
        <f t="shared" si="3"/>
        <v>-6.7604823436338626E-3</v>
      </c>
      <c r="F96" s="12"/>
      <c r="G96" s="12"/>
      <c r="H96" s="3"/>
      <c r="I96" s="3"/>
      <c r="J96" s="3"/>
      <c r="K96" s="3"/>
      <c r="L96" s="3"/>
      <c r="M96" s="3"/>
      <c r="N96" s="3"/>
      <c r="O96" s="3"/>
      <c r="P96" s="3"/>
      <c r="Q96" s="3"/>
      <c r="R96" s="3"/>
      <c r="S96" s="3"/>
      <c r="T96" s="3"/>
      <c r="U96" s="3"/>
      <c r="V96" s="47"/>
      <c r="W96" s="47"/>
      <c r="X96" s="47"/>
      <c r="Y96" s="47"/>
      <c r="Z96" s="47"/>
      <c r="AA96" s="198"/>
      <c r="AB96" s="198"/>
      <c r="AC96" s="198"/>
      <c r="AD96" s="198"/>
      <c r="AE96" s="198"/>
      <c r="AF96" s="198"/>
      <c r="AG96" s="198"/>
      <c r="AH96" s="198"/>
      <c r="AI96" s="198"/>
      <c r="AJ96" s="198"/>
      <c r="AK96" s="198"/>
      <c r="AL96" s="198"/>
      <c r="AM96" s="52"/>
      <c r="AN96" s="52"/>
      <c r="AO96" s="52"/>
      <c r="AP96" s="52"/>
      <c r="AQ96" s="52"/>
    </row>
    <row r="97" spans="1:43">
      <c r="A97" s="331">
        <v>45183</v>
      </c>
      <c r="B97" s="332">
        <v>4505.1000000000004</v>
      </c>
      <c r="C97" s="30">
        <v>413.34</v>
      </c>
      <c r="D97" s="22">
        <f t="shared" si="2"/>
        <v>1.2309227201639581E-2</v>
      </c>
      <c r="E97" s="22">
        <f t="shared" si="3"/>
        <v>-2.3412420651203864E-3</v>
      </c>
      <c r="F97" s="12"/>
      <c r="G97" s="12"/>
      <c r="H97" s="3"/>
      <c r="I97" s="3"/>
      <c r="J97" s="3"/>
      <c r="K97" s="3"/>
      <c r="L97" s="3"/>
      <c r="M97" s="3"/>
      <c r="N97" s="3"/>
      <c r="O97" s="3"/>
      <c r="P97" s="3"/>
      <c r="Q97" s="3"/>
      <c r="R97" s="3"/>
      <c r="S97" s="3"/>
      <c r="T97" s="3"/>
      <c r="U97" s="3"/>
      <c r="V97" s="47"/>
      <c r="W97" s="47"/>
      <c r="X97" s="47"/>
      <c r="Y97" s="47"/>
      <c r="Z97" s="47"/>
      <c r="AA97" s="198"/>
      <c r="AB97" s="198"/>
      <c r="AC97" s="198"/>
      <c r="AD97" s="198"/>
      <c r="AE97" s="198"/>
      <c r="AF97" s="198"/>
      <c r="AG97" s="198"/>
      <c r="AH97" s="198"/>
      <c r="AI97" s="198"/>
      <c r="AJ97" s="198"/>
      <c r="AK97" s="198"/>
      <c r="AL97" s="198"/>
      <c r="AM97" s="52"/>
      <c r="AN97" s="52"/>
      <c r="AO97" s="52"/>
      <c r="AP97" s="52"/>
      <c r="AQ97" s="52"/>
    </row>
    <row r="98" spans="1:43">
      <c r="A98" s="331">
        <v>45182</v>
      </c>
      <c r="B98" s="332">
        <v>4467.4399999999996</v>
      </c>
      <c r="C98" s="30">
        <v>416.3</v>
      </c>
      <c r="D98" s="22">
        <f t="shared" si="2"/>
        <v>-8.3594148853523252E-3</v>
      </c>
      <c r="E98" s="22">
        <f t="shared" si="3"/>
        <v>7.1611748197610604E-3</v>
      </c>
      <c r="F98" s="12"/>
      <c r="G98" s="12"/>
      <c r="H98" s="3"/>
      <c r="I98" s="3"/>
      <c r="J98" s="3"/>
      <c r="K98" s="3"/>
      <c r="L98" s="3"/>
      <c r="M98" s="3"/>
      <c r="N98" s="3"/>
      <c r="O98" s="3"/>
      <c r="P98" s="3"/>
      <c r="Q98" s="3"/>
      <c r="R98" s="3"/>
      <c r="S98" s="3"/>
      <c r="T98" s="3"/>
      <c r="U98" s="3"/>
      <c r="V98" s="47"/>
      <c r="W98" s="47"/>
      <c r="X98" s="47"/>
      <c r="Y98" s="47"/>
      <c r="Z98" s="47"/>
      <c r="AA98" s="198"/>
      <c r="AB98" s="198"/>
      <c r="AC98" s="198"/>
      <c r="AD98" s="198"/>
      <c r="AE98" s="198"/>
      <c r="AF98" s="198"/>
      <c r="AG98" s="198"/>
      <c r="AH98" s="198"/>
      <c r="AI98" s="198"/>
      <c r="AJ98" s="198"/>
      <c r="AK98" s="198"/>
      <c r="AL98" s="198"/>
      <c r="AM98" s="52"/>
      <c r="AN98" s="52"/>
      <c r="AO98" s="52"/>
      <c r="AP98" s="52"/>
      <c r="AQ98" s="52"/>
    </row>
    <row r="99" spans="1:43">
      <c r="A99" s="331">
        <v>45181</v>
      </c>
      <c r="B99" s="332">
        <v>4461.8999999999996</v>
      </c>
      <c r="C99" s="30">
        <v>416.27</v>
      </c>
      <c r="D99" s="22">
        <f t="shared" si="2"/>
        <v>-1.2400838063857521E-3</v>
      </c>
      <c r="E99" s="22">
        <f t="shared" si="3"/>
        <v>-7.2063415805980201E-5</v>
      </c>
      <c r="F99" s="12"/>
      <c r="G99" s="12"/>
      <c r="H99" s="3"/>
      <c r="I99" s="3"/>
      <c r="J99" s="3"/>
      <c r="K99" s="3"/>
      <c r="L99" s="3"/>
      <c r="M99" s="3"/>
      <c r="N99" s="3"/>
      <c r="O99" s="3"/>
      <c r="P99" s="3"/>
      <c r="Q99" s="3"/>
      <c r="R99" s="3"/>
      <c r="S99" s="3"/>
      <c r="T99" s="3"/>
      <c r="U99" s="3"/>
      <c r="V99" s="47"/>
      <c r="W99" s="47"/>
      <c r="X99" s="47"/>
      <c r="Y99" s="47"/>
      <c r="Z99" s="47"/>
      <c r="AA99" s="198"/>
      <c r="AB99" s="198"/>
      <c r="AC99" s="198"/>
      <c r="AD99" s="198"/>
      <c r="AE99" s="198"/>
      <c r="AF99" s="198"/>
      <c r="AG99" s="198"/>
      <c r="AH99" s="198"/>
      <c r="AI99" s="198"/>
      <c r="AJ99" s="198"/>
      <c r="AK99" s="198"/>
      <c r="AL99" s="198"/>
      <c r="AM99" s="52"/>
      <c r="AN99" s="52"/>
      <c r="AO99" s="52"/>
      <c r="AP99" s="52"/>
      <c r="AQ99" s="52"/>
    </row>
    <row r="100" spans="1:43">
      <c r="A100" s="331">
        <v>45180</v>
      </c>
      <c r="B100" s="332">
        <v>4487.46</v>
      </c>
      <c r="C100" s="30">
        <v>416.69</v>
      </c>
      <c r="D100" s="22">
        <f t="shared" si="2"/>
        <v>5.7285013111007419E-3</v>
      </c>
      <c r="E100" s="22">
        <f t="shared" si="3"/>
        <v>1.0089605304250029E-3</v>
      </c>
      <c r="F100" s="12"/>
      <c r="G100" s="12"/>
      <c r="H100" s="3"/>
      <c r="I100" s="3"/>
      <c r="J100" s="3"/>
      <c r="K100" s="3"/>
      <c r="L100" s="3"/>
      <c r="M100" s="3"/>
      <c r="N100" s="3"/>
      <c r="O100" s="3"/>
      <c r="P100" s="3"/>
      <c r="Q100" s="3"/>
      <c r="R100" s="3"/>
      <c r="S100" s="3"/>
      <c r="T100" s="3"/>
      <c r="U100" s="3"/>
      <c r="V100" s="47"/>
      <c r="W100" s="47"/>
      <c r="X100" s="47"/>
      <c r="Y100" s="47"/>
      <c r="Z100" s="47"/>
      <c r="AA100" s="198"/>
      <c r="AB100" s="198"/>
      <c r="AC100" s="198"/>
      <c r="AD100" s="198"/>
      <c r="AE100" s="198"/>
      <c r="AF100" s="198"/>
      <c r="AG100" s="198"/>
      <c r="AH100" s="198"/>
      <c r="AI100" s="198"/>
      <c r="AJ100" s="198"/>
      <c r="AK100" s="198"/>
      <c r="AL100" s="198"/>
      <c r="AM100" s="52"/>
      <c r="AN100" s="52"/>
      <c r="AO100" s="52"/>
      <c r="AP100" s="52"/>
      <c r="AQ100" s="52"/>
    </row>
    <row r="101" spans="1:43">
      <c r="A101" s="331">
        <v>45177</v>
      </c>
      <c r="B101" s="332">
        <v>4457.49</v>
      </c>
      <c r="C101" s="30">
        <v>414.84</v>
      </c>
      <c r="D101" s="22">
        <f t="shared" si="2"/>
        <v>-6.6786110628284717E-3</v>
      </c>
      <c r="E101" s="22">
        <f t="shared" si="3"/>
        <v>-4.4397513739231152E-3</v>
      </c>
      <c r="F101" s="12"/>
      <c r="G101" s="12"/>
      <c r="H101" s="3"/>
      <c r="I101" s="3"/>
      <c r="J101" s="3"/>
      <c r="K101" s="3"/>
      <c r="L101" s="3"/>
      <c r="M101" s="3"/>
      <c r="N101" s="3"/>
      <c r="O101" s="3"/>
      <c r="P101" s="3"/>
      <c r="Q101" s="3"/>
      <c r="R101" s="3"/>
      <c r="S101" s="3"/>
      <c r="T101" s="3"/>
      <c r="U101" s="3"/>
      <c r="V101" s="47"/>
      <c r="W101" s="47"/>
      <c r="X101" s="47"/>
      <c r="Y101" s="47"/>
      <c r="Z101" s="47"/>
      <c r="AA101" s="198"/>
      <c r="AB101" s="198"/>
      <c r="AC101" s="198"/>
      <c r="AD101" s="198"/>
      <c r="AE101" s="198"/>
      <c r="AF101" s="198"/>
      <c r="AG101" s="198"/>
      <c r="AH101" s="198"/>
      <c r="AI101" s="198"/>
      <c r="AJ101" s="198"/>
      <c r="AK101" s="198"/>
      <c r="AL101" s="198"/>
      <c r="AM101" s="52"/>
      <c r="AN101" s="52"/>
      <c r="AO101" s="52"/>
      <c r="AP101" s="52"/>
      <c r="AQ101" s="52"/>
    </row>
    <row r="102" spans="1:43">
      <c r="A102" s="331">
        <v>45176</v>
      </c>
      <c r="B102" s="332">
        <v>4451.1400000000003</v>
      </c>
      <c r="C102" s="30">
        <v>414.62</v>
      </c>
      <c r="D102" s="22">
        <f t="shared" si="2"/>
        <v>-1.4245685352069111E-3</v>
      </c>
      <c r="E102" s="22">
        <f t="shared" si="3"/>
        <v>-5.3032494455686641E-4</v>
      </c>
      <c r="F102" s="12"/>
      <c r="G102" s="12"/>
      <c r="H102" s="3"/>
      <c r="I102" s="3"/>
      <c r="J102" s="3"/>
      <c r="K102" s="3"/>
      <c r="L102" s="3"/>
      <c r="M102" s="3"/>
      <c r="N102" s="3"/>
      <c r="O102" s="3"/>
      <c r="P102" s="3"/>
      <c r="Q102" s="3"/>
      <c r="R102" s="3"/>
      <c r="S102" s="3"/>
      <c r="T102" s="3"/>
      <c r="U102" s="3"/>
      <c r="V102" s="47"/>
      <c r="W102" s="47"/>
      <c r="X102" s="47"/>
      <c r="Y102" s="47"/>
      <c r="Z102" s="47"/>
      <c r="AA102" s="198"/>
      <c r="AB102" s="198"/>
      <c r="AC102" s="198"/>
      <c r="AD102" s="198"/>
      <c r="AE102" s="198"/>
      <c r="AF102" s="198"/>
      <c r="AG102" s="198"/>
      <c r="AH102" s="198"/>
      <c r="AI102" s="198"/>
      <c r="AJ102" s="198"/>
      <c r="AK102" s="198"/>
      <c r="AL102" s="198"/>
      <c r="AM102" s="52"/>
      <c r="AN102" s="52"/>
      <c r="AO102" s="52"/>
      <c r="AP102" s="52"/>
      <c r="AQ102" s="52"/>
    </row>
    <row r="103" spans="1:43">
      <c r="A103" s="331">
        <v>45175</v>
      </c>
      <c r="B103" s="332">
        <v>4465.4799999999996</v>
      </c>
      <c r="C103" s="30">
        <v>413.18</v>
      </c>
      <c r="D103" s="22">
        <f t="shared" si="2"/>
        <v>3.2216465894128773E-3</v>
      </c>
      <c r="E103" s="22">
        <f t="shared" si="3"/>
        <v>-3.4730596690945872E-3</v>
      </c>
      <c r="F103" s="12"/>
      <c r="G103" s="12"/>
      <c r="H103" s="3"/>
      <c r="I103" s="3"/>
      <c r="J103" s="3"/>
      <c r="K103" s="3"/>
      <c r="L103" s="3"/>
      <c r="M103" s="3"/>
      <c r="N103" s="3"/>
      <c r="O103" s="3"/>
      <c r="P103" s="3"/>
      <c r="Q103" s="3"/>
      <c r="R103" s="3"/>
      <c r="S103" s="3"/>
      <c r="T103" s="3"/>
      <c r="U103" s="3"/>
      <c r="V103" s="47"/>
      <c r="W103" s="47"/>
      <c r="X103" s="47"/>
      <c r="Y103" s="47"/>
      <c r="Z103" s="47"/>
      <c r="AA103" s="198"/>
      <c r="AB103" s="198"/>
      <c r="AC103" s="198"/>
      <c r="AD103" s="198"/>
      <c r="AE103" s="198"/>
      <c r="AF103" s="198"/>
      <c r="AG103" s="198"/>
      <c r="AH103" s="198"/>
      <c r="AI103" s="198"/>
      <c r="AJ103" s="198"/>
      <c r="AK103" s="198"/>
      <c r="AL103" s="198"/>
      <c r="AM103" s="52"/>
      <c r="AN103" s="52"/>
      <c r="AO103" s="52"/>
      <c r="AP103" s="52"/>
      <c r="AQ103" s="52"/>
    </row>
    <row r="104" spans="1:43">
      <c r="A104" s="331">
        <v>45174</v>
      </c>
      <c r="B104" s="332">
        <v>4496.83</v>
      </c>
      <c r="C104" s="30">
        <v>411.5</v>
      </c>
      <c r="D104" s="22">
        <f t="shared" si="2"/>
        <v>7.0205218699894226E-3</v>
      </c>
      <c r="E104" s="22">
        <f t="shared" si="3"/>
        <v>-4.0660244929570811E-3</v>
      </c>
      <c r="F104" s="12"/>
      <c r="G104" s="12"/>
      <c r="H104" s="3"/>
      <c r="I104" s="3"/>
      <c r="J104" s="3"/>
      <c r="K104" s="3"/>
      <c r="L104" s="3"/>
      <c r="M104" s="3"/>
      <c r="N104" s="3"/>
      <c r="O104" s="3"/>
      <c r="P104" s="3"/>
      <c r="Q104" s="3"/>
      <c r="R104" s="3"/>
      <c r="S104" s="3"/>
      <c r="T104" s="3"/>
      <c r="U104" s="3"/>
      <c r="V104" s="47"/>
      <c r="W104" s="47"/>
      <c r="X104" s="47"/>
      <c r="Y104" s="47"/>
      <c r="Z104" s="47"/>
      <c r="AA104" s="198"/>
      <c r="AB104" s="198"/>
      <c r="AC104" s="198"/>
      <c r="AD104" s="198"/>
      <c r="AE104" s="198"/>
      <c r="AF104" s="198"/>
      <c r="AG104" s="198"/>
      <c r="AH104" s="198"/>
      <c r="AI104" s="198"/>
      <c r="AJ104" s="198"/>
      <c r="AK104" s="198"/>
      <c r="AL104" s="198"/>
      <c r="AM104" s="52"/>
      <c r="AN104" s="52"/>
      <c r="AO104" s="52"/>
      <c r="AP104" s="52"/>
      <c r="AQ104" s="52"/>
    </row>
    <row r="105" spans="1:43">
      <c r="A105" s="331">
        <v>45170</v>
      </c>
      <c r="B105" s="332">
        <v>4515.7700000000004</v>
      </c>
      <c r="C105" s="30">
        <v>415.57</v>
      </c>
      <c r="D105" s="22">
        <f t="shared" si="2"/>
        <v>4.2118559073837589E-3</v>
      </c>
      <c r="E105" s="22">
        <f t="shared" si="3"/>
        <v>9.8906439854191813E-3</v>
      </c>
      <c r="F105" s="12"/>
      <c r="G105" s="12"/>
      <c r="H105" s="3"/>
      <c r="I105" s="3"/>
      <c r="J105" s="3"/>
      <c r="K105" s="3"/>
      <c r="L105" s="3"/>
      <c r="M105" s="3"/>
      <c r="N105" s="3"/>
      <c r="O105" s="3"/>
      <c r="P105" s="3"/>
      <c r="Q105" s="3"/>
      <c r="R105" s="3"/>
      <c r="S105" s="3"/>
      <c r="T105" s="3"/>
      <c r="U105" s="3"/>
      <c r="V105" s="47"/>
      <c r="W105" s="47"/>
      <c r="X105" s="47"/>
      <c r="Y105" s="47"/>
      <c r="Z105" s="47"/>
      <c r="AA105" s="198"/>
      <c r="AB105" s="198"/>
      <c r="AC105" s="198"/>
      <c r="AD105" s="198"/>
      <c r="AE105" s="198"/>
      <c r="AF105" s="198"/>
      <c r="AG105" s="198"/>
      <c r="AH105" s="198"/>
      <c r="AI105" s="198"/>
      <c r="AJ105" s="198"/>
      <c r="AK105" s="198"/>
      <c r="AL105" s="198"/>
      <c r="AM105" s="52"/>
      <c r="AN105" s="52"/>
      <c r="AO105" s="52"/>
      <c r="AP105" s="52"/>
      <c r="AQ105" s="52"/>
    </row>
    <row r="106" spans="1:43">
      <c r="A106" s="331">
        <v>45169</v>
      </c>
      <c r="B106" s="332">
        <v>4507.66</v>
      </c>
      <c r="C106" s="30">
        <v>412.64</v>
      </c>
      <c r="D106" s="22">
        <f t="shared" si="2"/>
        <v>-1.7959284906008458E-3</v>
      </c>
      <c r="E106" s="22">
        <f t="shared" si="3"/>
        <v>-7.0505570661982507E-3</v>
      </c>
      <c r="F106" s="12"/>
      <c r="G106" s="12"/>
      <c r="H106" s="3"/>
      <c r="I106" s="3"/>
      <c r="J106" s="3"/>
      <c r="K106" s="3"/>
      <c r="L106" s="3"/>
      <c r="M106" s="3"/>
      <c r="N106" s="3"/>
      <c r="O106" s="3"/>
      <c r="P106" s="3"/>
      <c r="Q106" s="3"/>
      <c r="R106" s="3"/>
      <c r="S106" s="3"/>
      <c r="T106" s="3"/>
      <c r="U106" s="3"/>
      <c r="V106" s="47"/>
      <c r="W106" s="47"/>
      <c r="X106" s="47"/>
      <c r="Y106" s="47"/>
      <c r="Z106" s="47"/>
      <c r="AA106" s="198"/>
      <c r="AB106" s="198"/>
      <c r="AC106" s="198"/>
      <c r="AD106" s="198"/>
      <c r="AE106" s="198"/>
      <c r="AF106" s="198"/>
      <c r="AG106" s="198"/>
      <c r="AH106" s="198"/>
      <c r="AI106" s="198"/>
      <c r="AJ106" s="198"/>
      <c r="AK106" s="198"/>
      <c r="AL106" s="198"/>
      <c r="AM106" s="52"/>
      <c r="AN106" s="52"/>
      <c r="AO106" s="52"/>
      <c r="AP106" s="52"/>
      <c r="AQ106" s="52"/>
    </row>
    <row r="107" spans="1:43">
      <c r="A107" s="331">
        <v>45168</v>
      </c>
      <c r="B107" s="332">
        <v>4514.87</v>
      </c>
      <c r="C107" s="30">
        <v>413.91</v>
      </c>
      <c r="D107" s="22">
        <f t="shared" si="2"/>
        <v>1.5994995185972403E-3</v>
      </c>
      <c r="E107" s="22">
        <f t="shared" si="3"/>
        <v>3.0777433113610866E-3</v>
      </c>
      <c r="F107" s="12"/>
      <c r="G107" s="12"/>
      <c r="H107" s="3"/>
      <c r="I107" s="3"/>
      <c r="J107" s="3"/>
      <c r="K107" s="3"/>
      <c r="L107" s="3"/>
      <c r="M107" s="3"/>
      <c r="N107" s="3"/>
      <c r="O107" s="3"/>
      <c r="P107" s="3"/>
      <c r="Q107" s="3"/>
      <c r="R107" s="3"/>
      <c r="S107" s="3"/>
      <c r="T107" s="3"/>
      <c r="U107" s="3"/>
      <c r="V107" s="47"/>
      <c r="W107" s="47"/>
      <c r="X107" s="47"/>
      <c r="Y107" s="47"/>
      <c r="Z107" s="47"/>
      <c r="AA107" s="198"/>
      <c r="AB107" s="198"/>
      <c r="AC107" s="198"/>
      <c r="AD107" s="198"/>
      <c r="AE107" s="198"/>
      <c r="AF107" s="198"/>
      <c r="AG107" s="198"/>
      <c r="AH107" s="198"/>
      <c r="AI107" s="198"/>
      <c r="AJ107" s="198"/>
      <c r="AK107" s="198"/>
      <c r="AL107" s="198"/>
      <c r="AM107" s="52"/>
      <c r="AN107" s="52"/>
      <c r="AO107" s="52"/>
      <c r="AP107" s="52"/>
      <c r="AQ107" s="52"/>
    </row>
    <row r="108" spans="1:43">
      <c r="A108" s="331">
        <v>45167</v>
      </c>
      <c r="B108" s="332">
        <v>4497.63</v>
      </c>
      <c r="C108" s="30">
        <v>411.65</v>
      </c>
      <c r="D108" s="22">
        <f t="shared" si="2"/>
        <v>-3.8184931127584584E-3</v>
      </c>
      <c r="E108" s="22">
        <f t="shared" si="3"/>
        <v>-5.4601241815854839E-3</v>
      </c>
      <c r="F108" s="12"/>
      <c r="G108" s="12"/>
      <c r="H108" s="3"/>
      <c r="I108" s="3"/>
      <c r="J108" s="3"/>
      <c r="K108" s="3"/>
      <c r="L108" s="3"/>
      <c r="M108" s="3"/>
      <c r="N108" s="3"/>
      <c r="O108" s="3"/>
      <c r="P108" s="3"/>
      <c r="Q108" s="3"/>
      <c r="R108" s="3"/>
      <c r="S108" s="3"/>
      <c r="T108" s="3"/>
      <c r="U108" s="3"/>
      <c r="V108" s="47"/>
      <c r="W108" s="47"/>
      <c r="X108" s="47"/>
      <c r="Y108" s="47"/>
      <c r="Z108" s="47"/>
      <c r="AA108" s="198"/>
      <c r="AB108" s="198"/>
      <c r="AC108" s="198"/>
      <c r="AD108" s="198"/>
      <c r="AE108" s="198"/>
      <c r="AF108" s="198"/>
      <c r="AG108" s="198"/>
      <c r="AH108" s="198"/>
      <c r="AI108" s="198"/>
      <c r="AJ108" s="198"/>
      <c r="AK108" s="198"/>
      <c r="AL108" s="198"/>
      <c r="AM108" s="52"/>
      <c r="AN108" s="52"/>
      <c r="AO108" s="52"/>
      <c r="AP108" s="52"/>
      <c r="AQ108" s="52"/>
    </row>
    <row r="109" spans="1:43">
      <c r="A109" s="331">
        <v>45166</v>
      </c>
      <c r="B109" s="332">
        <v>4433.3100000000004</v>
      </c>
      <c r="C109" s="30">
        <v>407.44</v>
      </c>
      <c r="D109" s="22">
        <f t="shared" si="2"/>
        <v>-1.4300865122297678E-2</v>
      </c>
      <c r="E109" s="22">
        <f t="shared" si="3"/>
        <v>-1.0227134701809741E-2</v>
      </c>
      <c r="F109" s="12"/>
      <c r="G109" s="12"/>
      <c r="H109" s="3"/>
      <c r="I109" s="3"/>
      <c r="J109" s="3"/>
      <c r="K109" s="3"/>
      <c r="L109" s="3"/>
      <c r="M109" s="3"/>
      <c r="N109" s="3"/>
      <c r="O109" s="3"/>
      <c r="P109" s="3"/>
      <c r="Q109" s="3"/>
      <c r="R109" s="3"/>
      <c r="S109" s="3"/>
      <c r="T109" s="3"/>
      <c r="U109" s="3"/>
      <c r="V109" s="47"/>
      <c r="W109" s="47"/>
      <c r="X109" s="47"/>
      <c r="Y109" s="47"/>
      <c r="Z109" s="47"/>
      <c r="AA109" s="198"/>
      <c r="AB109" s="198"/>
      <c r="AC109" s="198"/>
      <c r="AD109" s="198"/>
      <c r="AE109" s="198"/>
      <c r="AF109" s="198"/>
      <c r="AG109" s="198"/>
      <c r="AH109" s="198"/>
      <c r="AI109" s="198"/>
      <c r="AJ109" s="198"/>
      <c r="AK109" s="198"/>
      <c r="AL109" s="198"/>
      <c r="AM109" s="52"/>
      <c r="AN109" s="52"/>
      <c r="AO109" s="52"/>
      <c r="AP109" s="52"/>
      <c r="AQ109" s="52"/>
    </row>
    <row r="110" spans="1:43">
      <c r="A110" s="331">
        <v>45163</v>
      </c>
      <c r="B110" s="332">
        <v>4405.71</v>
      </c>
      <c r="C110" s="30">
        <v>402.89</v>
      </c>
      <c r="D110" s="22">
        <f t="shared" si="2"/>
        <v>-6.2255966760728131E-3</v>
      </c>
      <c r="E110" s="22">
        <f t="shared" si="3"/>
        <v>-1.1167288435107038E-2</v>
      </c>
      <c r="F110" s="12"/>
      <c r="G110" s="12"/>
      <c r="H110" s="3"/>
      <c r="I110" s="3"/>
      <c r="J110" s="3"/>
      <c r="K110" s="3"/>
      <c r="L110" s="3"/>
      <c r="M110" s="3"/>
      <c r="N110" s="3"/>
      <c r="O110" s="3"/>
      <c r="P110" s="3"/>
      <c r="Q110" s="3"/>
      <c r="R110" s="3"/>
      <c r="S110" s="3"/>
      <c r="T110" s="3"/>
      <c r="U110" s="3"/>
      <c r="V110" s="47"/>
      <c r="W110" s="47"/>
      <c r="X110" s="47"/>
      <c r="Y110" s="47"/>
      <c r="Z110" s="47"/>
      <c r="AA110" s="198"/>
      <c r="AB110" s="198"/>
      <c r="AC110" s="198"/>
      <c r="AD110" s="198"/>
      <c r="AE110" s="198"/>
      <c r="AF110" s="198"/>
      <c r="AG110" s="198"/>
      <c r="AH110" s="198"/>
      <c r="AI110" s="198"/>
      <c r="AJ110" s="198"/>
      <c r="AK110" s="198"/>
      <c r="AL110" s="198"/>
      <c r="AM110" s="52"/>
      <c r="AN110" s="52"/>
      <c r="AO110" s="52"/>
      <c r="AP110" s="52"/>
      <c r="AQ110" s="52"/>
    </row>
    <row r="111" spans="1:43">
      <c r="A111" s="331">
        <v>45162</v>
      </c>
      <c r="B111" s="332">
        <v>4376.3100000000004</v>
      </c>
      <c r="C111" s="30">
        <v>397.67</v>
      </c>
      <c r="D111" s="22">
        <f t="shared" si="2"/>
        <v>-6.6731582423717488E-3</v>
      </c>
      <c r="E111" s="22">
        <f t="shared" si="3"/>
        <v>-1.2956390081659934E-2</v>
      </c>
      <c r="F111" s="12"/>
      <c r="G111" s="12"/>
      <c r="H111" s="3"/>
      <c r="I111" s="3"/>
      <c r="J111" s="3"/>
      <c r="K111" s="3"/>
      <c r="L111" s="3"/>
      <c r="M111" s="3"/>
      <c r="N111" s="3"/>
      <c r="O111" s="3"/>
      <c r="P111" s="3"/>
      <c r="Q111" s="3"/>
      <c r="R111" s="3"/>
      <c r="S111" s="3"/>
      <c r="T111" s="3"/>
      <c r="U111" s="3"/>
      <c r="V111" s="47"/>
      <c r="W111" s="47"/>
      <c r="X111" s="47"/>
      <c r="Y111" s="47"/>
      <c r="Z111" s="47"/>
      <c r="AA111" s="198"/>
      <c r="AB111" s="198"/>
      <c r="AC111" s="198"/>
      <c r="AD111" s="198"/>
      <c r="AE111" s="198"/>
      <c r="AF111" s="198"/>
      <c r="AG111" s="198"/>
      <c r="AH111" s="198"/>
      <c r="AI111" s="198"/>
      <c r="AJ111" s="198"/>
      <c r="AK111" s="198"/>
      <c r="AL111" s="198"/>
      <c r="AM111" s="52"/>
      <c r="AN111" s="52"/>
      <c r="AO111" s="52"/>
      <c r="AP111" s="52"/>
      <c r="AQ111" s="52"/>
    </row>
    <row r="112" spans="1:43">
      <c r="A112" s="331">
        <v>45161</v>
      </c>
      <c r="B112" s="332">
        <v>4436.01</v>
      </c>
      <c r="C112" s="30">
        <v>401.06</v>
      </c>
      <c r="D112" s="22">
        <f t="shared" si="2"/>
        <v>1.3641629592053537E-2</v>
      </c>
      <c r="E112" s="22">
        <f t="shared" si="3"/>
        <v>8.5246561219100916E-3</v>
      </c>
      <c r="F112" s="12"/>
      <c r="G112" s="12"/>
      <c r="H112" s="3"/>
      <c r="I112" s="3"/>
      <c r="J112" s="3"/>
      <c r="K112" s="3"/>
      <c r="L112" s="3"/>
      <c r="M112" s="3"/>
      <c r="N112" s="3"/>
      <c r="O112" s="3"/>
      <c r="P112" s="3"/>
      <c r="Q112" s="3"/>
      <c r="R112" s="3"/>
      <c r="S112" s="3"/>
      <c r="T112" s="3"/>
      <c r="U112" s="3"/>
      <c r="V112" s="47"/>
      <c r="W112" s="47"/>
      <c r="X112" s="47"/>
      <c r="Y112" s="47"/>
      <c r="Z112" s="47"/>
      <c r="AA112" s="198"/>
      <c r="AB112" s="198"/>
      <c r="AC112" s="198"/>
      <c r="AD112" s="198"/>
      <c r="AE112" s="198"/>
      <c r="AF112" s="198"/>
      <c r="AG112" s="198"/>
      <c r="AH112" s="198"/>
      <c r="AI112" s="198"/>
      <c r="AJ112" s="198"/>
      <c r="AK112" s="198"/>
      <c r="AL112" s="198"/>
      <c r="AM112" s="52"/>
      <c r="AN112" s="52"/>
      <c r="AO112" s="52"/>
      <c r="AP112" s="52"/>
      <c r="AQ112" s="52"/>
    </row>
    <row r="113" spans="1:43">
      <c r="A113" s="331">
        <v>45160</v>
      </c>
      <c r="B113" s="332">
        <v>4387.55</v>
      </c>
      <c r="C113" s="30">
        <v>397.84</v>
      </c>
      <c r="D113" s="22">
        <f t="shared" si="2"/>
        <v>-1.0924231460253704E-2</v>
      </c>
      <c r="E113" s="22">
        <f t="shared" si="3"/>
        <v>-8.0287238817135266E-3</v>
      </c>
      <c r="F113" s="12"/>
      <c r="G113" s="12"/>
      <c r="H113" s="3"/>
      <c r="I113" s="3"/>
      <c r="J113" s="3"/>
      <c r="K113" s="3"/>
      <c r="L113" s="3"/>
      <c r="M113" s="3"/>
      <c r="N113" s="3"/>
      <c r="O113" s="3"/>
      <c r="P113" s="3"/>
      <c r="Q113" s="3"/>
      <c r="R113" s="3"/>
      <c r="S113" s="3"/>
      <c r="T113" s="3"/>
      <c r="U113" s="3"/>
      <c r="V113" s="47"/>
      <c r="W113" s="47"/>
      <c r="X113" s="47"/>
      <c r="Y113" s="47"/>
      <c r="Z113" s="47"/>
      <c r="AA113" s="198"/>
      <c r="AB113" s="198"/>
      <c r="AC113" s="198"/>
      <c r="AD113" s="198"/>
      <c r="AE113" s="198"/>
      <c r="AF113" s="198"/>
      <c r="AG113" s="198"/>
      <c r="AH113" s="198"/>
      <c r="AI113" s="198"/>
      <c r="AJ113" s="198"/>
      <c r="AK113" s="198"/>
      <c r="AL113" s="198"/>
      <c r="AM113" s="52"/>
      <c r="AN113" s="52"/>
      <c r="AO113" s="52"/>
      <c r="AP113" s="52"/>
      <c r="AQ113" s="52"/>
    </row>
    <row r="114" spans="1:43">
      <c r="A114" s="331">
        <v>45159</v>
      </c>
      <c r="B114" s="332">
        <v>4399.7700000000004</v>
      </c>
      <c r="C114" s="30">
        <v>393.2</v>
      </c>
      <c r="D114" s="22">
        <f t="shared" si="2"/>
        <v>2.7851534455448379E-3</v>
      </c>
      <c r="E114" s="22">
        <f t="shared" si="3"/>
        <v>-1.1662980092499465E-2</v>
      </c>
      <c r="F114" s="12"/>
      <c r="G114" s="12"/>
      <c r="H114" s="3"/>
      <c r="I114" s="3"/>
      <c r="J114" s="3"/>
      <c r="K114" s="3"/>
      <c r="L114" s="3"/>
      <c r="M114" s="3"/>
      <c r="N114" s="3"/>
      <c r="O114" s="3"/>
      <c r="P114" s="3"/>
      <c r="Q114" s="3"/>
      <c r="R114" s="3"/>
      <c r="S114" s="3"/>
      <c r="T114" s="3"/>
      <c r="U114" s="3"/>
      <c r="V114" s="47"/>
      <c r="W114" s="47"/>
      <c r="X114" s="47"/>
      <c r="Y114" s="47"/>
      <c r="Z114" s="47"/>
      <c r="AA114" s="198"/>
      <c r="AB114" s="198"/>
      <c r="AC114" s="198"/>
      <c r="AD114" s="198"/>
      <c r="AE114" s="198"/>
      <c r="AF114" s="198"/>
      <c r="AG114" s="198"/>
      <c r="AH114" s="198"/>
      <c r="AI114" s="198"/>
      <c r="AJ114" s="198"/>
      <c r="AK114" s="198"/>
      <c r="AL114" s="198"/>
      <c r="AM114" s="52"/>
      <c r="AN114" s="52"/>
      <c r="AO114" s="52"/>
      <c r="AP114" s="52"/>
      <c r="AQ114" s="52"/>
    </row>
    <row r="115" spans="1:43">
      <c r="A115" s="331">
        <v>45156</v>
      </c>
      <c r="B115" s="332">
        <v>4369.71</v>
      </c>
      <c r="C115" s="30">
        <v>392.17</v>
      </c>
      <c r="D115" s="22">
        <f t="shared" si="2"/>
        <v>-6.8321753182553624E-3</v>
      </c>
      <c r="E115" s="22">
        <f t="shared" si="3"/>
        <v>-2.6195320447608664E-3</v>
      </c>
      <c r="F115" s="12"/>
      <c r="G115" s="12"/>
      <c r="H115" s="3"/>
      <c r="I115" s="3"/>
      <c r="J115" s="3"/>
      <c r="K115" s="3"/>
      <c r="L115" s="3"/>
      <c r="M115" s="3"/>
      <c r="N115" s="3"/>
      <c r="O115" s="3"/>
      <c r="P115" s="3"/>
      <c r="Q115" s="3"/>
      <c r="R115" s="3"/>
      <c r="S115" s="3"/>
      <c r="T115" s="3"/>
      <c r="U115" s="3"/>
      <c r="V115" s="47"/>
      <c r="W115" s="47"/>
      <c r="X115" s="47"/>
      <c r="Y115" s="47"/>
      <c r="Z115" s="47"/>
      <c r="AA115" s="198"/>
      <c r="AB115" s="198"/>
      <c r="AC115" s="198"/>
      <c r="AD115" s="198"/>
      <c r="AE115" s="198"/>
      <c r="AF115" s="198"/>
      <c r="AG115" s="198"/>
      <c r="AH115" s="198"/>
      <c r="AI115" s="198"/>
      <c r="AJ115" s="198"/>
      <c r="AK115" s="198"/>
      <c r="AL115" s="198"/>
      <c r="AM115" s="52"/>
      <c r="AN115" s="52"/>
      <c r="AO115" s="52"/>
      <c r="AP115" s="52"/>
      <c r="AQ115" s="52"/>
    </row>
    <row r="116" spans="1:43">
      <c r="A116" s="331">
        <v>45155</v>
      </c>
      <c r="B116" s="332">
        <v>4370.3599999999997</v>
      </c>
      <c r="C116" s="30">
        <v>392.62</v>
      </c>
      <c r="D116" s="22">
        <f t="shared" si="2"/>
        <v>1.4875129013129846E-4</v>
      </c>
      <c r="E116" s="22">
        <f t="shared" si="3"/>
        <v>1.1474615600377098E-3</v>
      </c>
      <c r="F116" s="12"/>
      <c r="G116" s="12"/>
      <c r="H116" s="3"/>
      <c r="I116" s="3"/>
      <c r="J116" s="3"/>
      <c r="K116" s="3"/>
      <c r="L116" s="3"/>
      <c r="M116" s="3"/>
      <c r="N116" s="3"/>
      <c r="O116" s="3"/>
      <c r="P116" s="3"/>
      <c r="Q116" s="3"/>
      <c r="R116" s="3"/>
      <c r="S116" s="3"/>
      <c r="T116" s="3"/>
      <c r="U116" s="3"/>
      <c r="V116" s="47"/>
      <c r="W116" s="47"/>
      <c r="X116" s="47"/>
      <c r="Y116" s="47"/>
      <c r="Z116" s="47"/>
      <c r="AA116" s="198"/>
      <c r="AB116" s="198"/>
      <c r="AC116" s="198"/>
      <c r="AD116" s="198"/>
      <c r="AE116" s="198"/>
      <c r="AF116" s="198"/>
      <c r="AG116" s="198"/>
      <c r="AH116" s="198"/>
      <c r="AI116" s="198"/>
      <c r="AJ116" s="198"/>
      <c r="AK116" s="198"/>
      <c r="AL116" s="198"/>
      <c r="AM116" s="52"/>
      <c r="AN116" s="52"/>
      <c r="AO116" s="52"/>
      <c r="AP116" s="52"/>
      <c r="AQ116" s="52"/>
    </row>
    <row r="117" spans="1:43">
      <c r="A117" s="331">
        <v>45154</v>
      </c>
      <c r="B117" s="332">
        <v>4404.33</v>
      </c>
      <c r="C117" s="30">
        <v>394.37</v>
      </c>
      <c r="D117" s="22">
        <f t="shared" si="2"/>
        <v>7.7728150541374755E-3</v>
      </c>
      <c r="E117" s="22">
        <f t="shared" si="3"/>
        <v>4.4572360042789468E-3</v>
      </c>
      <c r="F117" s="12"/>
      <c r="G117" s="12"/>
      <c r="H117" s="3"/>
      <c r="I117" s="3"/>
      <c r="J117" s="3"/>
      <c r="K117" s="3"/>
      <c r="L117" s="3"/>
      <c r="M117" s="3"/>
      <c r="N117" s="3"/>
      <c r="O117" s="3"/>
      <c r="P117" s="3"/>
      <c r="Q117" s="3"/>
      <c r="R117" s="3"/>
      <c r="S117" s="3"/>
      <c r="T117" s="3"/>
      <c r="U117" s="3"/>
      <c r="V117" s="47"/>
      <c r="W117" s="47"/>
      <c r="X117" s="47"/>
      <c r="Y117" s="47"/>
      <c r="Z117" s="47"/>
      <c r="AA117" s="198"/>
      <c r="AB117" s="198"/>
      <c r="AC117" s="198"/>
      <c r="AD117" s="198"/>
      <c r="AE117" s="198"/>
      <c r="AF117" s="198"/>
      <c r="AG117" s="198"/>
      <c r="AH117" s="198"/>
      <c r="AI117" s="198"/>
      <c r="AJ117" s="198"/>
      <c r="AK117" s="198"/>
      <c r="AL117" s="198"/>
      <c r="AM117" s="52"/>
      <c r="AN117" s="52"/>
      <c r="AO117" s="52"/>
      <c r="AP117" s="52"/>
      <c r="AQ117" s="52"/>
    </row>
    <row r="118" spans="1:43">
      <c r="A118" s="331">
        <v>45153</v>
      </c>
      <c r="B118" s="332">
        <v>4437.8599999999997</v>
      </c>
      <c r="C118" s="30">
        <v>394.45</v>
      </c>
      <c r="D118" s="22">
        <f t="shared" si="2"/>
        <v>7.6129626980720672E-3</v>
      </c>
      <c r="E118" s="22">
        <f t="shared" si="3"/>
        <v>2.0285518675351594E-4</v>
      </c>
      <c r="F118" s="12"/>
      <c r="G118" s="12"/>
      <c r="H118" s="3"/>
      <c r="I118" s="3"/>
      <c r="J118" s="3"/>
      <c r="K118" s="3"/>
      <c r="L118" s="3"/>
      <c r="M118" s="3"/>
      <c r="N118" s="3"/>
      <c r="O118" s="3"/>
      <c r="P118" s="3"/>
      <c r="Q118" s="3"/>
      <c r="R118" s="3"/>
      <c r="S118" s="3"/>
      <c r="T118" s="3"/>
      <c r="U118" s="3"/>
      <c r="V118" s="47"/>
      <c r="W118" s="47"/>
      <c r="X118" s="47"/>
      <c r="Y118" s="47"/>
      <c r="Z118" s="47"/>
      <c r="AA118" s="198"/>
      <c r="AB118" s="198"/>
      <c r="AC118" s="198"/>
      <c r="AD118" s="198"/>
      <c r="AE118" s="198"/>
      <c r="AF118" s="198"/>
      <c r="AG118" s="198"/>
      <c r="AH118" s="198"/>
      <c r="AI118" s="198"/>
      <c r="AJ118" s="198"/>
      <c r="AK118" s="198"/>
      <c r="AL118" s="198"/>
      <c r="AM118" s="52"/>
      <c r="AN118" s="52"/>
      <c r="AO118" s="52"/>
      <c r="AP118" s="52"/>
      <c r="AQ118" s="52"/>
    </row>
    <row r="119" spans="1:43">
      <c r="A119" s="331">
        <v>45152</v>
      </c>
      <c r="B119" s="332">
        <v>4489.72</v>
      </c>
      <c r="C119" s="30">
        <v>398.58</v>
      </c>
      <c r="D119" s="22">
        <f t="shared" si="2"/>
        <v>1.1685812531265201E-2</v>
      </c>
      <c r="E119" s="22">
        <f t="shared" si="3"/>
        <v>1.0470275066548348E-2</v>
      </c>
      <c r="F119" s="12"/>
      <c r="G119" s="12"/>
      <c r="H119" s="3"/>
      <c r="I119" s="3"/>
      <c r="J119" s="3"/>
      <c r="K119" s="3"/>
      <c r="L119" s="3"/>
      <c r="M119" s="3"/>
      <c r="N119" s="3"/>
      <c r="O119" s="3"/>
      <c r="P119" s="3"/>
      <c r="Q119" s="3"/>
      <c r="R119" s="3"/>
      <c r="S119" s="3"/>
      <c r="T119" s="3"/>
      <c r="U119" s="3"/>
      <c r="V119" s="47"/>
      <c r="W119" s="47"/>
      <c r="X119" s="47"/>
      <c r="Y119" s="47"/>
      <c r="Z119" s="47"/>
      <c r="AA119" s="198"/>
      <c r="AB119" s="198"/>
      <c r="AC119" s="198"/>
      <c r="AD119" s="198"/>
      <c r="AE119" s="198"/>
      <c r="AF119" s="198"/>
      <c r="AG119" s="198"/>
      <c r="AH119" s="198"/>
      <c r="AI119" s="198"/>
      <c r="AJ119" s="198"/>
      <c r="AK119" s="198"/>
      <c r="AL119" s="198"/>
      <c r="AM119" s="52"/>
      <c r="AN119" s="52"/>
      <c r="AO119" s="52"/>
      <c r="AP119" s="52"/>
      <c r="AQ119" s="52"/>
    </row>
    <row r="120" spans="1:43">
      <c r="A120" s="331">
        <v>45149</v>
      </c>
      <c r="B120" s="332">
        <v>4464.05</v>
      </c>
      <c r="C120" s="30">
        <v>394.98</v>
      </c>
      <c r="D120" s="22">
        <f t="shared" si="2"/>
        <v>-5.7175057687339232E-3</v>
      </c>
      <c r="E120" s="22">
        <f t="shared" si="3"/>
        <v>-9.0320638265842888E-3</v>
      </c>
      <c r="F120" s="12"/>
      <c r="G120" s="12"/>
      <c r="H120" s="3"/>
      <c r="I120" s="3"/>
      <c r="J120" s="3"/>
      <c r="K120" s="3"/>
      <c r="L120" s="3"/>
      <c r="M120" s="3"/>
      <c r="N120" s="3"/>
      <c r="O120" s="3"/>
      <c r="P120" s="3"/>
      <c r="Q120" s="3"/>
      <c r="R120" s="3"/>
      <c r="S120" s="3"/>
      <c r="T120" s="3"/>
      <c r="U120" s="3"/>
      <c r="V120" s="47"/>
      <c r="W120" s="47"/>
      <c r="X120" s="47"/>
      <c r="Y120" s="47"/>
      <c r="Z120" s="47"/>
      <c r="AA120" s="198"/>
      <c r="AB120" s="198"/>
      <c r="AC120" s="198"/>
      <c r="AD120" s="198"/>
      <c r="AE120" s="198"/>
      <c r="AF120" s="198"/>
      <c r="AG120" s="198"/>
      <c r="AH120" s="198"/>
      <c r="AI120" s="198"/>
      <c r="AJ120" s="198"/>
      <c r="AK120" s="198"/>
      <c r="AL120" s="198"/>
      <c r="AM120" s="52"/>
      <c r="AN120" s="52"/>
      <c r="AO120" s="52"/>
      <c r="AP120" s="52"/>
      <c r="AQ120" s="52"/>
    </row>
    <row r="121" spans="1:43">
      <c r="A121" s="331">
        <v>45148</v>
      </c>
      <c r="B121" s="332">
        <v>4468.83</v>
      </c>
      <c r="C121" s="30">
        <v>397.14</v>
      </c>
      <c r="D121" s="22">
        <f t="shared" si="2"/>
        <v>1.0707765370010966E-3</v>
      </c>
      <c r="E121" s="22">
        <f t="shared" si="3"/>
        <v>5.4686313231048864E-3</v>
      </c>
      <c r="F121" s="12"/>
      <c r="G121" s="12"/>
      <c r="H121" s="3"/>
      <c r="I121" s="3"/>
      <c r="J121" s="3"/>
      <c r="K121" s="3"/>
      <c r="L121" s="3"/>
      <c r="M121" s="3"/>
      <c r="N121" s="3"/>
      <c r="O121" s="3"/>
      <c r="P121" s="3"/>
      <c r="Q121" s="3"/>
      <c r="R121" s="3"/>
      <c r="S121" s="3"/>
      <c r="T121" s="3"/>
      <c r="U121" s="3"/>
      <c r="V121" s="47"/>
      <c r="W121" s="47"/>
      <c r="X121" s="47"/>
      <c r="Y121" s="47"/>
      <c r="Z121" s="47"/>
      <c r="AA121" s="198"/>
      <c r="AB121" s="198"/>
      <c r="AC121" s="198"/>
      <c r="AD121" s="198"/>
      <c r="AE121" s="198"/>
      <c r="AF121" s="198"/>
      <c r="AG121" s="198"/>
      <c r="AH121" s="198"/>
      <c r="AI121" s="198"/>
      <c r="AJ121" s="198"/>
      <c r="AK121" s="198"/>
      <c r="AL121" s="198"/>
      <c r="AM121" s="52"/>
      <c r="AN121" s="52"/>
      <c r="AO121" s="52"/>
      <c r="AP121" s="52"/>
      <c r="AQ121" s="52"/>
    </row>
    <row r="122" spans="1:43">
      <c r="A122" s="331">
        <v>45147</v>
      </c>
      <c r="B122" s="332">
        <v>4467.71</v>
      </c>
      <c r="C122" s="30">
        <v>393.67</v>
      </c>
      <c r="D122" s="22">
        <f t="shared" si="2"/>
        <v>-2.506248839181376E-4</v>
      </c>
      <c r="E122" s="22">
        <f t="shared" si="3"/>
        <v>-8.7374729314598637E-3</v>
      </c>
      <c r="F122" s="12"/>
      <c r="G122" s="12"/>
      <c r="H122" s="3"/>
      <c r="I122" s="3"/>
      <c r="J122" s="3"/>
      <c r="K122" s="3"/>
      <c r="L122" s="3"/>
      <c r="M122" s="3"/>
      <c r="N122" s="3"/>
      <c r="O122" s="3"/>
      <c r="P122" s="3"/>
      <c r="Q122" s="3"/>
      <c r="R122" s="3"/>
      <c r="S122" s="3"/>
      <c r="T122" s="3"/>
      <c r="U122" s="3"/>
      <c r="V122" s="47"/>
      <c r="W122" s="47"/>
      <c r="X122" s="47"/>
      <c r="Y122" s="47"/>
      <c r="Z122" s="47"/>
      <c r="AA122" s="198"/>
      <c r="AB122" s="198"/>
      <c r="AC122" s="198"/>
      <c r="AD122" s="198"/>
      <c r="AE122" s="198"/>
      <c r="AF122" s="198"/>
      <c r="AG122" s="198"/>
      <c r="AH122" s="198"/>
      <c r="AI122" s="198"/>
      <c r="AJ122" s="198"/>
      <c r="AK122" s="198"/>
      <c r="AL122" s="198"/>
      <c r="AM122" s="52"/>
      <c r="AN122" s="52"/>
      <c r="AO122" s="52"/>
      <c r="AP122" s="52"/>
      <c r="AQ122" s="52"/>
    </row>
    <row r="123" spans="1:43">
      <c r="A123" s="331">
        <v>45146</v>
      </c>
      <c r="B123" s="332">
        <v>4499.38</v>
      </c>
      <c r="C123" s="30">
        <v>393.19</v>
      </c>
      <c r="D123" s="22">
        <f t="shared" si="2"/>
        <v>7.0886427274823279E-3</v>
      </c>
      <c r="E123" s="22">
        <f t="shared" si="3"/>
        <v>-1.2192953488963298E-3</v>
      </c>
      <c r="F123" s="12"/>
      <c r="G123" s="12"/>
      <c r="H123" s="3"/>
      <c r="I123" s="3"/>
      <c r="J123" s="3"/>
      <c r="K123" s="3"/>
      <c r="L123" s="3"/>
      <c r="M123" s="3"/>
      <c r="N123" s="3"/>
      <c r="O123" s="3"/>
      <c r="P123" s="3"/>
      <c r="Q123" s="3"/>
      <c r="R123" s="3"/>
      <c r="S123" s="3"/>
      <c r="T123" s="3"/>
      <c r="U123" s="3"/>
      <c r="V123" s="47"/>
      <c r="W123" s="47"/>
      <c r="X123" s="47"/>
      <c r="Y123" s="47"/>
      <c r="Z123" s="47"/>
      <c r="AA123" s="198"/>
      <c r="AB123" s="198"/>
      <c r="AC123" s="198"/>
      <c r="AD123" s="198"/>
      <c r="AE123" s="198"/>
      <c r="AF123" s="198"/>
      <c r="AG123" s="198"/>
      <c r="AH123" s="198"/>
      <c r="AI123" s="198"/>
      <c r="AJ123" s="198"/>
      <c r="AK123" s="198"/>
      <c r="AL123" s="198"/>
      <c r="AM123" s="52"/>
      <c r="AN123" s="52"/>
      <c r="AO123" s="52"/>
      <c r="AP123" s="52"/>
      <c r="AQ123" s="52"/>
    </row>
    <row r="124" spans="1:43">
      <c r="A124" s="331">
        <v>45145</v>
      </c>
      <c r="B124" s="332">
        <v>4518.4399999999996</v>
      </c>
      <c r="C124" s="30">
        <v>396.87</v>
      </c>
      <c r="D124" s="22">
        <f t="shared" si="2"/>
        <v>4.2361392014009687E-3</v>
      </c>
      <c r="E124" s="22">
        <f t="shared" si="3"/>
        <v>9.3593428113634795E-3</v>
      </c>
      <c r="F124" s="12"/>
      <c r="G124" s="12"/>
      <c r="H124" s="3"/>
      <c r="I124" s="3"/>
      <c r="J124" s="3"/>
      <c r="K124" s="3"/>
      <c r="L124" s="3"/>
      <c r="M124" s="3"/>
      <c r="N124" s="3"/>
      <c r="O124" s="3"/>
      <c r="P124" s="3"/>
      <c r="Q124" s="3"/>
      <c r="R124" s="3"/>
      <c r="S124" s="3"/>
      <c r="T124" s="3"/>
      <c r="U124" s="3"/>
      <c r="V124" s="47"/>
      <c r="W124" s="47"/>
      <c r="X124" s="47"/>
      <c r="Y124" s="47"/>
      <c r="Z124" s="47"/>
      <c r="AA124" s="198"/>
      <c r="AB124" s="198"/>
      <c r="AC124" s="198"/>
      <c r="AD124" s="198"/>
      <c r="AE124" s="198"/>
      <c r="AF124" s="198"/>
      <c r="AG124" s="198"/>
      <c r="AH124" s="198"/>
      <c r="AI124" s="198"/>
      <c r="AJ124" s="198"/>
      <c r="AK124" s="198"/>
      <c r="AL124" s="198"/>
      <c r="AM124" s="52"/>
      <c r="AN124" s="52"/>
      <c r="AO124" s="52"/>
      <c r="AP124" s="52"/>
      <c r="AQ124" s="52"/>
    </row>
    <row r="125" spans="1:43">
      <c r="A125" s="331">
        <v>45142</v>
      </c>
      <c r="B125" s="332">
        <v>4478.03</v>
      </c>
      <c r="C125" s="30">
        <v>391.35</v>
      </c>
      <c r="D125" s="22">
        <f t="shared" si="2"/>
        <v>-8.9433521303812508E-3</v>
      </c>
      <c r="E125" s="22">
        <f t="shared" si="3"/>
        <v>-1.3908836646760857E-2</v>
      </c>
      <c r="F125" s="12"/>
      <c r="G125" s="12"/>
      <c r="H125" s="3"/>
      <c r="I125" s="3"/>
      <c r="J125" s="3"/>
      <c r="K125" s="3"/>
      <c r="L125" s="3"/>
      <c r="M125" s="3"/>
      <c r="N125" s="3"/>
      <c r="O125" s="3"/>
      <c r="P125" s="3"/>
      <c r="Q125" s="3"/>
      <c r="R125" s="3"/>
      <c r="S125" s="3"/>
      <c r="T125" s="3"/>
      <c r="U125" s="3"/>
      <c r="V125" s="47"/>
      <c r="W125" s="47"/>
      <c r="X125" s="47"/>
      <c r="Y125" s="47"/>
      <c r="Z125" s="47"/>
      <c r="AA125" s="198"/>
      <c r="AB125" s="198"/>
      <c r="AC125" s="198"/>
      <c r="AD125" s="198"/>
      <c r="AE125" s="198"/>
      <c r="AF125" s="198"/>
      <c r="AG125" s="198"/>
      <c r="AH125" s="198"/>
      <c r="AI125" s="198"/>
      <c r="AJ125" s="198"/>
      <c r="AK125" s="198"/>
      <c r="AL125" s="198"/>
      <c r="AM125" s="52"/>
      <c r="AN125" s="52"/>
      <c r="AO125" s="52"/>
      <c r="AP125" s="52"/>
      <c r="AQ125" s="52"/>
    </row>
    <row r="126" spans="1:43">
      <c r="A126" s="331">
        <v>45141</v>
      </c>
      <c r="B126" s="332">
        <v>4501.8900000000003</v>
      </c>
      <c r="C126" s="30">
        <v>393.01</v>
      </c>
      <c r="D126" s="22">
        <f t="shared" si="2"/>
        <v>5.3282358537125891E-3</v>
      </c>
      <c r="E126" s="22">
        <f t="shared" si="3"/>
        <v>4.2417273540308375E-3</v>
      </c>
      <c r="F126" s="12"/>
      <c r="G126" s="12"/>
      <c r="H126" s="3"/>
      <c r="I126" s="3"/>
      <c r="J126" s="3"/>
      <c r="K126" s="3"/>
      <c r="L126" s="3"/>
      <c r="M126" s="3"/>
      <c r="N126" s="3"/>
      <c r="O126" s="3"/>
      <c r="P126" s="3"/>
      <c r="Q126" s="3"/>
      <c r="R126" s="3"/>
      <c r="S126" s="3"/>
      <c r="T126" s="3"/>
      <c r="U126" s="3"/>
      <c r="V126" s="47"/>
      <c r="W126" s="47"/>
      <c r="X126" s="47"/>
      <c r="Y126" s="47"/>
      <c r="Z126" s="47"/>
      <c r="AA126" s="198"/>
      <c r="AB126" s="198"/>
      <c r="AC126" s="198"/>
      <c r="AD126" s="198"/>
      <c r="AE126" s="198"/>
      <c r="AF126" s="198"/>
      <c r="AG126" s="198"/>
      <c r="AH126" s="198"/>
      <c r="AI126" s="198"/>
      <c r="AJ126" s="198"/>
      <c r="AK126" s="198"/>
      <c r="AL126" s="198"/>
      <c r="AM126" s="52"/>
      <c r="AN126" s="52"/>
      <c r="AO126" s="52"/>
      <c r="AP126" s="52"/>
      <c r="AQ126" s="52"/>
    </row>
    <row r="127" spans="1:43">
      <c r="A127" s="331">
        <v>45140</v>
      </c>
      <c r="B127" s="332">
        <v>4513.3900000000003</v>
      </c>
      <c r="C127" s="30">
        <v>390.02</v>
      </c>
      <c r="D127" s="22">
        <f t="shared" si="2"/>
        <v>2.5544826728329654E-3</v>
      </c>
      <c r="E127" s="22">
        <f t="shared" si="3"/>
        <v>-7.6079489071525135E-3</v>
      </c>
      <c r="F127" s="12"/>
      <c r="G127" s="12"/>
      <c r="H127" s="3"/>
      <c r="I127" s="3"/>
      <c r="J127" s="3"/>
      <c r="K127" s="3"/>
      <c r="L127" s="3"/>
      <c r="M127" s="3"/>
      <c r="N127" s="3"/>
      <c r="O127" s="3"/>
      <c r="P127" s="3"/>
      <c r="Q127" s="3"/>
      <c r="R127" s="3"/>
      <c r="S127" s="3"/>
      <c r="T127" s="3"/>
      <c r="U127" s="3"/>
      <c r="V127" s="47"/>
      <c r="W127" s="47"/>
      <c r="X127" s="47"/>
      <c r="Y127" s="47"/>
      <c r="Z127" s="47"/>
      <c r="AA127" s="198"/>
      <c r="AB127" s="198"/>
      <c r="AC127" s="198"/>
      <c r="AD127" s="198"/>
      <c r="AE127" s="198"/>
      <c r="AF127" s="198"/>
      <c r="AG127" s="198"/>
      <c r="AH127" s="198"/>
      <c r="AI127" s="198"/>
      <c r="AJ127" s="198"/>
      <c r="AK127" s="198"/>
      <c r="AL127" s="198"/>
      <c r="AM127" s="52"/>
      <c r="AN127" s="52"/>
      <c r="AO127" s="52"/>
      <c r="AP127" s="52"/>
      <c r="AQ127" s="52"/>
    </row>
    <row r="128" spans="1:43">
      <c r="A128" s="331">
        <v>45139</v>
      </c>
      <c r="B128" s="332">
        <v>4576.7299999999996</v>
      </c>
      <c r="C128" s="30">
        <v>397.07</v>
      </c>
      <c r="D128" s="22">
        <f t="shared" si="2"/>
        <v>1.40337972122948E-2</v>
      </c>
      <c r="E128" s="22">
        <f t="shared" si="3"/>
        <v>1.8075996102763992E-2</v>
      </c>
      <c r="F128" s="12"/>
      <c r="G128" s="12"/>
      <c r="H128" s="3"/>
      <c r="I128" s="3"/>
      <c r="J128" s="3"/>
      <c r="K128" s="3"/>
      <c r="L128" s="3"/>
      <c r="M128" s="3"/>
      <c r="N128" s="3"/>
      <c r="O128" s="3"/>
      <c r="P128" s="3"/>
      <c r="Q128" s="3"/>
      <c r="R128" s="3"/>
      <c r="S128" s="3"/>
      <c r="T128" s="3"/>
      <c r="U128" s="3"/>
      <c r="V128" s="47"/>
      <c r="W128" s="47"/>
      <c r="X128" s="47"/>
      <c r="Y128" s="47"/>
      <c r="Z128" s="47"/>
      <c r="AA128" s="198"/>
      <c r="AB128" s="198"/>
      <c r="AC128" s="198"/>
      <c r="AD128" s="198"/>
      <c r="AE128" s="198"/>
      <c r="AF128" s="198"/>
      <c r="AG128" s="198"/>
      <c r="AH128" s="198"/>
      <c r="AI128" s="198"/>
      <c r="AJ128" s="198"/>
      <c r="AK128" s="198"/>
      <c r="AL128" s="198"/>
      <c r="AM128" s="52"/>
      <c r="AN128" s="52"/>
      <c r="AO128" s="52"/>
      <c r="AP128" s="52"/>
      <c r="AQ128" s="52"/>
    </row>
    <row r="129" spans="1:43">
      <c r="A129" s="331">
        <v>45138</v>
      </c>
      <c r="B129" s="332">
        <v>4588.96</v>
      </c>
      <c r="C129" s="30">
        <v>394.28</v>
      </c>
      <c r="D129" s="22">
        <f t="shared" si="2"/>
        <v>2.6722135673287423E-3</v>
      </c>
      <c r="E129" s="22">
        <f t="shared" si="3"/>
        <v>-7.0264688845795972E-3</v>
      </c>
      <c r="F129" s="12"/>
      <c r="G129" s="12"/>
      <c r="H129" s="3"/>
      <c r="I129" s="3"/>
      <c r="J129" s="3"/>
      <c r="K129" s="3"/>
      <c r="L129" s="3"/>
      <c r="M129" s="3"/>
      <c r="N129" s="3"/>
      <c r="O129" s="3"/>
      <c r="P129" s="3"/>
      <c r="Q129" s="3"/>
      <c r="R129" s="3"/>
      <c r="S129" s="3"/>
      <c r="T129" s="3"/>
      <c r="U129" s="3"/>
      <c r="V129" s="47"/>
      <c r="W129" s="47"/>
      <c r="X129" s="47"/>
      <c r="Y129" s="47"/>
      <c r="Z129" s="47"/>
      <c r="AA129" s="198"/>
      <c r="AB129" s="198"/>
      <c r="AC129" s="198"/>
      <c r="AD129" s="198"/>
      <c r="AE129" s="198"/>
      <c r="AF129" s="198"/>
      <c r="AG129" s="198"/>
      <c r="AH129" s="198"/>
      <c r="AI129" s="198"/>
      <c r="AJ129" s="198"/>
      <c r="AK129" s="198"/>
      <c r="AL129" s="198"/>
      <c r="AM129" s="52"/>
      <c r="AN129" s="52"/>
      <c r="AO129" s="52"/>
      <c r="AP129" s="52"/>
      <c r="AQ129" s="52"/>
    </row>
    <row r="130" spans="1:43">
      <c r="A130" s="331">
        <v>45135</v>
      </c>
      <c r="B130" s="332">
        <v>4582.2299999999996</v>
      </c>
      <c r="C130" s="30">
        <v>392.96</v>
      </c>
      <c r="D130" s="22">
        <f t="shared" si="2"/>
        <v>-1.4665632300130036E-3</v>
      </c>
      <c r="E130" s="22">
        <f t="shared" si="3"/>
        <v>-3.3478746068783434E-3</v>
      </c>
      <c r="F130" s="12"/>
      <c r="G130" s="12"/>
      <c r="H130" s="3"/>
      <c r="I130" s="3"/>
      <c r="J130" s="3"/>
      <c r="K130" s="3"/>
      <c r="L130" s="3"/>
      <c r="M130" s="3"/>
      <c r="N130" s="3"/>
      <c r="O130" s="3"/>
      <c r="P130" s="3"/>
      <c r="Q130" s="3"/>
      <c r="R130" s="3"/>
      <c r="S130" s="3"/>
      <c r="T130" s="3"/>
      <c r="U130" s="3"/>
      <c r="V130" s="47"/>
      <c r="W130" s="47"/>
      <c r="X130" s="47"/>
      <c r="Y130" s="47"/>
      <c r="Z130" s="47"/>
      <c r="AA130" s="198"/>
      <c r="AB130" s="198"/>
      <c r="AC130" s="198"/>
      <c r="AD130" s="198"/>
      <c r="AE130" s="198"/>
      <c r="AF130" s="198"/>
      <c r="AG130" s="198"/>
      <c r="AH130" s="198"/>
      <c r="AI130" s="198"/>
      <c r="AJ130" s="198"/>
      <c r="AK130" s="198"/>
      <c r="AL130" s="198"/>
      <c r="AM130" s="52"/>
      <c r="AN130" s="52"/>
      <c r="AO130" s="52"/>
      <c r="AP130" s="52"/>
      <c r="AQ130" s="52"/>
    </row>
    <row r="131" spans="1:43">
      <c r="A131" s="331">
        <v>45134</v>
      </c>
      <c r="B131" s="332">
        <v>4537.41</v>
      </c>
      <c r="C131" s="30">
        <v>394.5</v>
      </c>
      <c r="D131" s="22">
        <f t="shared" si="2"/>
        <v>-9.7812637078452443E-3</v>
      </c>
      <c r="E131" s="22">
        <f t="shared" si="3"/>
        <v>3.9189739413681302E-3</v>
      </c>
      <c r="F131" s="12"/>
      <c r="G131" s="12"/>
      <c r="H131" s="3"/>
      <c r="I131" s="3"/>
      <c r="J131" s="3"/>
      <c r="K131" s="3"/>
      <c r="L131" s="3"/>
      <c r="M131" s="3"/>
      <c r="N131" s="3"/>
      <c r="O131" s="3"/>
      <c r="P131" s="3"/>
      <c r="Q131" s="3"/>
      <c r="R131" s="3"/>
      <c r="S131" s="3"/>
      <c r="T131" s="3"/>
      <c r="U131" s="3"/>
      <c r="V131" s="47"/>
      <c r="W131" s="47"/>
      <c r="X131" s="47"/>
      <c r="Y131" s="47"/>
      <c r="Z131" s="47"/>
      <c r="AA131" s="198"/>
      <c r="AB131" s="198"/>
      <c r="AC131" s="198"/>
      <c r="AD131" s="198"/>
      <c r="AE131" s="198"/>
      <c r="AF131" s="198"/>
      <c r="AG131" s="198"/>
      <c r="AH131" s="198"/>
      <c r="AI131" s="198"/>
      <c r="AJ131" s="198"/>
      <c r="AK131" s="198"/>
      <c r="AL131" s="198"/>
      <c r="AM131" s="52"/>
      <c r="AN131" s="52"/>
      <c r="AO131" s="52"/>
      <c r="AP131" s="52"/>
      <c r="AQ131" s="52"/>
    </row>
    <row r="132" spans="1:43">
      <c r="A132" s="331">
        <v>45133</v>
      </c>
      <c r="B132" s="332">
        <v>4566.75</v>
      </c>
      <c r="C132" s="30">
        <v>402.41</v>
      </c>
      <c r="D132" s="22">
        <f t="shared" ref="D132:D195" si="4">(B132-B131)/B131</f>
        <v>6.4662439585578876E-3</v>
      </c>
      <c r="E132" s="22">
        <f t="shared" si="3"/>
        <v>2.005069708491768E-2</v>
      </c>
      <c r="F132" s="12"/>
      <c r="G132" s="12"/>
      <c r="H132" s="3"/>
      <c r="I132" s="3"/>
      <c r="J132" s="3"/>
      <c r="K132" s="3"/>
      <c r="L132" s="3"/>
      <c r="M132" s="3"/>
      <c r="N132" s="3"/>
      <c r="O132" s="3"/>
      <c r="P132" s="3"/>
      <c r="Q132" s="3"/>
      <c r="R132" s="3"/>
      <c r="S132" s="3"/>
      <c r="T132" s="3"/>
      <c r="U132" s="3"/>
      <c r="V132" s="47"/>
      <c r="W132" s="47"/>
      <c r="X132" s="47"/>
      <c r="Y132" s="47"/>
      <c r="Z132" s="47"/>
      <c r="AA132" s="198"/>
      <c r="AB132" s="198"/>
      <c r="AC132" s="198"/>
      <c r="AD132" s="198"/>
      <c r="AE132" s="198"/>
      <c r="AF132" s="198"/>
      <c r="AG132" s="198"/>
      <c r="AH132" s="198"/>
      <c r="AI132" s="198"/>
      <c r="AJ132" s="198"/>
      <c r="AK132" s="198"/>
      <c r="AL132" s="198"/>
      <c r="AM132" s="52"/>
      <c r="AN132" s="52"/>
      <c r="AO132" s="52"/>
      <c r="AP132" s="52"/>
      <c r="AQ132" s="52"/>
    </row>
    <row r="133" spans="1:43">
      <c r="A133" s="331">
        <v>45132</v>
      </c>
      <c r="B133" s="332">
        <v>4567.46</v>
      </c>
      <c r="C133" s="30">
        <v>401.28</v>
      </c>
      <c r="D133" s="22">
        <f t="shared" si="4"/>
        <v>1.5547161548147727E-4</v>
      </c>
      <c r="E133" s="22">
        <f t="shared" ref="E133:E196" si="5">(C133-C132)/C132</f>
        <v>-2.8080813101067376E-3</v>
      </c>
      <c r="F133" s="12"/>
      <c r="G133" s="12"/>
      <c r="H133" s="3"/>
      <c r="I133" s="3"/>
      <c r="J133" s="3"/>
      <c r="K133" s="3"/>
      <c r="L133" s="3"/>
      <c r="M133" s="3"/>
      <c r="N133" s="3"/>
      <c r="O133" s="3"/>
      <c r="P133" s="3"/>
      <c r="Q133" s="3"/>
      <c r="R133" s="3"/>
      <c r="S133" s="3"/>
      <c r="T133" s="3"/>
      <c r="U133" s="3"/>
      <c r="V133" s="47"/>
      <c r="W133" s="47"/>
      <c r="X133" s="47"/>
      <c r="Y133" s="47"/>
      <c r="Z133" s="47"/>
      <c r="AA133" s="198"/>
      <c r="AB133" s="198"/>
      <c r="AC133" s="198"/>
      <c r="AD133" s="198"/>
      <c r="AE133" s="198"/>
      <c r="AF133" s="198"/>
      <c r="AG133" s="198"/>
      <c r="AH133" s="198"/>
      <c r="AI133" s="198"/>
      <c r="AJ133" s="198"/>
      <c r="AK133" s="198"/>
      <c r="AL133" s="198"/>
      <c r="AM133" s="52"/>
      <c r="AN133" s="52"/>
      <c r="AO133" s="52"/>
      <c r="AP133" s="52"/>
      <c r="AQ133" s="52"/>
    </row>
    <row r="134" spans="1:43">
      <c r="A134" s="331">
        <v>45131</v>
      </c>
      <c r="B134" s="332">
        <v>4554.6400000000003</v>
      </c>
      <c r="C134" s="30">
        <v>404.79</v>
      </c>
      <c r="D134" s="22">
        <f t="shared" si="4"/>
        <v>-2.8068116633752039E-3</v>
      </c>
      <c r="E134" s="22">
        <f t="shared" si="5"/>
        <v>8.7470095693781107E-3</v>
      </c>
      <c r="F134" s="12"/>
      <c r="G134" s="12"/>
      <c r="H134" s="3"/>
      <c r="I134" s="3"/>
      <c r="J134" s="3"/>
      <c r="K134" s="3"/>
      <c r="L134" s="3"/>
      <c r="M134" s="3"/>
      <c r="N134" s="3"/>
      <c r="O134" s="3"/>
      <c r="P134" s="3"/>
      <c r="Q134" s="3"/>
      <c r="R134" s="3"/>
      <c r="S134" s="3"/>
      <c r="T134" s="3"/>
      <c r="U134" s="3"/>
      <c r="V134" s="47"/>
      <c r="W134" s="47"/>
      <c r="X134" s="47"/>
      <c r="Y134" s="47"/>
      <c r="Z134" s="47"/>
      <c r="AA134" s="198"/>
      <c r="AB134" s="198"/>
      <c r="AC134" s="198"/>
      <c r="AD134" s="198"/>
      <c r="AE134" s="198"/>
      <c r="AF134" s="198"/>
      <c r="AG134" s="198"/>
      <c r="AH134" s="198"/>
      <c r="AI134" s="198"/>
      <c r="AJ134" s="198"/>
      <c r="AK134" s="198"/>
      <c r="AL134" s="198"/>
      <c r="AM134" s="52"/>
      <c r="AN134" s="52"/>
      <c r="AO134" s="52"/>
      <c r="AP134" s="52"/>
      <c r="AQ134" s="52"/>
    </row>
    <row r="135" spans="1:43">
      <c r="A135" s="331">
        <v>45128</v>
      </c>
      <c r="B135" s="332">
        <v>4536.34</v>
      </c>
      <c r="C135" s="30">
        <v>397.49</v>
      </c>
      <c r="D135" s="22">
        <f t="shared" si="4"/>
        <v>-4.0178806667486742E-3</v>
      </c>
      <c r="E135" s="22">
        <f t="shared" si="5"/>
        <v>-1.8034042342943282E-2</v>
      </c>
      <c r="F135" s="12"/>
      <c r="G135" s="12"/>
      <c r="H135" s="3"/>
      <c r="I135" s="3"/>
      <c r="J135" s="3"/>
      <c r="K135" s="3"/>
      <c r="L135" s="3"/>
      <c r="M135" s="3"/>
      <c r="N135" s="3"/>
      <c r="O135" s="3"/>
      <c r="P135" s="3"/>
      <c r="Q135" s="3"/>
      <c r="R135" s="3"/>
      <c r="S135" s="3"/>
      <c r="T135" s="3"/>
      <c r="U135" s="3"/>
      <c r="V135" s="47"/>
      <c r="W135" s="47"/>
      <c r="X135" s="47"/>
      <c r="Y135" s="47"/>
      <c r="Z135" s="47"/>
      <c r="AA135" s="198"/>
      <c r="AB135" s="198"/>
      <c r="AC135" s="198"/>
      <c r="AD135" s="198"/>
      <c r="AE135" s="198"/>
      <c r="AF135" s="198"/>
      <c r="AG135" s="198"/>
      <c r="AH135" s="198"/>
      <c r="AI135" s="198"/>
      <c r="AJ135" s="198"/>
      <c r="AK135" s="198"/>
      <c r="AL135" s="198"/>
      <c r="AM135" s="52"/>
      <c r="AN135" s="52"/>
      <c r="AO135" s="52"/>
      <c r="AP135" s="52"/>
      <c r="AQ135" s="52"/>
    </row>
    <row r="136" spans="1:43">
      <c r="A136" s="331">
        <v>45127</v>
      </c>
      <c r="B136" s="332">
        <v>4534.87</v>
      </c>
      <c r="C136" s="30">
        <v>398.06</v>
      </c>
      <c r="D136" s="22">
        <f t="shared" si="4"/>
        <v>-3.2404978462819247E-4</v>
      </c>
      <c r="E136" s="22">
        <f t="shared" si="5"/>
        <v>1.4339983395808527E-3</v>
      </c>
      <c r="F136" s="12"/>
      <c r="G136" s="12"/>
      <c r="H136" s="3"/>
      <c r="I136" s="3"/>
      <c r="J136" s="3"/>
      <c r="K136" s="3"/>
      <c r="L136" s="3"/>
      <c r="M136" s="3"/>
      <c r="N136" s="3"/>
      <c r="O136" s="3"/>
      <c r="P136" s="3"/>
      <c r="Q136" s="3"/>
      <c r="R136" s="3"/>
      <c r="S136" s="3"/>
      <c r="T136" s="3"/>
      <c r="U136" s="3"/>
      <c r="V136" s="47"/>
      <c r="W136" s="47"/>
      <c r="X136" s="47"/>
      <c r="Y136" s="47"/>
      <c r="Z136" s="47"/>
      <c r="AA136" s="198"/>
      <c r="AB136" s="198"/>
      <c r="AC136" s="198"/>
      <c r="AD136" s="198"/>
      <c r="AE136" s="198"/>
      <c r="AF136" s="198"/>
      <c r="AG136" s="198"/>
      <c r="AH136" s="198"/>
      <c r="AI136" s="198"/>
      <c r="AJ136" s="198"/>
      <c r="AK136" s="198"/>
      <c r="AL136" s="198"/>
      <c r="AM136" s="52"/>
      <c r="AN136" s="52"/>
      <c r="AO136" s="52"/>
      <c r="AP136" s="52"/>
      <c r="AQ136" s="52"/>
    </row>
    <row r="137" spans="1:43">
      <c r="A137" s="331">
        <v>45126</v>
      </c>
      <c r="B137" s="332">
        <v>4565.72</v>
      </c>
      <c r="C137" s="30">
        <v>398.27</v>
      </c>
      <c r="D137" s="22">
        <f t="shared" si="4"/>
        <v>6.8028410957757038E-3</v>
      </c>
      <c r="E137" s="22">
        <f t="shared" si="5"/>
        <v>5.2755865949851669E-4</v>
      </c>
      <c r="F137" s="12"/>
      <c r="G137" s="12"/>
      <c r="H137" s="3"/>
      <c r="I137" s="3"/>
      <c r="J137" s="3"/>
      <c r="K137" s="3"/>
      <c r="L137" s="3"/>
      <c r="M137" s="3"/>
      <c r="N137" s="3"/>
      <c r="O137" s="3"/>
      <c r="P137" s="3"/>
      <c r="Q137" s="3"/>
      <c r="R137" s="3"/>
      <c r="S137" s="3"/>
      <c r="T137" s="3"/>
      <c r="U137" s="3"/>
      <c r="V137" s="47"/>
      <c r="W137" s="47"/>
      <c r="X137" s="47"/>
      <c r="Y137" s="47"/>
      <c r="Z137" s="47"/>
      <c r="AA137" s="198"/>
      <c r="AB137" s="198"/>
      <c r="AC137" s="198"/>
      <c r="AD137" s="198"/>
      <c r="AE137" s="198"/>
      <c r="AF137" s="198"/>
      <c r="AG137" s="198"/>
      <c r="AH137" s="198"/>
      <c r="AI137" s="198"/>
      <c r="AJ137" s="198"/>
      <c r="AK137" s="198"/>
      <c r="AL137" s="198"/>
      <c r="AM137" s="52"/>
      <c r="AN137" s="52"/>
      <c r="AO137" s="52"/>
      <c r="AP137" s="52"/>
      <c r="AQ137" s="52"/>
    </row>
    <row r="138" spans="1:43">
      <c r="A138" s="331">
        <v>45125</v>
      </c>
      <c r="B138" s="332">
        <v>4554.9799999999996</v>
      </c>
      <c r="C138" s="30">
        <v>398.16</v>
      </c>
      <c r="D138" s="22">
        <f t="shared" si="4"/>
        <v>-2.3523124501723036E-3</v>
      </c>
      <c r="E138" s="22">
        <f t="shared" si="5"/>
        <v>-2.7619454139140984E-4</v>
      </c>
      <c r="F138" s="12"/>
      <c r="G138" s="12"/>
      <c r="H138" s="3"/>
      <c r="I138" s="3"/>
      <c r="J138" s="3"/>
      <c r="K138" s="3"/>
      <c r="L138" s="3"/>
      <c r="M138" s="3"/>
      <c r="N138" s="3"/>
      <c r="O138" s="3"/>
      <c r="P138" s="3"/>
      <c r="Q138" s="3"/>
      <c r="R138" s="3"/>
      <c r="S138" s="3"/>
      <c r="T138" s="3"/>
      <c r="U138" s="3"/>
      <c r="V138" s="47"/>
      <c r="W138" s="47"/>
      <c r="X138" s="47"/>
      <c r="Y138" s="47"/>
      <c r="Z138" s="47"/>
      <c r="AA138" s="198"/>
      <c r="AB138" s="198"/>
      <c r="AC138" s="198"/>
      <c r="AD138" s="198"/>
      <c r="AE138" s="198"/>
      <c r="AF138" s="198"/>
      <c r="AG138" s="198"/>
      <c r="AH138" s="198"/>
      <c r="AI138" s="198"/>
      <c r="AJ138" s="198"/>
      <c r="AK138" s="198"/>
      <c r="AL138" s="198"/>
      <c r="AM138" s="52"/>
      <c r="AN138" s="52"/>
      <c r="AO138" s="52"/>
      <c r="AP138" s="52"/>
      <c r="AQ138" s="52"/>
    </row>
    <row r="139" spans="1:43">
      <c r="A139" s="331">
        <v>45124</v>
      </c>
      <c r="B139" s="332">
        <v>4522.79</v>
      </c>
      <c r="C139" s="30">
        <v>402.2</v>
      </c>
      <c r="D139" s="22">
        <f t="shared" si="4"/>
        <v>-7.0669904148864763E-3</v>
      </c>
      <c r="E139" s="22">
        <f t="shared" si="5"/>
        <v>1.0146674703636636E-2</v>
      </c>
      <c r="F139" s="12"/>
      <c r="G139" s="12"/>
      <c r="H139" s="3"/>
      <c r="I139" s="3"/>
      <c r="J139" s="3"/>
      <c r="K139" s="3"/>
      <c r="L139" s="3"/>
      <c r="M139" s="3"/>
      <c r="N139" s="3"/>
      <c r="O139" s="3"/>
      <c r="P139" s="3"/>
      <c r="Q139" s="3"/>
      <c r="R139" s="3"/>
      <c r="S139" s="3"/>
      <c r="T139" s="3"/>
      <c r="U139" s="3"/>
      <c r="V139" s="47"/>
      <c r="W139" s="47"/>
      <c r="X139" s="47"/>
      <c r="Y139" s="47"/>
      <c r="Z139" s="47"/>
      <c r="AA139" s="198"/>
      <c r="AB139" s="198"/>
      <c r="AC139" s="198"/>
      <c r="AD139" s="198"/>
      <c r="AE139" s="198"/>
      <c r="AF139" s="198"/>
      <c r="AG139" s="198"/>
      <c r="AH139" s="198"/>
      <c r="AI139" s="198"/>
      <c r="AJ139" s="198"/>
      <c r="AK139" s="198"/>
      <c r="AL139" s="198"/>
      <c r="AM139" s="52"/>
      <c r="AN139" s="52"/>
      <c r="AO139" s="52"/>
      <c r="AP139" s="52"/>
      <c r="AQ139" s="52"/>
    </row>
    <row r="140" spans="1:43">
      <c r="A140" s="331">
        <v>45121</v>
      </c>
      <c r="B140" s="332">
        <v>4505.42</v>
      </c>
      <c r="C140" s="30">
        <v>402.51</v>
      </c>
      <c r="D140" s="22">
        <f t="shared" si="4"/>
        <v>-3.8405497491592337E-3</v>
      </c>
      <c r="E140" s="22">
        <f t="shared" si="5"/>
        <v>7.70760815514675E-4</v>
      </c>
      <c r="F140" s="12"/>
      <c r="G140" s="12"/>
      <c r="H140" s="3"/>
      <c r="I140" s="3"/>
      <c r="J140" s="3"/>
      <c r="K140" s="3"/>
      <c r="L140" s="3"/>
      <c r="M140" s="3"/>
      <c r="N140" s="3"/>
      <c r="O140" s="3"/>
      <c r="P140" s="3"/>
      <c r="Q140" s="3"/>
      <c r="R140" s="3"/>
      <c r="S140" s="3"/>
      <c r="T140" s="3"/>
      <c r="U140" s="3"/>
      <c r="V140" s="47"/>
      <c r="W140" s="47"/>
      <c r="X140" s="47"/>
      <c r="Y140" s="47"/>
      <c r="Z140" s="47"/>
      <c r="AA140" s="198"/>
      <c r="AB140" s="198"/>
      <c r="AC140" s="198"/>
      <c r="AD140" s="198"/>
      <c r="AE140" s="198"/>
      <c r="AF140" s="198"/>
      <c r="AG140" s="198"/>
      <c r="AH140" s="198"/>
      <c r="AI140" s="198"/>
      <c r="AJ140" s="198"/>
      <c r="AK140" s="198"/>
      <c r="AL140" s="198"/>
      <c r="AM140" s="52"/>
      <c r="AN140" s="52"/>
      <c r="AO140" s="52"/>
      <c r="AP140" s="52"/>
      <c r="AQ140" s="52"/>
    </row>
    <row r="141" spans="1:43">
      <c r="A141" s="331">
        <v>45120</v>
      </c>
      <c r="B141" s="332">
        <v>4510.04</v>
      </c>
      <c r="C141" s="30">
        <v>400.56</v>
      </c>
      <c r="D141" s="22">
        <f t="shared" si="4"/>
        <v>1.0254315912833632E-3</v>
      </c>
      <c r="E141" s="22">
        <f t="shared" si="5"/>
        <v>-4.8446001341581292E-3</v>
      </c>
      <c r="F141" s="12"/>
      <c r="G141" s="12"/>
      <c r="H141" s="3"/>
      <c r="I141" s="3"/>
      <c r="J141" s="3"/>
      <c r="K141" s="3"/>
      <c r="L141" s="3"/>
      <c r="M141" s="3"/>
      <c r="N141" s="3"/>
      <c r="O141" s="3"/>
      <c r="P141" s="3"/>
      <c r="Q141" s="3"/>
      <c r="R141" s="3"/>
      <c r="S141" s="3"/>
      <c r="T141" s="3"/>
      <c r="U141" s="3"/>
      <c r="V141" s="47"/>
      <c r="W141" s="47"/>
      <c r="X141" s="47"/>
      <c r="Y141" s="47"/>
      <c r="Z141" s="47"/>
      <c r="AA141" s="198"/>
      <c r="AB141" s="198"/>
      <c r="AC141" s="198"/>
      <c r="AD141" s="198"/>
      <c r="AE141" s="198"/>
      <c r="AF141" s="198"/>
      <c r="AG141" s="198"/>
      <c r="AH141" s="198"/>
      <c r="AI141" s="198"/>
      <c r="AJ141" s="198"/>
      <c r="AK141" s="198"/>
      <c r="AL141" s="198"/>
      <c r="AM141" s="52"/>
      <c r="AN141" s="52"/>
      <c r="AO141" s="52"/>
      <c r="AP141" s="52"/>
      <c r="AQ141" s="52"/>
    </row>
    <row r="142" spans="1:43">
      <c r="A142" s="331">
        <v>45119</v>
      </c>
      <c r="B142" s="332">
        <v>4472.16</v>
      </c>
      <c r="C142" s="30">
        <v>400.69</v>
      </c>
      <c r="D142" s="22">
        <f t="shared" si="4"/>
        <v>-8.3990385894582107E-3</v>
      </c>
      <c r="E142" s="22">
        <f t="shared" si="5"/>
        <v>3.2454563610943539E-4</v>
      </c>
      <c r="F142" s="12"/>
      <c r="G142" s="12"/>
      <c r="H142" s="3"/>
      <c r="I142" s="3"/>
      <c r="J142" s="3"/>
      <c r="K142" s="3"/>
      <c r="L142" s="3"/>
      <c r="M142" s="3"/>
      <c r="N142" s="3"/>
      <c r="O142" s="3"/>
      <c r="P142" s="3"/>
      <c r="Q142" s="3"/>
      <c r="R142" s="3"/>
      <c r="S142" s="3"/>
      <c r="T142" s="3"/>
      <c r="U142" s="3"/>
      <c r="V142" s="47"/>
      <c r="W142" s="47"/>
      <c r="X142" s="47"/>
      <c r="Y142" s="47"/>
      <c r="Z142" s="47"/>
      <c r="AA142" s="198"/>
      <c r="AB142" s="198"/>
      <c r="AC142" s="198"/>
      <c r="AD142" s="198"/>
      <c r="AE142" s="198"/>
      <c r="AF142" s="198"/>
      <c r="AG142" s="198"/>
      <c r="AH142" s="198"/>
      <c r="AI142" s="198"/>
      <c r="AJ142" s="198"/>
      <c r="AK142" s="198"/>
      <c r="AL142" s="198"/>
      <c r="AM142" s="52"/>
      <c r="AN142" s="52"/>
      <c r="AO142" s="52"/>
      <c r="AP142" s="52"/>
      <c r="AQ142" s="52"/>
    </row>
    <row r="143" spans="1:43">
      <c r="A143" s="331">
        <v>45118</v>
      </c>
      <c r="B143" s="332">
        <v>4439.26</v>
      </c>
      <c r="C143" s="30">
        <v>397.8</v>
      </c>
      <c r="D143" s="22">
        <f t="shared" si="4"/>
        <v>-7.3566240921612014E-3</v>
      </c>
      <c r="E143" s="22">
        <f t="shared" si="5"/>
        <v>-7.212558336868867E-3</v>
      </c>
      <c r="F143" s="12"/>
      <c r="G143" s="12"/>
      <c r="H143" s="3"/>
      <c r="I143" s="3"/>
      <c r="J143" s="3"/>
      <c r="K143" s="3"/>
      <c r="L143" s="3"/>
      <c r="M143" s="3"/>
      <c r="N143" s="3"/>
      <c r="O143" s="3"/>
      <c r="P143" s="3"/>
      <c r="Q143" s="3"/>
      <c r="R143" s="3"/>
      <c r="S143" s="3"/>
      <c r="T143" s="3"/>
      <c r="U143" s="3"/>
      <c r="V143" s="47"/>
      <c r="W143" s="47"/>
      <c r="X143" s="47"/>
      <c r="Y143" s="47"/>
      <c r="Z143" s="47"/>
      <c r="AA143" s="198"/>
      <c r="AB143" s="198"/>
      <c r="AC143" s="198"/>
      <c r="AD143" s="198"/>
      <c r="AE143" s="198"/>
      <c r="AF143" s="198"/>
      <c r="AG143" s="198"/>
      <c r="AH143" s="198"/>
      <c r="AI143" s="198"/>
      <c r="AJ143" s="198"/>
      <c r="AK143" s="198"/>
      <c r="AL143" s="198"/>
      <c r="AM143" s="52"/>
      <c r="AN143" s="52"/>
      <c r="AO143" s="52"/>
      <c r="AP143" s="52"/>
      <c r="AQ143" s="52"/>
    </row>
    <row r="144" spans="1:43">
      <c r="A144" s="331">
        <v>45117</v>
      </c>
      <c r="B144" s="332">
        <v>4409.53</v>
      </c>
      <c r="C144" s="30">
        <v>392.16</v>
      </c>
      <c r="D144" s="22">
        <f t="shared" si="4"/>
        <v>-6.6970621229665468E-3</v>
      </c>
      <c r="E144" s="22">
        <f t="shared" si="5"/>
        <v>-1.4177978883861202E-2</v>
      </c>
      <c r="F144" s="12"/>
      <c r="G144" s="12"/>
      <c r="H144" s="3"/>
      <c r="I144" s="3"/>
      <c r="J144" s="3"/>
      <c r="K144" s="3"/>
      <c r="L144" s="3"/>
      <c r="M144" s="3"/>
      <c r="N144" s="3"/>
      <c r="O144" s="3"/>
      <c r="P144" s="3"/>
      <c r="Q144" s="3"/>
      <c r="R144" s="3"/>
      <c r="S144" s="3"/>
      <c r="T144" s="3"/>
      <c r="U144" s="3"/>
      <c r="V144" s="47"/>
      <c r="W144" s="47"/>
      <c r="X144" s="47"/>
      <c r="Y144" s="47"/>
      <c r="Z144" s="47"/>
      <c r="AA144" s="198"/>
      <c r="AB144" s="198"/>
      <c r="AC144" s="198"/>
      <c r="AD144" s="198"/>
      <c r="AE144" s="198"/>
      <c r="AF144" s="198"/>
      <c r="AG144" s="198"/>
      <c r="AH144" s="198"/>
      <c r="AI144" s="198"/>
      <c r="AJ144" s="198"/>
      <c r="AK144" s="198"/>
      <c r="AL144" s="198"/>
      <c r="AM144" s="52"/>
      <c r="AN144" s="52"/>
      <c r="AO144" s="52"/>
      <c r="AP144" s="52"/>
      <c r="AQ144" s="52"/>
    </row>
    <row r="145" spans="1:43">
      <c r="A145" s="331">
        <v>45114</v>
      </c>
      <c r="B145" s="332">
        <v>4398.95</v>
      </c>
      <c r="C145" s="30">
        <v>388.68</v>
      </c>
      <c r="D145" s="22">
        <f t="shared" si="4"/>
        <v>-2.3993486834197587E-3</v>
      </c>
      <c r="E145" s="22">
        <f t="shared" si="5"/>
        <v>-8.8739290085679771E-3</v>
      </c>
      <c r="F145" s="12"/>
      <c r="G145" s="12"/>
      <c r="H145" s="3"/>
      <c r="I145" s="3"/>
      <c r="J145" s="3"/>
      <c r="K145" s="3"/>
      <c r="L145" s="3"/>
      <c r="M145" s="3"/>
      <c r="N145" s="3"/>
      <c r="O145" s="3"/>
      <c r="P145" s="3"/>
      <c r="Q145" s="3"/>
      <c r="R145" s="3"/>
      <c r="S145" s="3"/>
      <c r="T145" s="3"/>
      <c r="U145" s="3"/>
      <c r="V145" s="47"/>
      <c r="W145" s="47"/>
      <c r="X145" s="47"/>
      <c r="Y145" s="47"/>
      <c r="Z145" s="47"/>
      <c r="AA145" s="198"/>
      <c r="AB145" s="198"/>
      <c r="AC145" s="198"/>
      <c r="AD145" s="198"/>
      <c r="AE145" s="198"/>
      <c r="AF145" s="198"/>
      <c r="AG145" s="198"/>
      <c r="AH145" s="198"/>
      <c r="AI145" s="198"/>
      <c r="AJ145" s="198"/>
      <c r="AK145" s="198"/>
      <c r="AL145" s="198"/>
      <c r="AM145" s="52"/>
      <c r="AN145" s="52"/>
      <c r="AO145" s="52"/>
      <c r="AP145" s="52"/>
      <c r="AQ145" s="52"/>
    </row>
    <row r="146" spans="1:43">
      <c r="A146" s="331">
        <v>45113</v>
      </c>
      <c r="B146" s="332">
        <v>4411.59</v>
      </c>
      <c r="C146" s="30">
        <v>393.14</v>
      </c>
      <c r="D146" s="22">
        <f t="shared" si="4"/>
        <v>2.873412973550581E-3</v>
      </c>
      <c r="E146" s="22">
        <f t="shared" si="5"/>
        <v>1.147473500051451E-2</v>
      </c>
      <c r="F146" s="12"/>
      <c r="G146" s="12"/>
      <c r="H146" s="3"/>
      <c r="I146" s="3"/>
      <c r="J146" s="3"/>
      <c r="K146" s="3"/>
      <c r="L146" s="3"/>
      <c r="M146" s="3"/>
      <c r="N146" s="3"/>
      <c r="O146" s="3"/>
      <c r="P146" s="3"/>
      <c r="Q146" s="3"/>
      <c r="R146" s="3"/>
      <c r="S146" s="3"/>
      <c r="T146" s="3"/>
      <c r="U146" s="3"/>
      <c r="V146" s="47"/>
      <c r="W146" s="47"/>
      <c r="X146" s="47"/>
      <c r="Y146" s="47"/>
      <c r="Z146" s="47"/>
      <c r="AA146" s="198"/>
      <c r="AB146" s="198"/>
      <c r="AC146" s="198"/>
      <c r="AD146" s="198"/>
      <c r="AE146" s="198"/>
      <c r="AF146" s="198"/>
      <c r="AG146" s="198"/>
      <c r="AH146" s="198"/>
      <c r="AI146" s="198"/>
      <c r="AJ146" s="198"/>
      <c r="AK146" s="198"/>
      <c r="AL146" s="198"/>
      <c r="AM146" s="52"/>
      <c r="AN146" s="52"/>
      <c r="AO146" s="52"/>
      <c r="AP146" s="52"/>
      <c r="AQ146" s="52"/>
    </row>
    <row r="147" spans="1:43">
      <c r="A147" s="331">
        <v>45112</v>
      </c>
      <c r="B147" s="332">
        <v>4446.82</v>
      </c>
      <c r="C147" s="30">
        <v>394.73</v>
      </c>
      <c r="D147" s="22">
        <f t="shared" si="4"/>
        <v>7.9857829036695527E-3</v>
      </c>
      <c r="E147" s="22">
        <f t="shared" si="5"/>
        <v>4.0443607875058039E-3</v>
      </c>
      <c r="F147" s="12"/>
      <c r="G147" s="12"/>
      <c r="H147" s="3"/>
      <c r="I147" s="3"/>
      <c r="J147" s="3"/>
      <c r="K147" s="3"/>
      <c r="L147" s="3"/>
      <c r="M147" s="3"/>
      <c r="N147" s="3"/>
      <c r="O147" s="3"/>
      <c r="P147" s="3"/>
      <c r="Q147" s="3"/>
      <c r="R147" s="3"/>
      <c r="S147" s="3"/>
      <c r="T147" s="3"/>
      <c r="U147" s="3"/>
      <c r="V147" s="47"/>
      <c r="W147" s="47"/>
      <c r="X147" s="47"/>
      <c r="Y147" s="47"/>
      <c r="Z147" s="47"/>
      <c r="AA147" s="198"/>
      <c r="AB147" s="198"/>
      <c r="AC147" s="198"/>
      <c r="AD147" s="198"/>
      <c r="AE147" s="198"/>
      <c r="AF147" s="198"/>
      <c r="AG147" s="198"/>
      <c r="AH147" s="198"/>
      <c r="AI147" s="198"/>
      <c r="AJ147" s="198"/>
      <c r="AK147" s="198"/>
      <c r="AL147" s="198"/>
      <c r="AM147" s="52"/>
      <c r="AN147" s="52"/>
      <c r="AO147" s="52"/>
      <c r="AP147" s="52"/>
      <c r="AQ147" s="52"/>
    </row>
    <row r="148" spans="1:43">
      <c r="A148" s="331">
        <v>45110</v>
      </c>
      <c r="B148" s="332">
        <v>4455.59</v>
      </c>
      <c r="C148" s="30">
        <v>393.96</v>
      </c>
      <c r="D148" s="22">
        <f t="shared" si="4"/>
        <v>1.9721958613122268E-3</v>
      </c>
      <c r="E148" s="22">
        <f t="shared" si="5"/>
        <v>-1.9507004788083971E-3</v>
      </c>
      <c r="F148" s="12"/>
      <c r="G148" s="12"/>
      <c r="H148" s="3"/>
      <c r="I148" s="3"/>
      <c r="J148" s="3"/>
      <c r="K148" s="3"/>
      <c r="L148" s="3"/>
      <c r="M148" s="3"/>
      <c r="N148" s="3"/>
      <c r="O148" s="3"/>
      <c r="P148" s="3"/>
      <c r="Q148" s="3"/>
      <c r="R148" s="3"/>
      <c r="S148" s="3"/>
      <c r="T148" s="3"/>
      <c r="U148" s="3"/>
      <c r="V148" s="47"/>
      <c r="W148" s="47"/>
      <c r="X148" s="47"/>
      <c r="Y148" s="47"/>
      <c r="Z148" s="47"/>
      <c r="AA148" s="198"/>
      <c r="AB148" s="198"/>
      <c r="AC148" s="198"/>
      <c r="AD148" s="198"/>
      <c r="AE148" s="198"/>
      <c r="AF148" s="198"/>
      <c r="AG148" s="198"/>
      <c r="AH148" s="198"/>
      <c r="AI148" s="198"/>
      <c r="AJ148" s="198"/>
      <c r="AK148" s="198"/>
      <c r="AL148" s="198"/>
      <c r="AM148" s="52"/>
      <c r="AN148" s="52"/>
      <c r="AO148" s="52"/>
      <c r="AP148" s="52"/>
      <c r="AQ148" s="52"/>
    </row>
    <row r="149" spans="1:43">
      <c r="A149" s="331">
        <v>45107</v>
      </c>
      <c r="B149" s="332">
        <v>4450.38</v>
      </c>
      <c r="C149" s="30">
        <v>393.3</v>
      </c>
      <c r="D149" s="22">
        <f t="shared" si="4"/>
        <v>-1.1693176436790719E-3</v>
      </c>
      <c r="E149" s="22">
        <f t="shared" si="5"/>
        <v>-1.6752969844653473E-3</v>
      </c>
      <c r="F149" s="12"/>
      <c r="G149" s="12"/>
      <c r="H149" s="3"/>
      <c r="I149" s="3"/>
      <c r="J149" s="3"/>
      <c r="K149" s="3"/>
      <c r="L149" s="3"/>
      <c r="M149" s="3"/>
      <c r="N149" s="3"/>
      <c r="O149" s="3"/>
      <c r="P149" s="3"/>
      <c r="Q149" s="3"/>
      <c r="R149" s="3"/>
      <c r="S149" s="3"/>
      <c r="T149" s="3"/>
      <c r="U149" s="3"/>
      <c r="V149" s="47"/>
      <c r="W149" s="47"/>
      <c r="X149" s="47"/>
      <c r="Y149" s="47"/>
      <c r="Z149" s="47"/>
      <c r="AA149" s="198"/>
      <c r="AB149" s="198"/>
      <c r="AC149" s="198"/>
      <c r="AD149" s="198"/>
      <c r="AE149" s="198"/>
      <c r="AF149" s="198"/>
      <c r="AG149" s="198"/>
      <c r="AH149" s="198"/>
      <c r="AI149" s="198"/>
      <c r="AJ149" s="198"/>
      <c r="AK149" s="198"/>
      <c r="AL149" s="198"/>
      <c r="AM149" s="52"/>
      <c r="AN149" s="52"/>
      <c r="AO149" s="52"/>
      <c r="AP149" s="52"/>
      <c r="AQ149" s="52"/>
    </row>
    <row r="150" spans="1:43">
      <c r="A150" s="331">
        <v>45106</v>
      </c>
      <c r="B150" s="332">
        <v>4396.4399999999996</v>
      </c>
      <c r="C150" s="30">
        <v>387.67</v>
      </c>
      <c r="D150" s="22">
        <f t="shared" si="4"/>
        <v>-1.2120313321559172E-2</v>
      </c>
      <c r="E150" s="22">
        <f t="shared" si="5"/>
        <v>-1.431477243834222E-2</v>
      </c>
      <c r="F150" s="12"/>
      <c r="G150" s="12"/>
      <c r="H150" s="3"/>
      <c r="I150" s="3"/>
      <c r="J150" s="3"/>
      <c r="K150" s="3"/>
      <c r="L150" s="3"/>
      <c r="M150" s="3"/>
      <c r="N150" s="3"/>
      <c r="O150" s="3"/>
      <c r="P150" s="3"/>
      <c r="Q150" s="3"/>
      <c r="R150" s="3"/>
      <c r="S150" s="3"/>
      <c r="T150" s="3"/>
      <c r="U150" s="3"/>
      <c r="V150" s="47"/>
      <c r="W150" s="47"/>
      <c r="X150" s="47"/>
      <c r="Y150" s="47"/>
      <c r="Z150" s="47"/>
      <c r="AA150" s="198"/>
      <c r="AB150" s="198"/>
      <c r="AC150" s="198"/>
      <c r="AD150" s="198"/>
      <c r="AE150" s="198"/>
      <c r="AF150" s="198"/>
      <c r="AG150" s="198"/>
      <c r="AH150" s="198"/>
      <c r="AI150" s="198"/>
      <c r="AJ150" s="198"/>
      <c r="AK150" s="198"/>
      <c r="AL150" s="198"/>
      <c r="AM150" s="52"/>
      <c r="AN150" s="52"/>
      <c r="AO150" s="52"/>
      <c r="AP150" s="52"/>
      <c r="AQ150" s="52"/>
    </row>
    <row r="151" spans="1:43">
      <c r="A151" s="331">
        <v>45105</v>
      </c>
      <c r="B151" s="332">
        <v>4376.8599999999997</v>
      </c>
      <c r="C151" s="30">
        <v>380.23</v>
      </c>
      <c r="D151" s="22">
        <f t="shared" si="4"/>
        <v>-4.4536033699993467E-3</v>
      </c>
      <c r="E151" s="22">
        <f t="shared" si="5"/>
        <v>-1.9191580467923745E-2</v>
      </c>
      <c r="F151" s="12"/>
      <c r="G151" s="12"/>
      <c r="H151" s="3"/>
      <c r="I151" s="3"/>
      <c r="J151" s="3"/>
      <c r="K151" s="3"/>
      <c r="L151" s="3"/>
      <c r="M151" s="3"/>
      <c r="N151" s="3"/>
      <c r="O151" s="3"/>
      <c r="P151" s="3"/>
      <c r="Q151" s="3"/>
      <c r="R151" s="3"/>
      <c r="S151" s="3"/>
      <c r="T151" s="3"/>
      <c r="U151" s="3"/>
      <c r="V151" s="47"/>
      <c r="W151" s="47"/>
      <c r="X151" s="47"/>
      <c r="Y151" s="47"/>
      <c r="Z151" s="47"/>
      <c r="AA151" s="198"/>
      <c r="AB151" s="198"/>
      <c r="AC151" s="198"/>
      <c r="AD151" s="198"/>
      <c r="AE151" s="198"/>
      <c r="AF151" s="198"/>
      <c r="AG151" s="198"/>
      <c r="AH151" s="198"/>
      <c r="AI151" s="198"/>
      <c r="AJ151" s="198"/>
      <c r="AK151" s="198"/>
      <c r="AL151" s="198"/>
      <c r="AM151" s="52"/>
      <c r="AN151" s="52"/>
      <c r="AO151" s="52"/>
      <c r="AP151" s="52"/>
      <c r="AQ151" s="52"/>
    </row>
    <row r="152" spans="1:43">
      <c r="A152" s="331">
        <v>45104</v>
      </c>
      <c r="B152" s="332">
        <v>4378.41</v>
      </c>
      <c r="C152" s="30">
        <v>381.79</v>
      </c>
      <c r="D152" s="22">
        <f t="shared" si="4"/>
        <v>3.541351562536115E-4</v>
      </c>
      <c r="E152" s="22">
        <f t="shared" si="5"/>
        <v>4.1027798963785139E-3</v>
      </c>
      <c r="F152" s="12"/>
      <c r="G152" s="12"/>
      <c r="H152" s="3"/>
      <c r="I152" s="3"/>
      <c r="J152" s="3"/>
      <c r="K152" s="3"/>
      <c r="L152" s="3"/>
      <c r="M152" s="3"/>
      <c r="N152" s="3"/>
      <c r="O152" s="3"/>
      <c r="P152" s="3"/>
      <c r="Q152" s="3"/>
      <c r="R152" s="3"/>
      <c r="S152" s="3"/>
      <c r="T152" s="3"/>
      <c r="U152" s="3"/>
      <c r="V152" s="47"/>
      <c r="W152" s="47"/>
      <c r="X152" s="47"/>
      <c r="Y152" s="47"/>
      <c r="Z152" s="47"/>
      <c r="AA152" s="198"/>
      <c r="AB152" s="198"/>
      <c r="AC152" s="198"/>
      <c r="AD152" s="198"/>
      <c r="AE152" s="198"/>
      <c r="AF152" s="198"/>
      <c r="AG152" s="198"/>
      <c r="AH152" s="198"/>
      <c r="AI152" s="198"/>
      <c r="AJ152" s="198"/>
      <c r="AK152" s="198"/>
      <c r="AL152" s="198"/>
      <c r="AM152" s="52"/>
      <c r="AN152" s="52"/>
      <c r="AO152" s="52"/>
      <c r="AP152" s="52"/>
      <c r="AQ152" s="52"/>
    </row>
    <row r="153" spans="1:43">
      <c r="A153" s="331">
        <v>45103</v>
      </c>
      <c r="B153" s="332">
        <v>4328.82</v>
      </c>
      <c r="C153" s="30">
        <v>377.42</v>
      </c>
      <c r="D153" s="22">
        <f t="shared" si="4"/>
        <v>-1.1326029312010558E-2</v>
      </c>
      <c r="E153" s="22">
        <f t="shared" si="5"/>
        <v>-1.1446082925168298E-2</v>
      </c>
      <c r="F153" s="12"/>
      <c r="G153" s="12"/>
      <c r="H153" s="3"/>
      <c r="I153" s="3"/>
      <c r="J153" s="3"/>
      <c r="K153" s="3"/>
      <c r="L153" s="3"/>
      <c r="M153" s="3"/>
      <c r="N153" s="3"/>
      <c r="O153" s="3"/>
      <c r="P153" s="3"/>
      <c r="Q153" s="3"/>
      <c r="R153" s="3"/>
      <c r="S153" s="3"/>
      <c r="T153" s="3"/>
      <c r="U153" s="3"/>
      <c r="V153" s="47"/>
      <c r="W153" s="47"/>
      <c r="X153" s="47"/>
      <c r="Y153" s="47"/>
      <c r="Z153" s="47"/>
      <c r="AA153" s="198"/>
      <c r="AB153" s="198"/>
      <c r="AC153" s="198"/>
      <c r="AD153" s="198"/>
      <c r="AE153" s="198"/>
      <c r="AF153" s="198"/>
      <c r="AG153" s="198"/>
      <c r="AH153" s="198"/>
      <c r="AI153" s="198"/>
      <c r="AJ153" s="198"/>
      <c r="AK153" s="198"/>
      <c r="AL153" s="198"/>
      <c r="AM153" s="52"/>
      <c r="AN153" s="52"/>
      <c r="AO153" s="52"/>
      <c r="AP153" s="52"/>
      <c r="AQ153" s="52"/>
    </row>
    <row r="154" spans="1:43">
      <c r="A154" s="331">
        <v>45100</v>
      </c>
      <c r="B154" s="332">
        <v>4348.33</v>
      </c>
      <c r="C154" s="30">
        <v>379.81</v>
      </c>
      <c r="D154" s="22">
        <f t="shared" si="4"/>
        <v>4.5070019081412992E-3</v>
      </c>
      <c r="E154" s="22">
        <f t="shared" si="5"/>
        <v>6.3324678077473009E-3</v>
      </c>
      <c r="F154" s="12"/>
      <c r="G154" s="12"/>
      <c r="H154" s="3"/>
      <c r="I154" s="3"/>
      <c r="J154" s="3"/>
      <c r="K154" s="3"/>
      <c r="L154" s="3"/>
      <c r="M154" s="3"/>
      <c r="N154" s="3"/>
      <c r="O154" s="3"/>
      <c r="P154" s="3"/>
      <c r="Q154" s="3"/>
      <c r="R154" s="3"/>
      <c r="S154" s="3"/>
      <c r="T154" s="3"/>
      <c r="U154" s="3"/>
      <c r="V154" s="47"/>
      <c r="W154" s="47"/>
      <c r="X154" s="47"/>
      <c r="Y154" s="47"/>
      <c r="Z154" s="47"/>
      <c r="AA154" s="198"/>
      <c r="AB154" s="198"/>
      <c r="AC154" s="198"/>
      <c r="AD154" s="198"/>
      <c r="AE154" s="198"/>
      <c r="AF154" s="198"/>
      <c r="AG154" s="198"/>
      <c r="AH154" s="198"/>
      <c r="AI154" s="198"/>
      <c r="AJ154" s="198"/>
      <c r="AK154" s="198"/>
      <c r="AL154" s="198"/>
      <c r="AM154" s="52"/>
      <c r="AN154" s="52"/>
      <c r="AO154" s="52"/>
      <c r="AP154" s="52"/>
      <c r="AQ154" s="52"/>
    </row>
    <row r="155" spans="1:43">
      <c r="A155" s="331">
        <v>45099</v>
      </c>
      <c r="B155" s="332">
        <v>4381.8900000000003</v>
      </c>
      <c r="C155" s="30">
        <v>377.8</v>
      </c>
      <c r="D155" s="22">
        <f t="shared" si="4"/>
        <v>7.7179054947532503E-3</v>
      </c>
      <c r="E155" s="22">
        <f t="shared" si="5"/>
        <v>-5.2921197440825435E-3</v>
      </c>
      <c r="F155" s="12"/>
      <c r="G155" s="12"/>
      <c r="H155" s="3"/>
      <c r="I155" s="3"/>
      <c r="J155" s="3"/>
      <c r="K155" s="3"/>
      <c r="L155" s="3"/>
      <c r="M155" s="3"/>
      <c r="N155" s="3"/>
      <c r="O155" s="3"/>
      <c r="P155" s="3"/>
      <c r="Q155" s="3"/>
      <c r="R155" s="3"/>
      <c r="S155" s="3"/>
      <c r="T155" s="3"/>
      <c r="U155" s="3"/>
      <c r="V155" s="47"/>
      <c r="W155" s="47"/>
      <c r="X155" s="47"/>
      <c r="Y155" s="47"/>
      <c r="Z155" s="47"/>
      <c r="AA155" s="198"/>
      <c r="AB155" s="198"/>
      <c r="AC155" s="198"/>
      <c r="AD155" s="198"/>
      <c r="AE155" s="198"/>
      <c r="AF155" s="198"/>
      <c r="AG155" s="198"/>
      <c r="AH155" s="198"/>
      <c r="AI155" s="198"/>
      <c r="AJ155" s="198"/>
      <c r="AK155" s="198"/>
      <c r="AL155" s="198"/>
      <c r="AM155" s="52"/>
      <c r="AN155" s="52"/>
      <c r="AO155" s="52"/>
      <c r="AP155" s="52"/>
      <c r="AQ155" s="52"/>
    </row>
    <row r="156" spans="1:43">
      <c r="A156" s="331">
        <v>45098</v>
      </c>
      <c r="B156" s="332">
        <v>4365.6899999999996</v>
      </c>
      <c r="C156" s="30">
        <v>376.14</v>
      </c>
      <c r="D156" s="22">
        <f t="shared" si="4"/>
        <v>-3.6970348411303629E-3</v>
      </c>
      <c r="E156" s="22">
        <f t="shared" si="5"/>
        <v>-4.393859184753904E-3</v>
      </c>
      <c r="F156" s="12"/>
      <c r="G156" s="12"/>
      <c r="H156" s="3"/>
      <c r="I156" s="3"/>
      <c r="J156" s="3"/>
      <c r="K156" s="3"/>
      <c r="L156" s="3"/>
      <c r="M156" s="3"/>
      <c r="N156" s="3"/>
      <c r="O156" s="3"/>
      <c r="P156" s="3"/>
      <c r="Q156" s="3"/>
      <c r="R156" s="3"/>
      <c r="S156" s="3"/>
      <c r="T156" s="3"/>
      <c r="U156" s="3"/>
      <c r="V156" s="47"/>
      <c r="W156" s="47"/>
      <c r="X156" s="47"/>
      <c r="Y156" s="47"/>
      <c r="Z156" s="47"/>
      <c r="AA156" s="198"/>
      <c r="AB156" s="198"/>
      <c r="AC156" s="198"/>
      <c r="AD156" s="198"/>
      <c r="AE156" s="198"/>
      <c r="AF156" s="198"/>
      <c r="AG156" s="198"/>
      <c r="AH156" s="198"/>
      <c r="AI156" s="198"/>
      <c r="AJ156" s="198"/>
      <c r="AK156" s="198"/>
      <c r="AL156" s="198"/>
      <c r="AM156" s="52"/>
      <c r="AN156" s="52"/>
      <c r="AO156" s="52"/>
      <c r="AP156" s="52"/>
      <c r="AQ156" s="52"/>
    </row>
    <row r="157" spans="1:43">
      <c r="A157" s="331">
        <v>45097</v>
      </c>
      <c r="B157" s="332">
        <v>4388.71</v>
      </c>
      <c r="C157" s="30">
        <v>374.62</v>
      </c>
      <c r="D157" s="22">
        <f t="shared" si="4"/>
        <v>5.2729350915892877E-3</v>
      </c>
      <c r="E157" s="22">
        <f t="shared" si="5"/>
        <v>-4.041048545754192E-3</v>
      </c>
      <c r="F157" s="12"/>
      <c r="G157" s="12"/>
      <c r="H157" s="3"/>
      <c r="I157" s="3"/>
      <c r="J157" s="3"/>
      <c r="K157" s="3"/>
      <c r="L157" s="3"/>
      <c r="M157" s="3"/>
      <c r="N157" s="3"/>
      <c r="O157" s="3"/>
      <c r="P157" s="3"/>
      <c r="Q157" s="3"/>
      <c r="R157" s="3"/>
      <c r="S157" s="3"/>
      <c r="T157" s="3"/>
      <c r="U157" s="3"/>
      <c r="V157" s="47"/>
      <c r="W157" s="47"/>
      <c r="X157" s="47"/>
      <c r="Y157" s="47"/>
      <c r="Z157" s="47"/>
      <c r="AA157" s="198"/>
      <c r="AB157" s="198"/>
      <c r="AC157" s="198"/>
      <c r="AD157" s="198"/>
      <c r="AE157" s="198"/>
      <c r="AF157" s="198"/>
      <c r="AG157" s="198"/>
      <c r="AH157" s="198"/>
      <c r="AI157" s="198"/>
      <c r="AJ157" s="198"/>
      <c r="AK157" s="198"/>
      <c r="AL157" s="198"/>
      <c r="AM157" s="52"/>
      <c r="AN157" s="52"/>
      <c r="AO157" s="52"/>
      <c r="AP157" s="52"/>
      <c r="AQ157" s="52"/>
    </row>
    <row r="158" spans="1:43">
      <c r="A158" s="331">
        <v>45093</v>
      </c>
      <c r="B158" s="332">
        <v>4409.59</v>
      </c>
      <c r="C158" s="30">
        <v>376.53</v>
      </c>
      <c r="D158" s="22">
        <f t="shared" si="4"/>
        <v>4.7576622743357635E-3</v>
      </c>
      <c r="E158" s="22">
        <f t="shared" si="5"/>
        <v>5.0984998131439006E-3</v>
      </c>
      <c r="F158" s="12"/>
      <c r="G158" s="12"/>
      <c r="H158" s="3"/>
      <c r="I158" s="3"/>
      <c r="J158" s="3"/>
      <c r="K158" s="3"/>
      <c r="L158" s="3"/>
      <c r="M158" s="3"/>
      <c r="N158" s="3"/>
      <c r="O158" s="3"/>
      <c r="P158" s="3"/>
      <c r="Q158" s="3"/>
      <c r="R158" s="3"/>
      <c r="S158" s="3"/>
      <c r="T158" s="3"/>
      <c r="U158" s="3"/>
      <c r="V158" s="47"/>
      <c r="W158" s="47"/>
      <c r="X158" s="47"/>
      <c r="Y158" s="47"/>
      <c r="Z158" s="47"/>
      <c r="AA158" s="198"/>
      <c r="AB158" s="198"/>
      <c r="AC158" s="198"/>
      <c r="AD158" s="198"/>
      <c r="AE158" s="198"/>
      <c r="AF158" s="198"/>
      <c r="AG158" s="198"/>
      <c r="AH158" s="198"/>
      <c r="AI158" s="198"/>
      <c r="AJ158" s="198"/>
      <c r="AK158" s="198"/>
      <c r="AL158" s="198"/>
      <c r="AM158" s="52"/>
      <c r="AN158" s="52"/>
      <c r="AO158" s="52"/>
      <c r="AP158" s="52"/>
      <c r="AQ158" s="52"/>
    </row>
    <row r="159" spans="1:43">
      <c r="A159" s="331">
        <v>45092</v>
      </c>
      <c r="B159" s="332">
        <v>4425.84</v>
      </c>
      <c r="C159" s="30">
        <v>379.04</v>
      </c>
      <c r="D159" s="22">
        <f t="shared" si="4"/>
        <v>3.6851498665408803E-3</v>
      </c>
      <c r="E159" s="22">
        <f t="shared" si="5"/>
        <v>6.6661355004914557E-3</v>
      </c>
      <c r="F159" s="12"/>
      <c r="G159" s="12"/>
      <c r="H159" s="3"/>
      <c r="I159" s="3"/>
      <c r="J159" s="3"/>
      <c r="K159" s="3"/>
      <c r="L159" s="3"/>
      <c r="M159" s="3"/>
      <c r="N159" s="3"/>
      <c r="O159" s="3"/>
      <c r="P159" s="3"/>
      <c r="Q159" s="3"/>
      <c r="R159" s="3"/>
      <c r="S159" s="3"/>
      <c r="T159" s="3"/>
      <c r="U159" s="3"/>
      <c r="V159" s="47"/>
      <c r="W159" s="47"/>
      <c r="X159" s="47"/>
      <c r="Y159" s="47"/>
      <c r="Z159" s="47"/>
      <c r="AA159" s="198"/>
      <c r="AB159" s="198"/>
      <c r="AC159" s="198"/>
      <c r="AD159" s="198"/>
      <c r="AE159" s="198"/>
      <c r="AF159" s="198"/>
      <c r="AG159" s="198"/>
      <c r="AH159" s="198"/>
      <c r="AI159" s="198"/>
      <c r="AJ159" s="198"/>
      <c r="AK159" s="198"/>
      <c r="AL159" s="198"/>
      <c r="AM159" s="52"/>
      <c r="AN159" s="52"/>
      <c r="AO159" s="52"/>
      <c r="AP159" s="52"/>
      <c r="AQ159" s="52"/>
    </row>
    <row r="160" spans="1:43">
      <c r="A160" s="331">
        <v>45091</v>
      </c>
      <c r="B160" s="332">
        <v>4372.59</v>
      </c>
      <c r="C160" s="30">
        <v>374.76</v>
      </c>
      <c r="D160" s="22">
        <f t="shared" si="4"/>
        <v>-1.2031614337617265E-2</v>
      </c>
      <c r="E160" s="22">
        <f t="shared" si="5"/>
        <v>-1.1291684254959976E-2</v>
      </c>
      <c r="F160" s="12"/>
      <c r="G160" s="12"/>
      <c r="H160" s="3"/>
      <c r="I160" s="3"/>
      <c r="J160" s="3"/>
      <c r="K160" s="3"/>
      <c r="L160" s="3"/>
      <c r="M160" s="3"/>
      <c r="N160" s="3"/>
      <c r="O160" s="3"/>
      <c r="P160" s="3"/>
      <c r="Q160" s="3"/>
      <c r="R160" s="3"/>
      <c r="S160" s="3"/>
      <c r="T160" s="3"/>
      <c r="U160" s="3"/>
      <c r="V160" s="47"/>
      <c r="W160" s="47"/>
      <c r="X160" s="47"/>
      <c r="Y160" s="47"/>
      <c r="Z160" s="47"/>
      <c r="AA160" s="198"/>
      <c r="AB160" s="198"/>
      <c r="AC160" s="198"/>
      <c r="AD160" s="198"/>
      <c r="AE160" s="198"/>
      <c r="AF160" s="198"/>
      <c r="AG160" s="198"/>
      <c r="AH160" s="198"/>
      <c r="AI160" s="198"/>
      <c r="AJ160" s="198"/>
      <c r="AK160" s="198"/>
      <c r="AL160" s="198"/>
      <c r="AM160" s="52"/>
      <c r="AN160" s="52"/>
      <c r="AO160" s="52"/>
      <c r="AP160" s="52"/>
      <c r="AQ160" s="52"/>
    </row>
    <row r="161" spans="1:43">
      <c r="A161" s="331">
        <v>45090</v>
      </c>
      <c r="B161" s="332">
        <v>4369.01</v>
      </c>
      <c r="C161" s="30">
        <v>371.38</v>
      </c>
      <c r="D161" s="22">
        <f t="shared" si="4"/>
        <v>-8.1873672125672137E-4</v>
      </c>
      <c r="E161" s="22">
        <f t="shared" si="5"/>
        <v>-9.0191055608922922E-3</v>
      </c>
      <c r="F161" s="12"/>
      <c r="G161" s="12"/>
      <c r="H161" s="3"/>
      <c r="I161" s="3"/>
      <c r="J161" s="3"/>
      <c r="K161" s="3"/>
      <c r="L161" s="3"/>
      <c r="M161" s="3"/>
      <c r="N161" s="3"/>
      <c r="O161" s="3"/>
      <c r="P161" s="3"/>
      <c r="Q161" s="3"/>
      <c r="R161" s="3"/>
      <c r="S161" s="3"/>
      <c r="T161" s="3"/>
      <c r="U161" s="3"/>
      <c r="V161" s="47"/>
      <c r="W161" s="47"/>
      <c r="X161" s="47"/>
      <c r="Y161" s="47"/>
      <c r="Z161" s="47"/>
      <c r="AA161" s="198"/>
      <c r="AB161" s="198"/>
      <c r="AC161" s="198"/>
      <c r="AD161" s="198"/>
      <c r="AE161" s="198"/>
      <c r="AF161" s="198"/>
      <c r="AG161" s="198"/>
      <c r="AH161" s="198"/>
      <c r="AI161" s="198"/>
      <c r="AJ161" s="198"/>
      <c r="AK161" s="198"/>
      <c r="AL161" s="198"/>
      <c r="AM161" s="52"/>
      <c r="AN161" s="52"/>
      <c r="AO161" s="52"/>
      <c r="AP161" s="52"/>
      <c r="AQ161" s="52"/>
    </row>
    <row r="162" spans="1:43">
      <c r="A162" s="331">
        <v>45089</v>
      </c>
      <c r="B162" s="332">
        <v>4338.93</v>
      </c>
      <c r="C162" s="30">
        <v>375.31</v>
      </c>
      <c r="D162" s="22">
        <f t="shared" si="4"/>
        <v>-6.8848549213666082E-3</v>
      </c>
      <c r="E162" s="22">
        <f t="shared" si="5"/>
        <v>1.0582153050783583E-2</v>
      </c>
      <c r="F162" s="12"/>
      <c r="G162" s="12"/>
      <c r="H162" s="3"/>
      <c r="I162" s="3"/>
      <c r="J162" s="3"/>
      <c r="K162" s="3"/>
      <c r="L162" s="3"/>
      <c r="M162" s="3"/>
      <c r="N162" s="3"/>
      <c r="O162" s="3"/>
      <c r="P162" s="3"/>
      <c r="Q162" s="3"/>
      <c r="R162" s="3"/>
      <c r="S162" s="3"/>
      <c r="T162" s="3"/>
      <c r="U162" s="3"/>
      <c r="V162" s="47"/>
      <c r="W162" s="47"/>
      <c r="X162" s="47"/>
      <c r="Y162" s="47"/>
      <c r="Z162" s="47"/>
      <c r="AA162" s="198"/>
      <c r="AB162" s="198"/>
      <c r="AC162" s="198"/>
      <c r="AD162" s="198"/>
      <c r="AE162" s="198"/>
      <c r="AF162" s="198"/>
      <c r="AG162" s="198"/>
      <c r="AH162" s="198"/>
      <c r="AI162" s="198"/>
      <c r="AJ162" s="198"/>
      <c r="AK162" s="198"/>
      <c r="AL162" s="198"/>
      <c r="AM162" s="52"/>
      <c r="AN162" s="52"/>
      <c r="AO162" s="52"/>
      <c r="AP162" s="52"/>
      <c r="AQ162" s="52"/>
    </row>
    <row r="163" spans="1:43">
      <c r="A163" s="331">
        <v>45086</v>
      </c>
      <c r="B163" s="332">
        <v>4298.8599999999997</v>
      </c>
      <c r="C163" s="30">
        <v>369.22</v>
      </c>
      <c r="D163" s="22">
        <f t="shared" si="4"/>
        <v>-9.2349957247525576E-3</v>
      </c>
      <c r="E163" s="22">
        <f t="shared" si="5"/>
        <v>-1.6226586022221563E-2</v>
      </c>
      <c r="F163" s="12"/>
      <c r="G163" s="12"/>
      <c r="H163" s="3"/>
      <c r="I163" s="3"/>
      <c r="J163" s="3"/>
      <c r="K163" s="3"/>
      <c r="L163" s="3"/>
      <c r="M163" s="3"/>
      <c r="N163" s="3"/>
      <c r="O163" s="3"/>
      <c r="P163" s="3"/>
      <c r="Q163" s="3"/>
      <c r="R163" s="3"/>
      <c r="S163" s="3"/>
      <c r="T163" s="3"/>
      <c r="U163" s="3"/>
      <c r="V163" s="47"/>
      <c r="W163" s="47"/>
      <c r="X163" s="47"/>
      <c r="Y163" s="47"/>
      <c r="Z163" s="47"/>
      <c r="AA163" s="198"/>
      <c r="AB163" s="198"/>
      <c r="AC163" s="198"/>
      <c r="AD163" s="198"/>
      <c r="AE163" s="198"/>
      <c r="AF163" s="198"/>
      <c r="AG163" s="198"/>
      <c r="AH163" s="198"/>
      <c r="AI163" s="198"/>
      <c r="AJ163" s="198"/>
      <c r="AK163" s="198"/>
      <c r="AL163" s="198"/>
      <c r="AM163" s="52"/>
      <c r="AN163" s="52"/>
      <c r="AO163" s="52"/>
      <c r="AP163" s="52"/>
      <c r="AQ163" s="52"/>
    </row>
    <row r="164" spans="1:43">
      <c r="A164" s="331">
        <v>45085</v>
      </c>
      <c r="B164" s="332">
        <v>4293.93</v>
      </c>
      <c r="C164" s="30">
        <v>367.59</v>
      </c>
      <c r="D164" s="22">
        <f t="shared" si="4"/>
        <v>-1.1468156674093555E-3</v>
      </c>
      <c r="E164" s="22">
        <f t="shared" si="5"/>
        <v>-4.4147120957696009E-3</v>
      </c>
      <c r="F164" s="12"/>
      <c r="G164" s="12"/>
      <c r="H164" s="3"/>
      <c r="I164" s="3"/>
      <c r="J164" s="3"/>
      <c r="K164" s="3"/>
      <c r="L164" s="3"/>
      <c r="M164" s="3"/>
      <c r="N164" s="3"/>
      <c r="O164" s="3"/>
      <c r="P164" s="3"/>
      <c r="Q164" s="3"/>
      <c r="R164" s="3"/>
      <c r="S164" s="3"/>
      <c r="T164" s="3"/>
      <c r="U164" s="3"/>
      <c r="V164" s="47"/>
      <c r="W164" s="47"/>
      <c r="X164" s="47"/>
      <c r="Y164" s="47"/>
      <c r="Z164" s="47"/>
      <c r="AA164" s="198"/>
      <c r="AB164" s="198"/>
      <c r="AC164" s="198"/>
      <c r="AD164" s="198"/>
      <c r="AE164" s="198"/>
      <c r="AF164" s="198"/>
      <c r="AG164" s="198"/>
      <c r="AH164" s="198"/>
      <c r="AI164" s="198"/>
      <c r="AJ164" s="198"/>
      <c r="AK164" s="198"/>
      <c r="AL164" s="198"/>
      <c r="AM164" s="52"/>
      <c r="AN164" s="52"/>
      <c r="AO164" s="52"/>
      <c r="AP164" s="52"/>
      <c r="AQ164" s="52"/>
    </row>
    <row r="165" spans="1:43">
      <c r="A165" s="331">
        <v>45084</v>
      </c>
      <c r="B165" s="332">
        <v>4267.5200000000004</v>
      </c>
      <c r="C165" s="30">
        <v>371.39</v>
      </c>
      <c r="D165" s="22">
        <f t="shared" si="4"/>
        <v>-6.1505427428951692E-3</v>
      </c>
      <c r="E165" s="22">
        <f t="shared" si="5"/>
        <v>1.0337604396202323E-2</v>
      </c>
      <c r="F165" s="12"/>
      <c r="G165" s="12"/>
      <c r="H165" s="3"/>
      <c r="I165" s="3"/>
      <c r="J165" s="3"/>
      <c r="K165" s="3"/>
      <c r="L165" s="3"/>
      <c r="M165" s="3"/>
      <c r="N165" s="3"/>
      <c r="O165" s="3"/>
      <c r="P165" s="3"/>
      <c r="Q165" s="3"/>
      <c r="R165" s="3"/>
      <c r="S165" s="3"/>
      <c r="T165" s="3"/>
      <c r="U165" s="3"/>
      <c r="V165" s="47"/>
      <c r="W165" s="47"/>
      <c r="X165" s="47"/>
      <c r="Y165" s="47"/>
      <c r="Z165" s="47"/>
      <c r="AA165" s="198"/>
      <c r="AB165" s="198"/>
      <c r="AC165" s="198"/>
      <c r="AD165" s="198"/>
      <c r="AE165" s="198"/>
      <c r="AF165" s="198"/>
      <c r="AG165" s="198"/>
      <c r="AH165" s="198"/>
      <c r="AI165" s="198"/>
      <c r="AJ165" s="198"/>
      <c r="AK165" s="198"/>
      <c r="AL165" s="198"/>
      <c r="AM165" s="52"/>
      <c r="AN165" s="52"/>
      <c r="AO165" s="52"/>
      <c r="AP165" s="52"/>
      <c r="AQ165" s="52"/>
    </row>
    <row r="166" spans="1:43">
      <c r="A166" s="331">
        <v>45083</v>
      </c>
      <c r="B166" s="332">
        <v>4283.8500000000004</v>
      </c>
      <c r="C166" s="30">
        <v>379.96</v>
      </c>
      <c r="D166" s="22">
        <f t="shared" si="4"/>
        <v>3.8265784343131199E-3</v>
      </c>
      <c r="E166" s="22">
        <f t="shared" si="5"/>
        <v>2.3075473222219214E-2</v>
      </c>
      <c r="F166" s="12"/>
      <c r="G166" s="12"/>
      <c r="H166" s="3"/>
      <c r="I166" s="3"/>
      <c r="J166" s="3"/>
      <c r="K166" s="3"/>
      <c r="L166" s="3"/>
      <c r="M166" s="3"/>
      <c r="N166" s="3"/>
      <c r="O166" s="3"/>
      <c r="P166" s="3"/>
      <c r="Q166" s="3"/>
      <c r="R166" s="3"/>
      <c r="S166" s="3"/>
      <c r="T166" s="3"/>
      <c r="U166" s="3"/>
      <c r="V166" s="47"/>
      <c r="W166" s="47"/>
      <c r="X166" s="47"/>
      <c r="Y166" s="47"/>
      <c r="Z166" s="47"/>
      <c r="AA166" s="198"/>
      <c r="AB166" s="198"/>
      <c r="AC166" s="198"/>
      <c r="AD166" s="198"/>
      <c r="AE166" s="198"/>
      <c r="AF166" s="198"/>
      <c r="AG166" s="198"/>
      <c r="AH166" s="198"/>
      <c r="AI166" s="198"/>
      <c r="AJ166" s="198"/>
      <c r="AK166" s="198"/>
      <c r="AL166" s="198"/>
      <c r="AM166" s="52"/>
      <c r="AN166" s="52"/>
      <c r="AO166" s="52"/>
      <c r="AP166" s="52"/>
      <c r="AQ166" s="52"/>
    </row>
    <row r="167" spans="1:43">
      <c r="A167" s="331">
        <v>45082</v>
      </c>
      <c r="B167" s="332">
        <v>4273.79</v>
      </c>
      <c r="C167" s="30">
        <v>370.52</v>
      </c>
      <c r="D167" s="22">
        <f t="shared" si="4"/>
        <v>-2.3483548677008764E-3</v>
      </c>
      <c r="E167" s="22">
        <f t="shared" si="5"/>
        <v>-2.4844720496894405E-2</v>
      </c>
      <c r="F167" s="12"/>
      <c r="G167" s="12"/>
      <c r="H167" s="3"/>
      <c r="I167" s="3"/>
      <c r="J167" s="3"/>
      <c r="K167" s="3"/>
      <c r="L167" s="3"/>
      <c r="M167" s="3"/>
      <c r="N167" s="3"/>
      <c r="O167" s="3"/>
      <c r="P167" s="3"/>
      <c r="Q167" s="3"/>
      <c r="R167" s="3"/>
      <c r="S167" s="3"/>
      <c r="T167" s="3"/>
      <c r="U167" s="3"/>
      <c r="V167" s="47"/>
      <c r="W167" s="47"/>
      <c r="X167" s="47"/>
      <c r="Y167" s="47"/>
      <c r="Z167" s="47"/>
      <c r="AA167" s="198"/>
      <c r="AB167" s="198"/>
      <c r="AC167" s="198"/>
      <c r="AD167" s="198"/>
      <c r="AE167" s="198"/>
      <c r="AF167" s="198"/>
      <c r="AG167" s="198"/>
      <c r="AH167" s="198"/>
      <c r="AI167" s="198"/>
      <c r="AJ167" s="198"/>
      <c r="AK167" s="198"/>
      <c r="AL167" s="198"/>
      <c r="AM167" s="52"/>
      <c r="AN167" s="52"/>
      <c r="AO167" s="52"/>
      <c r="AP167" s="52"/>
      <c r="AQ167" s="52"/>
    </row>
    <row r="168" spans="1:43">
      <c r="A168" s="331">
        <v>45079</v>
      </c>
      <c r="B168" s="332">
        <v>4282.37</v>
      </c>
      <c r="C168" s="30">
        <v>373.73</v>
      </c>
      <c r="D168" s="22">
        <f t="shared" si="4"/>
        <v>2.0075857728152125E-3</v>
      </c>
      <c r="E168" s="22">
        <f t="shared" si="5"/>
        <v>8.6634999460219065E-3</v>
      </c>
      <c r="F168" s="12"/>
      <c r="G168" s="12"/>
      <c r="H168" s="3"/>
      <c r="I168" s="3"/>
      <c r="J168" s="3"/>
      <c r="K168" s="3"/>
      <c r="L168" s="3"/>
      <c r="M168" s="3"/>
      <c r="N168" s="3"/>
      <c r="O168" s="3"/>
      <c r="P168" s="3"/>
      <c r="Q168" s="3"/>
      <c r="R168" s="3"/>
      <c r="S168" s="3"/>
      <c r="T168" s="3"/>
      <c r="U168" s="3"/>
      <c r="V168" s="47"/>
      <c r="W168" s="47"/>
      <c r="X168" s="47"/>
      <c r="Y168" s="47"/>
      <c r="Z168" s="47"/>
      <c r="AA168" s="198"/>
      <c r="AB168" s="198"/>
      <c r="AC168" s="198"/>
      <c r="AD168" s="198"/>
      <c r="AE168" s="198"/>
      <c r="AF168" s="198"/>
      <c r="AG168" s="198"/>
      <c r="AH168" s="198"/>
      <c r="AI168" s="198"/>
      <c r="AJ168" s="198"/>
      <c r="AK168" s="198"/>
      <c r="AL168" s="198"/>
      <c r="AM168" s="52"/>
      <c r="AN168" s="52"/>
      <c r="AO168" s="52"/>
      <c r="AP168" s="52"/>
      <c r="AQ168" s="52"/>
    </row>
    <row r="169" spans="1:43">
      <c r="A169" s="331">
        <v>45078</v>
      </c>
      <c r="B169" s="332">
        <v>4221.0200000000004</v>
      </c>
      <c r="C169" s="30">
        <v>370.88</v>
      </c>
      <c r="D169" s="22">
        <f t="shared" si="4"/>
        <v>-1.4326179195165167E-2</v>
      </c>
      <c r="E169" s="22">
        <f t="shared" si="5"/>
        <v>-7.62582613116427E-3</v>
      </c>
      <c r="F169" s="12"/>
      <c r="G169" s="12"/>
      <c r="H169" s="3"/>
      <c r="I169" s="3"/>
      <c r="J169" s="3"/>
      <c r="K169" s="3"/>
      <c r="L169" s="3"/>
      <c r="M169" s="3"/>
      <c r="N169" s="3"/>
      <c r="O169" s="3"/>
      <c r="P169" s="3"/>
      <c r="Q169" s="3"/>
      <c r="R169" s="3"/>
      <c r="S169" s="3"/>
      <c r="T169" s="3"/>
      <c r="U169" s="3"/>
      <c r="V169" s="47"/>
      <c r="W169" s="47"/>
      <c r="X169" s="47"/>
      <c r="Y169" s="47"/>
      <c r="Z169" s="47"/>
      <c r="AA169" s="198"/>
      <c r="AB169" s="198"/>
      <c r="AC169" s="198"/>
      <c r="AD169" s="198"/>
      <c r="AE169" s="198"/>
      <c r="AF169" s="198"/>
      <c r="AG169" s="198"/>
      <c r="AH169" s="198"/>
      <c r="AI169" s="198"/>
      <c r="AJ169" s="198"/>
      <c r="AK169" s="198"/>
      <c r="AL169" s="198"/>
      <c r="AM169" s="52"/>
      <c r="AN169" s="52"/>
      <c r="AO169" s="52"/>
      <c r="AP169" s="52"/>
      <c r="AQ169" s="52"/>
    </row>
    <row r="170" spans="1:43">
      <c r="A170" s="331">
        <v>45077</v>
      </c>
      <c r="B170" s="332">
        <v>4179.83</v>
      </c>
      <c r="C170" s="30">
        <v>365.02</v>
      </c>
      <c r="D170" s="22">
        <f t="shared" si="4"/>
        <v>-9.7583048647010683E-3</v>
      </c>
      <c r="E170" s="22">
        <f t="shared" si="5"/>
        <v>-1.5800258843830926E-2</v>
      </c>
      <c r="F170" s="12"/>
      <c r="G170" s="12"/>
      <c r="H170" s="3"/>
      <c r="I170" s="3"/>
      <c r="J170" s="3"/>
      <c r="K170" s="3"/>
      <c r="L170" s="3"/>
      <c r="M170" s="3"/>
      <c r="N170" s="3"/>
      <c r="O170" s="3"/>
      <c r="P170" s="3"/>
      <c r="Q170" s="3"/>
      <c r="R170" s="3"/>
      <c r="S170" s="3"/>
      <c r="T170" s="3"/>
      <c r="U170" s="3"/>
      <c r="V170" s="47"/>
      <c r="W170" s="47"/>
      <c r="X170" s="47"/>
      <c r="Y170" s="47"/>
      <c r="Z170" s="47"/>
      <c r="AA170" s="198"/>
      <c r="AB170" s="198"/>
      <c r="AC170" s="198"/>
      <c r="AD170" s="198"/>
      <c r="AE170" s="198"/>
      <c r="AF170" s="198"/>
      <c r="AG170" s="198"/>
      <c r="AH170" s="198"/>
      <c r="AI170" s="198"/>
      <c r="AJ170" s="198"/>
      <c r="AK170" s="198"/>
      <c r="AL170" s="198"/>
      <c r="AM170" s="52"/>
      <c r="AN170" s="52"/>
      <c r="AO170" s="52"/>
      <c r="AP170" s="52"/>
      <c r="AQ170" s="52"/>
    </row>
    <row r="171" spans="1:43">
      <c r="A171" s="331">
        <v>45076</v>
      </c>
      <c r="B171" s="332">
        <v>4205.5200000000004</v>
      </c>
      <c r="C171" s="30">
        <v>367.5</v>
      </c>
      <c r="D171" s="22">
        <f t="shared" si="4"/>
        <v>6.146182978733707E-3</v>
      </c>
      <c r="E171" s="22">
        <f t="shared" si="5"/>
        <v>6.7941482658484967E-3</v>
      </c>
      <c r="F171" s="12"/>
      <c r="G171" s="12"/>
      <c r="H171" s="3"/>
      <c r="I171" s="3"/>
      <c r="J171" s="3"/>
      <c r="K171" s="3"/>
      <c r="L171" s="3"/>
      <c r="M171" s="3"/>
      <c r="N171" s="3"/>
      <c r="O171" s="3"/>
      <c r="P171" s="3"/>
      <c r="Q171" s="3"/>
      <c r="R171" s="3"/>
      <c r="S171" s="3"/>
      <c r="T171" s="3"/>
      <c r="U171" s="3"/>
      <c r="V171" s="47"/>
      <c r="W171" s="47"/>
      <c r="X171" s="47"/>
      <c r="Y171" s="47"/>
      <c r="Z171" s="47"/>
      <c r="AA171" s="198"/>
      <c r="AB171" s="198"/>
      <c r="AC171" s="198"/>
      <c r="AD171" s="198"/>
      <c r="AE171" s="198"/>
      <c r="AF171" s="198"/>
      <c r="AG171" s="198"/>
      <c r="AH171" s="198"/>
      <c r="AI171" s="198"/>
      <c r="AJ171" s="198"/>
      <c r="AK171" s="198"/>
      <c r="AL171" s="198"/>
      <c r="AM171" s="52"/>
      <c r="AN171" s="52"/>
      <c r="AO171" s="52"/>
      <c r="AP171" s="52"/>
      <c r="AQ171" s="52"/>
    </row>
    <row r="172" spans="1:43">
      <c r="A172" s="331">
        <v>45072</v>
      </c>
      <c r="B172" s="332">
        <v>4205.45</v>
      </c>
      <c r="C172" s="30">
        <v>374.37</v>
      </c>
      <c r="D172" s="22">
        <f t="shared" si="4"/>
        <v>-1.6644790656237149E-5</v>
      </c>
      <c r="E172" s="22">
        <f t="shared" si="5"/>
        <v>1.8693877551020421E-2</v>
      </c>
      <c r="F172" s="12"/>
      <c r="G172" s="12"/>
      <c r="H172" s="3"/>
      <c r="I172" s="3"/>
      <c r="J172" s="3"/>
      <c r="K172" s="3"/>
      <c r="L172" s="3"/>
      <c r="M172" s="3"/>
      <c r="N172" s="3"/>
      <c r="O172" s="3"/>
      <c r="P172" s="3"/>
      <c r="Q172" s="3"/>
      <c r="R172" s="3"/>
      <c r="S172" s="3"/>
      <c r="T172" s="3"/>
      <c r="U172" s="3"/>
      <c r="V172" s="47"/>
      <c r="W172" s="47"/>
      <c r="X172" s="47"/>
      <c r="Y172" s="47"/>
      <c r="Z172" s="47"/>
      <c r="AA172" s="198"/>
      <c r="AB172" s="198"/>
      <c r="AC172" s="198"/>
      <c r="AD172" s="198"/>
      <c r="AE172" s="198"/>
      <c r="AF172" s="198"/>
      <c r="AG172" s="198"/>
      <c r="AH172" s="198"/>
      <c r="AI172" s="198"/>
      <c r="AJ172" s="198"/>
      <c r="AK172" s="198"/>
      <c r="AL172" s="198"/>
      <c r="AM172" s="52"/>
      <c r="AN172" s="52"/>
      <c r="AO172" s="52"/>
      <c r="AP172" s="52"/>
      <c r="AQ172" s="52"/>
    </row>
    <row r="173" spans="1:43">
      <c r="A173" s="331">
        <v>45071</v>
      </c>
      <c r="B173" s="332">
        <v>4151.28</v>
      </c>
      <c r="C173" s="30">
        <v>370.04</v>
      </c>
      <c r="D173" s="22">
        <f t="shared" si="4"/>
        <v>-1.2880904540536703E-2</v>
      </c>
      <c r="E173" s="22">
        <f t="shared" si="5"/>
        <v>-1.1566097710820802E-2</v>
      </c>
      <c r="F173" s="12"/>
      <c r="G173" s="12"/>
      <c r="H173" s="3"/>
      <c r="I173" s="3"/>
      <c r="J173" s="3"/>
      <c r="K173" s="3"/>
      <c r="L173" s="3"/>
      <c r="M173" s="3"/>
      <c r="N173" s="3"/>
      <c r="O173" s="3"/>
      <c r="P173" s="3"/>
      <c r="Q173" s="3"/>
      <c r="R173" s="3"/>
      <c r="S173" s="3"/>
      <c r="T173" s="3"/>
      <c r="U173" s="3"/>
      <c r="V173" s="47"/>
      <c r="W173" s="47"/>
      <c r="X173" s="47"/>
      <c r="Y173" s="47"/>
      <c r="Z173" s="47"/>
      <c r="AA173" s="198"/>
      <c r="AB173" s="198"/>
      <c r="AC173" s="198"/>
      <c r="AD173" s="198"/>
      <c r="AE173" s="198"/>
      <c r="AF173" s="198"/>
      <c r="AG173" s="198"/>
      <c r="AH173" s="198"/>
      <c r="AI173" s="198"/>
      <c r="AJ173" s="198"/>
      <c r="AK173" s="198"/>
      <c r="AL173" s="198"/>
      <c r="AM173" s="52"/>
      <c r="AN173" s="52"/>
      <c r="AO173" s="52"/>
      <c r="AP173" s="52"/>
      <c r="AQ173" s="52"/>
    </row>
    <row r="174" spans="1:43">
      <c r="A174" s="331">
        <v>45070</v>
      </c>
      <c r="B174" s="332">
        <v>4115.24</v>
      </c>
      <c r="C174" s="30">
        <v>368.5</v>
      </c>
      <c r="D174" s="22">
        <f t="shared" si="4"/>
        <v>-8.6816596326915949E-3</v>
      </c>
      <c r="E174" s="22">
        <f t="shared" si="5"/>
        <v>-4.1617122473246683E-3</v>
      </c>
      <c r="F174" s="12"/>
      <c r="G174" s="12"/>
      <c r="H174" s="3"/>
      <c r="I174" s="3"/>
      <c r="J174" s="3"/>
      <c r="K174" s="3"/>
      <c r="L174" s="3"/>
      <c r="M174" s="3"/>
      <c r="N174" s="3"/>
      <c r="O174" s="3"/>
      <c r="P174" s="3"/>
      <c r="Q174" s="3"/>
      <c r="R174" s="3"/>
      <c r="S174" s="3"/>
      <c r="T174" s="3"/>
      <c r="U174" s="3"/>
      <c r="V174" s="47"/>
      <c r="W174" s="47"/>
      <c r="X174" s="47"/>
      <c r="Y174" s="47"/>
      <c r="Z174" s="47"/>
      <c r="AA174" s="198"/>
      <c r="AB174" s="198"/>
      <c r="AC174" s="198"/>
      <c r="AD174" s="198"/>
      <c r="AE174" s="198"/>
      <c r="AF174" s="198"/>
      <c r="AG174" s="198"/>
      <c r="AH174" s="198"/>
      <c r="AI174" s="198"/>
      <c r="AJ174" s="198"/>
      <c r="AK174" s="198"/>
      <c r="AL174" s="198"/>
      <c r="AM174" s="52"/>
      <c r="AN174" s="52"/>
      <c r="AO174" s="52"/>
      <c r="AP174" s="52"/>
      <c r="AQ174" s="52"/>
    </row>
    <row r="175" spans="1:43">
      <c r="A175" s="331">
        <v>45069</v>
      </c>
      <c r="B175" s="332">
        <v>4145.58</v>
      </c>
      <c r="C175" s="30">
        <v>373.75</v>
      </c>
      <c r="D175" s="22">
        <f t="shared" si="4"/>
        <v>7.3725955229828992E-3</v>
      </c>
      <c r="E175" s="22">
        <f t="shared" si="5"/>
        <v>1.4246947082767978E-2</v>
      </c>
      <c r="F175" s="12"/>
      <c r="G175" s="12"/>
      <c r="H175" s="3"/>
      <c r="I175" s="3"/>
      <c r="J175" s="3"/>
      <c r="K175" s="3"/>
      <c r="L175" s="3"/>
      <c r="M175" s="3"/>
      <c r="N175" s="3"/>
      <c r="O175" s="3"/>
      <c r="P175" s="3"/>
      <c r="Q175" s="3"/>
      <c r="R175" s="3"/>
      <c r="S175" s="3"/>
      <c r="T175" s="3"/>
      <c r="U175" s="3"/>
      <c r="V175" s="47"/>
      <c r="W175" s="47"/>
      <c r="X175" s="47"/>
      <c r="Y175" s="47"/>
      <c r="Z175" s="47"/>
      <c r="AA175" s="198"/>
      <c r="AB175" s="198"/>
      <c r="AC175" s="198"/>
      <c r="AD175" s="198"/>
      <c r="AE175" s="198"/>
      <c r="AF175" s="198"/>
      <c r="AG175" s="198"/>
      <c r="AH175" s="198"/>
      <c r="AI175" s="198"/>
      <c r="AJ175" s="198"/>
      <c r="AK175" s="198"/>
      <c r="AL175" s="198"/>
      <c r="AM175" s="52"/>
      <c r="AN175" s="52"/>
      <c r="AO175" s="52"/>
      <c r="AP175" s="52"/>
      <c r="AQ175" s="52"/>
    </row>
    <row r="176" spans="1:43">
      <c r="A176" s="331">
        <v>45068</v>
      </c>
      <c r="B176" s="332">
        <v>4192.63</v>
      </c>
      <c r="C176" s="30">
        <v>384.53</v>
      </c>
      <c r="D176" s="22">
        <f t="shared" si="4"/>
        <v>1.1349437231943463E-2</v>
      </c>
      <c r="E176" s="22">
        <f t="shared" si="5"/>
        <v>2.8842809364548423E-2</v>
      </c>
      <c r="F176" s="12"/>
      <c r="G176" s="12"/>
      <c r="H176" s="3"/>
      <c r="I176" s="3"/>
      <c r="J176" s="3"/>
      <c r="K176" s="3"/>
      <c r="L176" s="3"/>
      <c r="M176" s="3"/>
      <c r="N176" s="3"/>
      <c r="O176" s="3"/>
      <c r="P176" s="3"/>
      <c r="Q176" s="3"/>
      <c r="R176" s="3"/>
      <c r="S176" s="3"/>
      <c r="T176" s="3"/>
      <c r="U176" s="3"/>
      <c r="V176" s="47"/>
      <c r="W176" s="47"/>
      <c r="X176" s="47"/>
      <c r="Y176" s="47"/>
      <c r="Z176" s="47"/>
      <c r="AA176" s="198"/>
      <c r="AB176" s="198"/>
      <c r="AC176" s="198"/>
      <c r="AD176" s="198"/>
      <c r="AE176" s="198"/>
      <c r="AF176" s="198"/>
      <c r="AG176" s="198"/>
      <c r="AH176" s="198"/>
      <c r="AI176" s="198"/>
      <c r="AJ176" s="198"/>
      <c r="AK176" s="198"/>
      <c r="AL176" s="198"/>
      <c r="AM176" s="52"/>
      <c r="AN176" s="52"/>
      <c r="AO176" s="52"/>
      <c r="AP176" s="52"/>
      <c r="AQ176" s="52"/>
    </row>
    <row r="177" spans="1:43">
      <c r="A177" s="331">
        <v>45065</v>
      </c>
      <c r="B177" s="332">
        <v>4191.9799999999996</v>
      </c>
      <c r="C177" s="30">
        <v>385.57</v>
      </c>
      <c r="D177" s="22">
        <f t="shared" si="4"/>
        <v>-1.5503395243571355E-4</v>
      </c>
      <c r="E177" s="22">
        <f t="shared" si="5"/>
        <v>2.7046004212935805E-3</v>
      </c>
      <c r="F177" s="12"/>
      <c r="G177" s="12"/>
      <c r="H177" s="3"/>
      <c r="I177" s="3"/>
      <c r="J177" s="3"/>
      <c r="K177" s="3"/>
      <c r="L177" s="3"/>
      <c r="M177" s="3"/>
      <c r="N177" s="3"/>
      <c r="O177" s="3"/>
      <c r="P177" s="3"/>
      <c r="Q177" s="3"/>
      <c r="R177" s="3"/>
      <c r="S177" s="3"/>
      <c r="T177" s="3"/>
      <c r="U177" s="3"/>
      <c r="V177" s="47"/>
      <c r="W177" s="47"/>
      <c r="X177" s="47"/>
      <c r="Y177" s="47"/>
      <c r="Z177" s="47"/>
      <c r="AA177" s="198"/>
      <c r="AB177" s="198"/>
      <c r="AC177" s="198"/>
      <c r="AD177" s="198"/>
      <c r="AE177" s="198"/>
      <c r="AF177" s="198"/>
      <c r="AG177" s="198"/>
      <c r="AH177" s="198"/>
      <c r="AI177" s="198"/>
      <c r="AJ177" s="198"/>
      <c r="AK177" s="198"/>
      <c r="AL177" s="198"/>
      <c r="AM177" s="52"/>
      <c r="AN177" s="52"/>
      <c r="AO177" s="52"/>
      <c r="AP177" s="52"/>
      <c r="AQ177" s="52"/>
    </row>
    <row r="178" spans="1:43">
      <c r="A178" s="331">
        <v>45064</v>
      </c>
      <c r="B178" s="332">
        <v>4198.05</v>
      </c>
      <c r="C178" s="30">
        <v>392.02</v>
      </c>
      <c r="D178" s="22">
        <f t="shared" si="4"/>
        <v>1.4480030916179513E-3</v>
      </c>
      <c r="E178" s="22">
        <f t="shared" si="5"/>
        <v>1.672847991285626E-2</v>
      </c>
      <c r="F178" s="12"/>
      <c r="G178" s="12"/>
      <c r="H178" s="3"/>
      <c r="I178" s="3"/>
      <c r="J178" s="3"/>
      <c r="K178" s="3"/>
      <c r="L178" s="3"/>
      <c r="M178" s="3"/>
      <c r="N178" s="3"/>
      <c r="O178" s="3"/>
      <c r="P178" s="3"/>
      <c r="Q178" s="3"/>
      <c r="R178" s="3"/>
      <c r="S178" s="3"/>
      <c r="T178" s="3"/>
      <c r="U178" s="3"/>
      <c r="V178" s="47"/>
      <c r="W178" s="47"/>
      <c r="X178" s="47"/>
      <c r="Y178" s="47"/>
      <c r="Z178" s="47"/>
      <c r="AA178" s="198"/>
      <c r="AB178" s="198"/>
      <c r="AC178" s="198"/>
      <c r="AD178" s="198"/>
      <c r="AE178" s="198"/>
      <c r="AF178" s="198"/>
      <c r="AG178" s="198"/>
      <c r="AH178" s="198"/>
      <c r="AI178" s="198"/>
      <c r="AJ178" s="198"/>
      <c r="AK178" s="198"/>
      <c r="AL178" s="198"/>
      <c r="AM178" s="52"/>
      <c r="AN178" s="52"/>
      <c r="AO178" s="52"/>
      <c r="AP178" s="52"/>
      <c r="AQ178" s="52"/>
    </row>
    <row r="179" spans="1:43">
      <c r="A179" s="331">
        <v>45063</v>
      </c>
      <c r="B179" s="332">
        <v>4158.7700000000004</v>
      </c>
      <c r="C179" s="30">
        <v>387</v>
      </c>
      <c r="D179" s="22">
        <f t="shared" si="4"/>
        <v>-9.3567251461987699E-3</v>
      </c>
      <c r="E179" s="22">
        <f t="shared" si="5"/>
        <v>-1.2805469108718897E-2</v>
      </c>
      <c r="F179" s="12"/>
      <c r="G179" s="12"/>
      <c r="H179" s="3"/>
      <c r="I179" s="3"/>
      <c r="J179" s="3"/>
      <c r="K179" s="3"/>
      <c r="L179" s="3"/>
      <c r="M179" s="3"/>
      <c r="N179" s="3"/>
      <c r="O179" s="3"/>
      <c r="P179" s="3"/>
      <c r="Q179" s="3"/>
      <c r="R179" s="3"/>
      <c r="S179" s="3"/>
      <c r="T179" s="3"/>
      <c r="U179" s="3"/>
      <c r="V179" s="47"/>
      <c r="W179" s="47"/>
      <c r="X179" s="47"/>
      <c r="Y179" s="47"/>
      <c r="Z179" s="47"/>
      <c r="AA179" s="198"/>
      <c r="AB179" s="198"/>
      <c r="AC179" s="198"/>
      <c r="AD179" s="198"/>
      <c r="AE179" s="198"/>
      <c r="AF179" s="198"/>
      <c r="AG179" s="198"/>
      <c r="AH179" s="198"/>
      <c r="AI179" s="198"/>
      <c r="AJ179" s="198"/>
      <c r="AK179" s="198"/>
      <c r="AL179" s="198"/>
      <c r="AM179" s="52"/>
      <c r="AN179" s="52"/>
      <c r="AO179" s="52"/>
      <c r="AP179" s="52"/>
      <c r="AQ179" s="52"/>
    </row>
    <row r="180" spans="1:43">
      <c r="A180" s="331">
        <v>45062</v>
      </c>
      <c r="B180" s="332">
        <v>4109.8999999999996</v>
      </c>
      <c r="C180" s="30">
        <v>380.24</v>
      </c>
      <c r="D180" s="22">
        <f t="shared" si="4"/>
        <v>-1.1751070629056379E-2</v>
      </c>
      <c r="E180" s="22">
        <f t="shared" si="5"/>
        <v>-1.746770025839791E-2</v>
      </c>
      <c r="F180" s="12"/>
      <c r="G180" s="12"/>
      <c r="H180" s="3"/>
      <c r="I180" s="3"/>
      <c r="J180" s="3"/>
      <c r="K180" s="3"/>
      <c r="L180" s="3"/>
      <c r="M180" s="3"/>
      <c r="N180" s="3"/>
      <c r="O180" s="3"/>
      <c r="P180" s="3"/>
      <c r="Q180" s="3"/>
      <c r="R180" s="3"/>
      <c r="S180" s="3"/>
      <c r="T180" s="3"/>
      <c r="U180" s="3"/>
      <c r="V180" s="47"/>
      <c r="W180" s="47"/>
      <c r="X180" s="47"/>
      <c r="Y180" s="47"/>
      <c r="Z180" s="47"/>
      <c r="AA180" s="198"/>
      <c r="AB180" s="198"/>
      <c r="AC180" s="198"/>
      <c r="AD180" s="198"/>
      <c r="AE180" s="198"/>
      <c r="AF180" s="198"/>
      <c r="AG180" s="198"/>
      <c r="AH180" s="198"/>
      <c r="AI180" s="198"/>
      <c r="AJ180" s="198"/>
      <c r="AK180" s="198"/>
      <c r="AL180" s="198"/>
      <c r="AM180" s="52"/>
      <c r="AN180" s="52"/>
      <c r="AO180" s="52"/>
      <c r="AP180" s="52"/>
      <c r="AQ180" s="52"/>
    </row>
    <row r="181" spans="1:43">
      <c r="A181" s="331">
        <v>45061</v>
      </c>
      <c r="B181" s="332">
        <v>4136.28</v>
      </c>
      <c r="C181" s="30">
        <v>383.41</v>
      </c>
      <c r="D181" s="22">
        <f t="shared" si="4"/>
        <v>6.4186476556607492E-3</v>
      </c>
      <c r="E181" s="22">
        <f t="shared" si="5"/>
        <v>8.3368398905954554E-3</v>
      </c>
      <c r="F181" s="12"/>
      <c r="G181" s="12"/>
      <c r="H181" s="3"/>
      <c r="I181" s="3"/>
      <c r="J181" s="3"/>
      <c r="K181" s="3"/>
      <c r="L181" s="3"/>
      <c r="M181" s="3"/>
      <c r="N181" s="3"/>
      <c r="O181" s="3"/>
      <c r="P181" s="3"/>
      <c r="Q181" s="3"/>
      <c r="R181" s="3"/>
      <c r="S181" s="3"/>
      <c r="T181" s="3"/>
      <c r="U181" s="3"/>
      <c r="V181" s="47"/>
      <c r="W181" s="47"/>
      <c r="X181" s="47"/>
      <c r="Y181" s="47"/>
      <c r="Z181" s="47"/>
      <c r="AA181" s="198"/>
      <c r="AB181" s="198"/>
      <c r="AC181" s="198"/>
      <c r="AD181" s="198"/>
      <c r="AE181" s="198"/>
      <c r="AF181" s="198"/>
      <c r="AG181" s="198"/>
      <c r="AH181" s="198"/>
      <c r="AI181" s="198"/>
      <c r="AJ181" s="198"/>
      <c r="AK181" s="198"/>
      <c r="AL181" s="198"/>
      <c r="AM181" s="52"/>
      <c r="AN181" s="52"/>
      <c r="AO181" s="52"/>
      <c r="AP181" s="52"/>
      <c r="AQ181" s="52"/>
    </row>
    <row r="182" spans="1:43">
      <c r="A182" s="331">
        <v>45058</v>
      </c>
      <c r="B182" s="332">
        <v>4124.08</v>
      </c>
      <c r="C182" s="30">
        <v>381.92</v>
      </c>
      <c r="D182" s="22">
        <f t="shared" si="4"/>
        <v>-2.949510187898261E-3</v>
      </c>
      <c r="E182" s="22">
        <f t="shared" si="5"/>
        <v>-3.8861792858819774E-3</v>
      </c>
      <c r="F182" s="12"/>
      <c r="G182" s="12"/>
      <c r="H182" s="3"/>
      <c r="I182" s="3"/>
      <c r="J182" s="3"/>
      <c r="K182" s="3"/>
      <c r="L182" s="3"/>
      <c r="M182" s="3"/>
      <c r="N182" s="3"/>
      <c r="O182" s="3"/>
      <c r="P182" s="3"/>
      <c r="Q182" s="3"/>
      <c r="R182" s="3"/>
      <c r="S182" s="3"/>
      <c r="T182" s="3"/>
      <c r="U182" s="3"/>
      <c r="V182" s="47"/>
      <c r="W182" s="47"/>
      <c r="X182" s="47"/>
      <c r="Y182" s="47"/>
      <c r="Z182" s="47"/>
      <c r="AA182" s="198"/>
      <c r="AB182" s="198"/>
      <c r="AC182" s="198"/>
      <c r="AD182" s="198"/>
      <c r="AE182" s="198"/>
      <c r="AF182" s="198"/>
      <c r="AG182" s="198"/>
      <c r="AH182" s="198"/>
      <c r="AI182" s="198"/>
      <c r="AJ182" s="198"/>
      <c r="AK182" s="198"/>
      <c r="AL182" s="198"/>
      <c r="AM182" s="52"/>
      <c r="AN182" s="52"/>
      <c r="AO182" s="52"/>
      <c r="AP182" s="52"/>
      <c r="AQ182" s="52"/>
    </row>
    <row r="183" spans="1:43">
      <c r="A183" s="331">
        <v>45057</v>
      </c>
      <c r="B183" s="332">
        <v>4130.62</v>
      </c>
      <c r="C183" s="30">
        <v>383.39</v>
      </c>
      <c r="D183" s="22">
        <f t="shared" si="4"/>
        <v>1.5858082287443414E-3</v>
      </c>
      <c r="E183" s="22">
        <f t="shared" si="5"/>
        <v>3.8489736070380456E-3</v>
      </c>
      <c r="F183" s="12"/>
      <c r="G183" s="12"/>
      <c r="H183" s="3"/>
      <c r="I183" s="3"/>
      <c r="J183" s="3"/>
      <c r="K183" s="3"/>
      <c r="L183" s="3"/>
      <c r="M183" s="3"/>
      <c r="N183" s="3"/>
      <c r="O183" s="3"/>
      <c r="P183" s="3"/>
      <c r="Q183" s="3"/>
      <c r="R183" s="3"/>
      <c r="S183" s="3"/>
      <c r="T183" s="3"/>
      <c r="U183" s="3"/>
      <c r="V183" s="47"/>
      <c r="W183" s="47"/>
      <c r="X183" s="47"/>
      <c r="Y183" s="47"/>
      <c r="Z183" s="47"/>
      <c r="AA183" s="198"/>
      <c r="AB183" s="198"/>
      <c r="AC183" s="198"/>
      <c r="AD183" s="198"/>
      <c r="AE183" s="198"/>
      <c r="AF183" s="198"/>
      <c r="AG183" s="198"/>
      <c r="AH183" s="198"/>
      <c r="AI183" s="198"/>
      <c r="AJ183" s="198"/>
      <c r="AK183" s="198"/>
      <c r="AL183" s="198"/>
      <c r="AM183" s="52"/>
      <c r="AN183" s="52"/>
      <c r="AO183" s="52"/>
      <c r="AP183" s="52"/>
      <c r="AQ183" s="52"/>
    </row>
    <row r="184" spans="1:43">
      <c r="A184" s="331">
        <v>45056</v>
      </c>
      <c r="B184" s="332">
        <v>4137.6400000000003</v>
      </c>
      <c r="C184" s="30">
        <v>382.54</v>
      </c>
      <c r="D184" s="22">
        <f t="shared" si="4"/>
        <v>1.6995027380878505E-3</v>
      </c>
      <c r="E184" s="22">
        <f t="shared" si="5"/>
        <v>-2.2170635645164609E-3</v>
      </c>
      <c r="F184" s="12"/>
      <c r="G184" s="12"/>
      <c r="H184" s="3"/>
      <c r="I184" s="3"/>
      <c r="J184" s="3"/>
      <c r="K184" s="3"/>
      <c r="L184" s="3"/>
      <c r="M184" s="3"/>
      <c r="N184" s="3"/>
      <c r="O184" s="3"/>
      <c r="P184" s="3"/>
      <c r="Q184" s="3"/>
      <c r="R184" s="3"/>
      <c r="S184" s="3"/>
      <c r="T184" s="3"/>
      <c r="U184" s="3"/>
      <c r="V184" s="47"/>
      <c r="W184" s="47"/>
      <c r="X184" s="47"/>
      <c r="Y184" s="47"/>
      <c r="Z184" s="47"/>
      <c r="AA184" s="198"/>
      <c r="AB184" s="198"/>
      <c r="AC184" s="198"/>
      <c r="AD184" s="198"/>
      <c r="AE184" s="198"/>
      <c r="AF184" s="198"/>
      <c r="AG184" s="198"/>
      <c r="AH184" s="198"/>
      <c r="AI184" s="198"/>
      <c r="AJ184" s="198"/>
      <c r="AK184" s="198"/>
      <c r="AL184" s="198"/>
      <c r="AM184" s="52"/>
      <c r="AN184" s="52"/>
      <c r="AO184" s="52"/>
      <c r="AP184" s="52"/>
      <c r="AQ184" s="52"/>
    </row>
    <row r="185" spans="1:43">
      <c r="A185" s="331">
        <v>45055</v>
      </c>
      <c r="B185" s="332">
        <v>4119.17</v>
      </c>
      <c r="C185" s="30">
        <v>382.94</v>
      </c>
      <c r="D185" s="22">
        <f t="shared" si="4"/>
        <v>-4.4638972941097466E-3</v>
      </c>
      <c r="E185" s="22">
        <f t="shared" si="5"/>
        <v>1.0456422857739772E-3</v>
      </c>
      <c r="F185" s="12"/>
      <c r="G185" s="12"/>
      <c r="H185" s="3"/>
      <c r="I185" s="3"/>
      <c r="J185" s="3"/>
      <c r="K185" s="3"/>
      <c r="L185" s="3"/>
      <c r="M185" s="3"/>
      <c r="N185" s="3"/>
      <c r="O185" s="3"/>
      <c r="P185" s="3"/>
      <c r="Q185" s="3"/>
      <c r="R185" s="3"/>
      <c r="S185" s="3"/>
      <c r="T185" s="3"/>
      <c r="U185" s="3"/>
      <c r="V185" s="47"/>
      <c r="W185" s="47"/>
      <c r="X185" s="47"/>
      <c r="Y185" s="47"/>
      <c r="Z185" s="47"/>
      <c r="AA185" s="198"/>
      <c r="AB185" s="198"/>
      <c r="AC185" s="198"/>
      <c r="AD185" s="198"/>
      <c r="AE185" s="198"/>
      <c r="AF185" s="198"/>
      <c r="AG185" s="198"/>
      <c r="AH185" s="198"/>
      <c r="AI185" s="198"/>
      <c r="AJ185" s="198"/>
      <c r="AK185" s="198"/>
      <c r="AL185" s="198"/>
      <c r="AM185" s="52"/>
      <c r="AN185" s="52"/>
      <c r="AO185" s="52"/>
      <c r="AP185" s="52"/>
      <c r="AQ185" s="52"/>
    </row>
    <row r="186" spans="1:43">
      <c r="A186" s="331">
        <v>45054</v>
      </c>
      <c r="B186" s="332">
        <v>4138.12</v>
      </c>
      <c r="C186" s="30">
        <v>385.51</v>
      </c>
      <c r="D186" s="22">
        <f t="shared" si="4"/>
        <v>4.6004413510488317E-3</v>
      </c>
      <c r="E186" s="22">
        <f t="shared" si="5"/>
        <v>6.7112341358959446E-3</v>
      </c>
      <c r="F186" s="12"/>
      <c r="G186" s="12"/>
      <c r="H186" s="3"/>
      <c r="I186" s="3"/>
      <c r="J186" s="3"/>
      <c r="K186" s="3"/>
      <c r="L186" s="3"/>
      <c r="M186" s="3"/>
      <c r="N186" s="3"/>
      <c r="O186" s="3"/>
      <c r="P186" s="3"/>
      <c r="Q186" s="3"/>
      <c r="R186" s="3"/>
      <c r="S186" s="3"/>
      <c r="T186" s="3"/>
      <c r="U186" s="3"/>
      <c r="V186" s="47"/>
      <c r="W186" s="47"/>
      <c r="X186" s="47"/>
      <c r="Y186" s="47"/>
      <c r="Z186" s="47"/>
      <c r="AA186" s="198"/>
      <c r="AB186" s="198"/>
      <c r="AC186" s="198"/>
      <c r="AD186" s="198"/>
      <c r="AE186" s="198"/>
      <c r="AF186" s="198"/>
      <c r="AG186" s="198"/>
      <c r="AH186" s="198"/>
      <c r="AI186" s="198"/>
      <c r="AJ186" s="198"/>
      <c r="AK186" s="198"/>
      <c r="AL186" s="198"/>
      <c r="AM186" s="52"/>
      <c r="AN186" s="52"/>
      <c r="AO186" s="52"/>
      <c r="AP186" s="52"/>
      <c r="AQ186" s="52"/>
    </row>
    <row r="187" spans="1:43">
      <c r="A187" s="331">
        <v>45051</v>
      </c>
      <c r="B187" s="332">
        <v>4136.25</v>
      </c>
      <c r="C187" s="30">
        <v>384.66</v>
      </c>
      <c r="D187" s="22">
        <f t="shared" si="4"/>
        <v>-4.518960300812666E-4</v>
      </c>
      <c r="E187" s="22">
        <f t="shared" si="5"/>
        <v>-2.2048714689631033E-3</v>
      </c>
      <c r="F187" s="12"/>
      <c r="G187" s="12"/>
      <c r="H187" s="3"/>
      <c r="I187" s="3"/>
      <c r="J187" s="3"/>
      <c r="K187" s="3"/>
      <c r="L187" s="3"/>
      <c r="M187" s="3"/>
      <c r="N187" s="3"/>
      <c r="O187" s="3"/>
      <c r="P187" s="3"/>
      <c r="Q187" s="3"/>
      <c r="R187" s="3"/>
      <c r="S187" s="3"/>
      <c r="T187" s="3"/>
      <c r="U187" s="3"/>
      <c r="V187" s="47"/>
      <c r="W187" s="47"/>
      <c r="X187" s="47"/>
      <c r="Y187" s="47"/>
      <c r="Z187" s="47"/>
      <c r="AA187" s="198"/>
      <c r="AB187" s="198"/>
      <c r="AC187" s="198"/>
      <c r="AD187" s="198"/>
      <c r="AE187" s="198"/>
      <c r="AF187" s="198"/>
      <c r="AG187" s="198"/>
      <c r="AH187" s="198"/>
      <c r="AI187" s="198"/>
      <c r="AJ187" s="198"/>
      <c r="AK187" s="198"/>
      <c r="AL187" s="198"/>
      <c r="AM187" s="52"/>
      <c r="AN187" s="52"/>
      <c r="AO187" s="52"/>
      <c r="AP187" s="52"/>
      <c r="AQ187" s="52"/>
    </row>
    <row r="188" spans="1:43">
      <c r="A188" s="331">
        <v>45050</v>
      </c>
      <c r="B188" s="332">
        <v>4061.22</v>
      </c>
      <c r="C188" s="30">
        <v>376.12</v>
      </c>
      <c r="D188" s="22">
        <f t="shared" si="4"/>
        <v>-1.8139619220308299E-2</v>
      </c>
      <c r="E188" s="22">
        <f t="shared" si="5"/>
        <v>-2.2201424634742423E-2</v>
      </c>
      <c r="F188" s="12"/>
      <c r="G188" s="12"/>
      <c r="H188" s="3"/>
      <c r="I188" s="3"/>
      <c r="J188" s="3"/>
      <c r="K188" s="3"/>
      <c r="L188" s="3"/>
      <c r="M188" s="3"/>
      <c r="N188" s="3"/>
      <c r="O188" s="3"/>
      <c r="P188" s="3"/>
      <c r="Q188" s="3"/>
      <c r="R188" s="3"/>
      <c r="S188" s="3"/>
      <c r="T188" s="3"/>
      <c r="U188" s="3"/>
      <c r="V188" s="47"/>
      <c r="W188" s="47"/>
      <c r="X188" s="47"/>
      <c r="Y188" s="47"/>
      <c r="Z188" s="47"/>
      <c r="AA188" s="198"/>
      <c r="AB188" s="198"/>
      <c r="AC188" s="198"/>
      <c r="AD188" s="198"/>
      <c r="AE188" s="198"/>
      <c r="AF188" s="198"/>
      <c r="AG188" s="198"/>
      <c r="AH188" s="198"/>
      <c r="AI188" s="198"/>
      <c r="AJ188" s="198"/>
      <c r="AK188" s="198"/>
      <c r="AL188" s="198"/>
      <c r="AM188" s="52"/>
      <c r="AN188" s="52"/>
      <c r="AO188" s="52"/>
      <c r="AP188" s="52"/>
      <c r="AQ188" s="52"/>
    </row>
    <row r="189" spans="1:43">
      <c r="A189" s="331">
        <v>45049</v>
      </c>
      <c r="B189" s="332">
        <v>4090.75</v>
      </c>
      <c r="C189" s="30">
        <v>374.9</v>
      </c>
      <c r="D189" s="22">
        <f t="shared" si="4"/>
        <v>7.2712140686789191E-3</v>
      </c>
      <c r="E189" s="22">
        <f t="shared" si="5"/>
        <v>-3.2436456450069852E-3</v>
      </c>
      <c r="F189" s="12"/>
      <c r="G189" s="12"/>
      <c r="H189" s="3"/>
      <c r="I189" s="3"/>
      <c r="J189" s="3"/>
      <c r="K189" s="3"/>
      <c r="L189" s="3"/>
      <c r="M189" s="3"/>
      <c r="N189" s="3"/>
      <c r="O189" s="3"/>
      <c r="P189" s="3"/>
      <c r="Q189" s="3"/>
      <c r="R189" s="3"/>
      <c r="S189" s="3"/>
      <c r="T189" s="3"/>
      <c r="U189" s="3"/>
      <c r="V189" s="47"/>
      <c r="W189" s="47"/>
      <c r="X189" s="47"/>
      <c r="Y189" s="47"/>
      <c r="Z189" s="47"/>
      <c r="AA189" s="198"/>
      <c r="AB189" s="198"/>
      <c r="AC189" s="198"/>
      <c r="AD189" s="198"/>
      <c r="AE189" s="198"/>
      <c r="AF189" s="198"/>
      <c r="AG189" s="198"/>
      <c r="AH189" s="198"/>
      <c r="AI189" s="198"/>
      <c r="AJ189" s="198"/>
      <c r="AK189" s="198"/>
      <c r="AL189" s="198"/>
      <c r="AM189" s="52"/>
      <c r="AN189" s="52"/>
      <c r="AO189" s="52"/>
      <c r="AP189" s="52"/>
      <c r="AQ189" s="52"/>
    </row>
    <row r="190" spans="1:43">
      <c r="A190" s="331">
        <v>45048</v>
      </c>
      <c r="B190" s="332">
        <v>4119.58</v>
      </c>
      <c r="C190" s="30">
        <v>376.03</v>
      </c>
      <c r="D190" s="22">
        <f t="shared" si="4"/>
        <v>7.0476074069546974E-3</v>
      </c>
      <c r="E190" s="22">
        <f t="shared" si="5"/>
        <v>3.0141371032275156E-3</v>
      </c>
      <c r="F190" s="12"/>
      <c r="G190" s="12"/>
      <c r="H190" s="3"/>
      <c r="I190" s="3"/>
      <c r="J190" s="3"/>
      <c r="K190" s="3"/>
      <c r="L190" s="3"/>
      <c r="M190" s="3"/>
      <c r="N190" s="3"/>
      <c r="O190" s="3"/>
      <c r="P190" s="3"/>
      <c r="Q190" s="3"/>
      <c r="R190" s="3"/>
      <c r="S190" s="3"/>
      <c r="T190" s="3"/>
      <c r="U190" s="3"/>
      <c r="V190" s="47"/>
      <c r="W190" s="47"/>
      <c r="X190" s="47"/>
      <c r="Y190" s="47"/>
      <c r="Z190" s="47"/>
      <c r="AA190" s="198"/>
      <c r="AB190" s="198"/>
      <c r="AC190" s="198"/>
      <c r="AD190" s="198"/>
      <c r="AE190" s="198"/>
      <c r="AF190" s="198"/>
      <c r="AG190" s="198"/>
      <c r="AH190" s="198"/>
      <c r="AI190" s="198"/>
      <c r="AJ190" s="198"/>
      <c r="AK190" s="198"/>
      <c r="AL190" s="198"/>
      <c r="AM190" s="52"/>
      <c r="AN190" s="52"/>
      <c r="AO190" s="52"/>
      <c r="AP190" s="52"/>
      <c r="AQ190" s="52"/>
    </row>
    <row r="191" spans="1:43">
      <c r="A191" s="331">
        <v>45047</v>
      </c>
      <c r="B191" s="332">
        <v>4167.87</v>
      </c>
      <c r="C191" s="30">
        <v>379.86</v>
      </c>
      <c r="D191" s="22">
        <f t="shared" si="4"/>
        <v>1.1722068754581769E-2</v>
      </c>
      <c r="E191" s="22">
        <f t="shared" si="5"/>
        <v>1.0185357551259317E-2</v>
      </c>
      <c r="F191" s="12"/>
      <c r="G191" s="12"/>
      <c r="H191" s="3"/>
      <c r="I191" s="3"/>
      <c r="J191" s="3"/>
      <c r="K191" s="3"/>
      <c r="L191" s="3"/>
      <c r="M191" s="3"/>
      <c r="N191" s="3"/>
      <c r="O191" s="3"/>
      <c r="P191" s="3"/>
      <c r="Q191" s="3"/>
      <c r="R191" s="3"/>
      <c r="S191" s="3"/>
      <c r="T191" s="3"/>
      <c r="U191" s="3"/>
      <c r="V191" s="47"/>
      <c r="W191" s="47"/>
      <c r="X191" s="47"/>
      <c r="Y191" s="47"/>
      <c r="Z191" s="47"/>
      <c r="AA191" s="198"/>
      <c r="AB191" s="198"/>
      <c r="AC191" s="198"/>
      <c r="AD191" s="198"/>
      <c r="AE191" s="198"/>
      <c r="AF191" s="198"/>
      <c r="AG191" s="198"/>
      <c r="AH191" s="198"/>
      <c r="AI191" s="198"/>
      <c r="AJ191" s="198"/>
      <c r="AK191" s="198"/>
      <c r="AL191" s="198"/>
      <c r="AM191" s="52"/>
      <c r="AN191" s="52"/>
      <c r="AO191" s="52"/>
      <c r="AP191" s="52"/>
      <c r="AQ191" s="52"/>
    </row>
    <row r="192" spans="1:43">
      <c r="A192" s="331">
        <v>45044</v>
      </c>
      <c r="B192" s="332">
        <v>4169.4799999999996</v>
      </c>
      <c r="C192" s="30">
        <v>380.03</v>
      </c>
      <c r="D192" s="22">
        <f t="shared" si="4"/>
        <v>3.8628843989847874E-4</v>
      </c>
      <c r="E192" s="22">
        <f t="shared" si="5"/>
        <v>4.4753330174263957E-4</v>
      </c>
      <c r="F192" s="12"/>
      <c r="G192" s="12"/>
      <c r="H192" s="3"/>
      <c r="I192" s="3"/>
      <c r="J192" s="3"/>
      <c r="K192" s="3"/>
      <c r="L192" s="3"/>
      <c r="M192" s="3"/>
      <c r="N192" s="3"/>
      <c r="O192" s="3"/>
      <c r="P192" s="3"/>
      <c r="Q192" s="3"/>
      <c r="R192" s="3"/>
      <c r="S192" s="3"/>
      <c r="T192" s="3"/>
      <c r="U192" s="3"/>
      <c r="V192" s="47"/>
      <c r="W192" s="47"/>
      <c r="X192" s="47"/>
      <c r="Y192" s="47"/>
      <c r="Z192" s="47"/>
      <c r="AA192" s="198"/>
      <c r="AB192" s="198"/>
      <c r="AC192" s="198"/>
      <c r="AD192" s="198"/>
      <c r="AE192" s="198"/>
      <c r="AF192" s="198"/>
      <c r="AG192" s="198"/>
      <c r="AH192" s="198"/>
      <c r="AI192" s="198"/>
      <c r="AJ192" s="198"/>
      <c r="AK192" s="198"/>
      <c r="AL192" s="198"/>
      <c r="AM192" s="52"/>
      <c r="AN192" s="52"/>
      <c r="AO192" s="52"/>
      <c r="AP192" s="52"/>
      <c r="AQ192" s="52"/>
    </row>
    <row r="193" spans="1:43">
      <c r="A193" s="331">
        <v>45043</v>
      </c>
      <c r="B193" s="332">
        <v>4135.3500000000004</v>
      </c>
      <c r="C193" s="30">
        <v>373.67</v>
      </c>
      <c r="D193" s="22">
        <f t="shared" si="4"/>
        <v>-8.1856730335675438E-3</v>
      </c>
      <c r="E193" s="22">
        <f t="shared" si="5"/>
        <v>-1.673552087993042E-2</v>
      </c>
      <c r="F193" s="12"/>
      <c r="G193" s="12"/>
      <c r="H193" s="3"/>
      <c r="I193" s="3"/>
      <c r="J193" s="3"/>
      <c r="K193" s="3"/>
      <c r="L193" s="3"/>
      <c r="M193" s="3"/>
      <c r="N193" s="3"/>
      <c r="O193" s="3"/>
      <c r="P193" s="3"/>
      <c r="Q193" s="3"/>
      <c r="R193" s="3"/>
      <c r="S193" s="3"/>
      <c r="T193" s="3"/>
      <c r="U193" s="3"/>
      <c r="V193" s="47"/>
      <c r="W193" s="47"/>
      <c r="X193" s="47"/>
      <c r="Y193" s="47"/>
      <c r="Z193" s="47"/>
      <c r="AA193" s="198"/>
      <c r="AB193" s="198"/>
      <c r="AC193" s="198"/>
      <c r="AD193" s="198"/>
      <c r="AE193" s="198"/>
      <c r="AF193" s="198"/>
      <c r="AG193" s="198"/>
      <c r="AH193" s="198"/>
      <c r="AI193" s="198"/>
      <c r="AJ193" s="198"/>
      <c r="AK193" s="198"/>
      <c r="AL193" s="198"/>
      <c r="AM193" s="52"/>
      <c r="AN193" s="52"/>
      <c r="AO193" s="52"/>
      <c r="AP193" s="52"/>
      <c r="AQ193" s="52"/>
    </row>
    <row r="194" spans="1:43">
      <c r="A194" s="331">
        <v>45042</v>
      </c>
      <c r="B194" s="332">
        <v>4055.99</v>
      </c>
      <c r="C194" s="30">
        <v>366.76</v>
      </c>
      <c r="D194" s="22">
        <f t="shared" si="4"/>
        <v>-1.9190636826387265E-2</v>
      </c>
      <c r="E194" s="22">
        <f t="shared" si="5"/>
        <v>-1.8492252522279082E-2</v>
      </c>
      <c r="F194" s="12"/>
      <c r="G194" s="12"/>
      <c r="H194" s="3"/>
      <c r="I194" s="3"/>
      <c r="J194" s="3"/>
      <c r="K194" s="3"/>
      <c r="L194" s="3"/>
      <c r="M194" s="3"/>
      <c r="N194" s="3"/>
      <c r="O194" s="3"/>
      <c r="P194" s="3"/>
      <c r="Q194" s="3"/>
      <c r="R194" s="3"/>
      <c r="S194" s="3"/>
      <c r="T194" s="3"/>
      <c r="U194" s="3"/>
      <c r="V194" s="47"/>
      <c r="W194" s="47"/>
      <c r="X194" s="47"/>
      <c r="Y194" s="47"/>
      <c r="Z194" s="47"/>
      <c r="AA194" s="198"/>
      <c r="AB194" s="198"/>
      <c r="AC194" s="198"/>
      <c r="AD194" s="198"/>
      <c r="AE194" s="198"/>
      <c r="AF194" s="198"/>
      <c r="AG194" s="198"/>
      <c r="AH194" s="198"/>
      <c r="AI194" s="198"/>
      <c r="AJ194" s="198"/>
      <c r="AK194" s="198"/>
      <c r="AL194" s="198"/>
      <c r="AM194" s="52"/>
      <c r="AN194" s="52"/>
      <c r="AO194" s="52"/>
      <c r="AP194" s="52"/>
      <c r="AQ194" s="52"/>
    </row>
    <row r="195" spans="1:43">
      <c r="A195" s="331">
        <v>45041</v>
      </c>
      <c r="B195" s="332">
        <v>4071.63</v>
      </c>
      <c r="C195" s="30">
        <v>368.53</v>
      </c>
      <c r="D195" s="22">
        <f t="shared" si="4"/>
        <v>3.8560252860584785E-3</v>
      </c>
      <c r="E195" s="22">
        <f t="shared" si="5"/>
        <v>4.8260442796378613E-3</v>
      </c>
      <c r="F195" s="12"/>
      <c r="G195" s="12"/>
      <c r="H195" s="3"/>
      <c r="I195" s="3"/>
      <c r="J195" s="3"/>
      <c r="K195" s="3"/>
      <c r="L195" s="3"/>
      <c r="M195" s="3"/>
      <c r="N195" s="3"/>
      <c r="O195" s="3"/>
      <c r="P195" s="3"/>
      <c r="Q195" s="3"/>
      <c r="R195" s="3"/>
      <c r="S195" s="3"/>
      <c r="T195" s="3"/>
      <c r="U195" s="3"/>
      <c r="V195" s="47"/>
      <c r="W195" s="47"/>
      <c r="X195" s="47"/>
      <c r="Y195" s="47"/>
      <c r="Z195" s="47"/>
      <c r="AA195" s="198"/>
      <c r="AB195" s="198"/>
      <c r="AC195" s="198"/>
      <c r="AD195" s="198"/>
      <c r="AE195" s="198"/>
      <c r="AF195" s="198"/>
      <c r="AG195" s="198"/>
      <c r="AH195" s="198"/>
      <c r="AI195" s="198"/>
      <c r="AJ195" s="198"/>
      <c r="AK195" s="198"/>
      <c r="AL195" s="198"/>
      <c r="AM195" s="52"/>
      <c r="AN195" s="52"/>
      <c r="AO195" s="52"/>
      <c r="AP195" s="52"/>
      <c r="AQ195" s="52"/>
    </row>
    <row r="196" spans="1:43">
      <c r="A196" s="331">
        <v>45040</v>
      </c>
      <c r="B196" s="332">
        <v>4137.04</v>
      </c>
      <c r="C196" s="30">
        <v>374.73</v>
      </c>
      <c r="D196" s="22">
        <f t="shared" ref="D196:D259" si="6">(B196-B195)/B195</f>
        <v>1.6064819249293243E-2</v>
      </c>
      <c r="E196" s="22">
        <f t="shared" si="5"/>
        <v>1.6823596450763971E-2</v>
      </c>
      <c r="F196" s="12"/>
      <c r="G196" s="12"/>
      <c r="H196" s="3"/>
      <c r="I196" s="3"/>
      <c r="J196" s="3"/>
      <c r="K196" s="3"/>
      <c r="L196" s="3"/>
      <c r="M196" s="3"/>
      <c r="N196" s="3"/>
      <c r="O196" s="3"/>
      <c r="P196" s="3"/>
      <c r="Q196" s="3"/>
      <c r="R196" s="3"/>
      <c r="S196" s="3"/>
      <c r="T196" s="3"/>
      <c r="U196" s="3"/>
      <c r="V196" s="47"/>
      <c r="W196" s="47"/>
      <c r="X196" s="47"/>
      <c r="Y196" s="47"/>
      <c r="Z196" s="47"/>
      <c r="AA196" s="198"/>
      <c r="AB196" s="198"/>
      <c r="AC196" s="198"/>
      <c r="AD196" s="198"/>
      <c r="AE196" s="198"/>
      <c r="AF196" s="198"/>
      <c r="AG196" s="198"/>
      <c r="AH196" s="198"/>
      <c r="AI196" s="198"/>
      <c r="AJ196" s="198"/>
      <c r="AK196" s="198"/>
      <c r="AL196" s="198"/>
      <c r="AM196" s="52"/>
      <c r="AN196" s="52"/>
      <c r="AO196" s="52"/>
      <c r="AP196" s="52"/>
      <c r="AQ196" s="52"/>
    </row>
    <row r="197" spans="1:43">
      <c r="A197" s="331">
        <v>45037</v>
      </c>
      <c r="B197" s="332">
        <v>4133.5200000000004</v>
      </c>
      <c r="C197" s="30">
        <v>375.24</v>
      </c>
      <c r="D197" s="22">
        <f t="shared" si="6"/>
        <v>-8.5084988300802682E-4</v>
      </c>
      <c r="E197" s="22">
        <f t="shared" ref="E197:E260" si="7">(C197-C196)/C196</f>
        <v>1.3609799055319587E-3</v>
      </c>
      <c r="F197" s="12"/>
      <c r="G197" s="12"/>
      <c r="H197" s="3"/>
      <c r="I197" s="3"/>
      <c r="J197" s="3"/>
      <c r="K197" s="3"/>
      <c r="L197" s="3"/>
      <c r="M197" s="3"/>
      <c r="N197" s="3"/>
      <c r="O197" s="3"/>
      <c r="P197" s="3"/>
      <c r="Q197" s="3"/>
      <c r="R197" s="3"/>
      <c r="S197" s="3"/>
      <c r="T197" s="3"/>
      <c r="U197" s="3"/>
      <c r="V197" s="47"/>
      <c r="W197" s="47"/>
      <c r="X197" s="47"/>
      <c r="Y197" s="47"/>
      <c r="Z197" s="47"/>
      <c r="AA197" s="198"/>
      <c r="AB197" s="198"/>
      <c r="AC197" s="198"/>
      <c r="AD197" s="198"/>
      <c r="AE197" s="198"/>
      <c r="AF197" s="198"/>
      <c r="AG197" s="198"/>
      <c r="AH197" s="198"/>
      <c r="AI197" s="198"/>
      <c r="AJ197" s="198"/>
      <c r="AK197" s="198"/>
      <c r="AL197" s="198"/>
      <c r="AM197" s="52"/>
      <c r="AN197" s="52"/>
      <c r="AO197" s="52"/>
      <c r="AP197" s="52"/>
      <c r="AQ197" s="52"/>
    </row>
    <row r="198" spans="1:43">
      <c r="A198" s="331">
        <v>45036</v>
      </c>
      <c r="B198" s="332">
        <v>4129.79</v>
      </c>
      <c r="C198" s="30">
        <v>375</v>
      </c>
      <c r="D198" s="22">
        <f t="shared" si="6"/>
        <v>-9.0237860225678655E-4</v>
      </c>
      <c r="E198" s="22">
        <f t="shared" si="7"/>
        <v>-6.3959066197635936E-4</v>
      </c>
      <c r="F198" s="12"/>
      <c r="G198" s="12"/>
      <c r="H198" s="3"/>
      <c r="I198" s="3"/>
      <c r="J198" s="3"/>
      <c r="K198" s="3"/>
      <c r="L198" s="3"/>
      <c r="M198" s="3"/>
      <c r="N198" s="3"/>
      <c r="O198" s="3"/>
      <c r="P198" s="3"/>
      <c r="Q198" s="3"/>
      <c r="R198" s="3"/>
      <c r="S198" s="3"/>
      <c r="T198" s="3"/>
      <c r="U198" s="3"/>
      <c r="V198" s="47"/>
      <c r="W198" s="47"/>
      <c r="X198" s="47"/>
      <c r="Y198" s="47"/>
      <c r="Z198" s="47"/>
      <c r="AA198" s="198"/>
      <c r="AB198" s="198"/>
      <c r="AC198" s="198"/>
      <c r="AD198" s="198"/>
      <c r="AE198" s="198"/>
      <c r="AF198" s="198"/>
      <c r="AG198" s="198"/>
      <c r="AH198" s="198"/>
      <c r="AI198" s="198"/>
      <c r="AJ198" s="198"/>
      <c r="AK198" s="198"/>
      <c r="AL198" s="198"/>
      <c r="AM198" s="52"/>
      <c r="AN198" s="52"/>
      <c r="AO198" s="52"/>
      <c r="AP198" s="52"/>
      <c r="AQ198" s="52"/>
    </row>
    <row r="199" spans="1:43">
      <c r="A199" s="331">
        <v>45035</v>
      </c>
      <c r="B199" s="332">
        <v>4154.5200000000004</v>
      </c>
      <c r="C199" s="30">
        <v>372.8</v>
      </c>
      <c r="D199" s="22">
        <f t="shared" si="6"/>
        <v>5.9881979471112269E-3</v>
      </c>
      <c r="E199" s="22">
        <f t="shared" si="7"/>
        <v>-5.8666666666666364E-3</v>
      </c>
      <c r="F199" s="12"/>
      <c r="G199" s="12"/>
      <c r="H199" s="3"/>
      <c r="I199" s="3"/>
      <c r="J199" s="3"/>
      <c r="K199" s="3"/>
      <c r="L199" s="3"/>
      <c r="M199" s="3"/>
      <c r="N199" s="3"/>
      <c r="O199" s="3"/>
      <c r="P199" s="3"/>
      <c r="Q199" s="3"/>
      <c r="R199" s="3"/>
      <c r="S199" s="3"/>
      <c r="T199" s="3"/>
      <c r="U199" s="3"/>
      <c r="V199" s="47"/>
      <c r="W199" s="47"/>
      <c r="X199" s="47"/>
      <c r="Y199" s="47"/>
      <c r="Z199" s="47"/>
      <c r="AA199" s="198"/>
      <c r="AB199" s="198"/>
      <c r="AC199" s="198"/>
      <c r="AD199" s="198"/>
      <c r="AE199" s="198"/>
      <c r="AF199" s="198"/>
      <c r="AG199" s="198"/>
      <c r="AH199" s="198"/>
      <c r="AI199" s="198"/>
      <c r="AJ199" s="198"/>
      <c r="AK199" s="198"/>
      <c r="AL199" s="198"/>
      <c r="AM199" s="52"/>
      <c r="AN199" s="52"/>
      <c r="AO199" s="52"/>
      <c r="AP199" s="52"/>
      <c r="AQ199" s="52"/>
    </row>
    <row r="200" spans="1:43">
      <c r="A200" s="331">
        <v>45034</v>
      </c>
      <c r="B200" s="332">
        <v>4154.87</v>
      </c>
      <c r="C200" s="30">
        <v>372.32</v>
      </c>
      <c r="D200" s="22">
        <f t="shared" si="6"/>
        <v>8.4245592751859238E-5</v>
      </c>
      <c r="E200" s="22">
        <f t="shared" si="7"/>
        <v>-1.2875536480687184E-3</v>
      </c>
      <c r="F200" s="12"/>
      <c r="G200" s="12"/>
      <c r="H200" s="3"/>
      <c r="I200" s="3"/>
      <c r="J200" s="3"/>
      <c r="K200" s="3"/>
      <c r="L200" s="3"/>
      <c r="M200" s="3"/>
      <c r="N200" s="3"/>
      <c r="O200" s="3"/>
      <c r="P200" s="3"/>
      <c r="Q200" s="3"/>
      <c r="R200" s="3"/>
      <c r="S200" s="3"/>
      <c r="T200" s="3"/>
      <c r="U200" s="3"/>
      <c r="V200" s="47"/>
      <c r="W200" s="47"/>
      <c r="X200" s="47"/>
      <c r="Y200" s="47"/>
      <c r="Z200" s="47"/>
      <c r="AA200" s="198"/>
      <c r="AB200" s="198"/>
      <c r="AC200" s="198"/>
      <c r="AD200" s="198"/>
      <c r="AE200" s="198"/>
      <c r="AF200" s="198"/>
      <c r="AG200" s="198"/>
      <c r="AH200" s="198"/>
      <c r="AI200" s="198"/>
      <c r="AJ200" s="198"/>
      <c r="AK200" s="198"/>
      <c r="AL200" s="198"/>
      <c r="AM200" s="52"/>
      <c r="AN200" s="52"/>
      <c r="AO200" s="52"/>
      <c r="AP200" s="52"/>
      <c r="AQ200" s="52"/>
    </row>
    <row r="201" spans="1:43">
      <c r="A201" s="331">
        <v>45033</v>
      </c>
      <c r="B201" s="332">
        <v>4151.32</v>
      </c>
      <c r="C201" s="30">
        <v>372.76</v>
      </c>
      <c r="D201" s="22">
        <f t="shared" si="6"/>
        <v>-8.5441903116106692E-4</v>
      </c>
      <c r="E201" s="22">
        <f t="shared" si="7"/>
        <v>1.1817791147400024E-3</v>
      </c>
      <c r="F201" s="12"/>
      <c r="G201" s="12"/>
      <c r="H201" s="3"/>
      <c r="I201" s="3"/>
      <c r="J201" s="3"/>
      <c r="K201" s="3"/>
      <c r="L201" s="3"/>
      <c r="M201" s="3"/>
      <c r="N201" s="3"/>
      <c r="O201" s="3"/>
      <c r="P201" s="3"/>
      <c r="Q201" s="3"/>
      <c r="R201" s="3"/>
      <c r="S201" s="3"/>
      <c r="T201" s="3"/>
      <c r="U201" s="3"/>
      <c r="V201" s="47"/>
      <c r="W201" s="47"/>
      <c r="X201" s="47"/>
      <c r="Y201" s="47"/>
      <c r="Z201" s="47"/>
      <c r="AA201" s="198"/>
      <c r="AB201" s="198"/>
      <c r="AC201" s="198"/>
      <c r="AD201" s="198"/>
      <c r="AE201" s="198"/>
      <c r="AF201" s="198"/>
      <c r="AG201" s="198"/>
      <c r="AH201" s="198"/>
      <c r="AI201" s="198"/>
      <c r="AJ201" s="198"/>
      <c r="AK201" s="198"/>
      <c r="AL201" s="198"/>
      <c r="AM201" s="52"/>
      <c r="AN201" s="52"/>
      <c r="AO201" s="52"/>
      <c r="AP201" s="52"/>
      <c r="AQ201" s="52"/>
    </row>
    <row r="202" spans="1:43">
      <c r="A202" s="331">
        <v>45030</v>
      </c>
      <c r="B202" s="332">
        <v>4137.6400000000003</v>
      </c>
      <c r="C202" s="30">
        <v>372.43</v>
      </c>
      <c r="D202" s="22">
        <f t="shared" si="6"/>
        <v>-3.2953373866624067E-3</v>
      </c>
      <c r="E202" s="22">
        <f t="shared" si="7"/>
        <v>-8.8528812104298772E-4</v>
      </c>
      <c r="F202" s="12"/>
      <c r="G202" s="12"/>
      <c r="H202" s="3"/>
      <c r="I202" s="3"/>
      <c r="J202" s="3"/>
      <c r="K202" s="3"/>
      <c r="L202" s="3"/>
      <c r="M202" s="3"/>
      <c r="N202" s="3"/>
      <c r="O202" s="3"/>
      <c r="P202" s="3"/>
      <c r="Q202" s="3"/>
      <c r="R202" s="3"/>
      <c r="S202" s="3"/>
      <c r="T202" s="3"/>
      <c r="U202" s="3"/>
      <c r="V202" s="47"/>
      <c r="W202" s="47"/>
      <c r="X202" s="47"/>
      <c r="Y202" s="47"/>
      <c r="Z202" s="47"/>
      <c r="AA202" s="198"/>
      <c r="AB202" s="198"/>
      <c r="AC202" s="198"/>
      <c r="AD202" s="198"/>
      <c r="AE202" s="198"/>
      <c r="AF202" s="198"/>
      <c r="AG202" s="198"/>
      <c r="AH202" s="198"/>
      <c r="AI202" s="198"/>
      <c r="AJ202" s="198"/>
      <c r="AK202" s="198"/>
      <c r="AL202" s="198"/>
      <c r="AM202" s="52"/>
      <c r="AN202" s="52"/>
      <c r="AO202" s="52"/>
      <c r="AP202" s="52"/>
      <c r="AQ202" s="52"/>
    </row>
    <row r="203" spans="1:43">
      <c r="A203" s="331">
        <v>45029</v>
      </c>
      <c r="B203" s="332">
        <v>4146.22</v>
      </c>
      <c r="C203" s="30">
        <v>369.65</v>
      </c>
      <c r="D203" s="22">
        <f t="shared" si="6"/>
        <v>2.0736458464245141E-3</v>
      </c>
      <c r="E203" s="22">
        <f t="shared" si="7"/>
        <v>-7.4644899712698479E-3</v>
      </c>
      <c r="F203" s="12"/>
      <c r="G203" s="12"/>
      <c r="H203" s="3"/>
      <c r="I203" s="3"/>
      <c r="J203" s="3"/>
      <c r="K203" s="3"/>
      <c r="L203" s="3"/>
      <c r="M203" s="3"/>
      <c r="N203" s="3"/>
      <c r="O203" s="3"/>
      <c r="P203" s="3"/>
      <c r="Q203" s="3"/>
      <c r="R203" s="3"/>
      <c r="S203" s="3"/>
      <c r="T203" s="3"/>
      <c r="U203" s="3"/>
      <c r="V203" s="47"/>
      <c r="W203" s="47"/>
      <c r="X203" s="47"/>
      <c r="Y203" s="47"/>
      <c r="Z203" s="47"/>
      <c r="AA203" s="198"/>
      <c r="AB203" s="198"/>
      <c r="AC203" s="198"/>
      <c r="AD203" s="198"/>
      <c r="AE203" s="198"/>
      <c r="AF203" s="198"/>
      <c r="AG203" s="198"/>
      <c r="AH203" s="198"/>
      <c r="AI203" s="198"/>
      <c r="AJ203" s="198"/>
      <c r="AK203" s="198"/>
      <c r="AL203" s="198"/>
      <c r="AM203" s="52"/>
      <c r="AN203" s="52"/>
      <c r="AO203" s="52"/>
      <c r="AP203" s="52"/>
      <c r="AQ203" s="52"/>
    </row>
    <row r="204" spans="1:43">
      <c r="A204" s="331">
        <v>45028</v>
      </c>
      <c r="B204" s="332">
        <v>4091.95</v>
      </c>
      <c r="C204" s="30">
        <v>361.78</v>
      </c>
      <c r="D204" s="22">
        <f t="shared" si="6"/>
        <v>-1.3089030490422706E-2</v>
      </c>
      <c r="E204" s="22">
        <f t="shared" si="7"/>
        <v>-2.1290409847152726E-2</v>
      </c>
      <c r="F204" s="12"/>
      <c r="G204" s="12"/>
      <c r="H204" s="3"/>
      <c r="I204" s="3"/>
      <c r="J204" s="3"/>
      <c r="K204" s="3"/>
      <c r="L204" s="3"/>
      <c r="M204" s="3"/>
      <c r="N204" s="3"/>
      <c r="O204" s="3"/>
      <c r="P204" s="3"/>
      <c r="Q204" s="3"/>
      <c r="R204" s="3"/>
      <c r="S204" s="3"/>
      <c r="T204" s="3"/>
      <c r="U204" s="3"/>
      <c r="V204" s="47"/>
      <c r="W204" s="47"/>
      <c r="X204" s="47"/>
      <c r="Y204" s="47"/>
      <c r="Z204" s="47"/>
      <c r="AA204" s="198"/>
      <c r="AB204" s="198"/>
      <c r="AC204" s="198"/>
      <c r="AD204" s="198"/>
      <c r="AE204" s="198"/>
      <c r="AF204" s="198"/>
      <c r="AG204" s="198"/>
      <c r="AH204" s="198"/>
      <c r="AI204" s="198"/>
      <c r="AJ204" s="198"/>
      <c r="AK204" s="198"/>
      <c r="AL204" s="198"/>
      <c r="AM204" s="52"/>
      <c r="AN204" s="52"/>
      <c r="AO204" s="52"/>
      <c r="AP204" s="52"/>
      <c r="AQ204" s="52"/>
    </row>
    <row r="205" spans="1:43">
      <c r="A205" s="331">
        <v>45027</v>
      </c>
      <c r="B205" s="332">
        <v>4108.9399999999996</v>
      </c>
      <c r="C205" s="30">
        <v>364.13</v>
      </c>
      <c r="D205" s="22">
        <f t="shared" si="6"/>
        <v>4.1520546438738948E-3</v>
      </c>
      <c r="E205" s="22">
        <f t="shared" si="7"/>
        <v>6.4956603460667338E-3</v>
      </c>
      <c r="F205" s="12"/>
      <c r="G205" s="12"/>
      <c r="H205" s="3"/>
      <c r="I205" s="3"/>
      <c r="J205" s="3"/>
      <c r="K205" s="3"/>
      <c r="L205" s="3"/>
      <c r="M205" s="3"/>
      <c r="N205" s="3"/>
      <c r="O205" s="3"/>
      <c r="P205" s="3"/>
      <c r="Q205" s="3"/>
      <c r="R205" s="3"/>
      <c r="S205" s="3"/>
      <c r="T205" s="3"/>
      <c r="U205" s="3"/>
      <c r="V205" s="47"/>
      <c r="W205" s="47"/>
      <c r="X205" s="47"/>
      <c r="Y205" s="47"/>
      <c r="Z205" s="47"/>
      <c r="AA205" s="198"/>
      <c r="AB205" s="198"/>
      <c r="AC205" s="198"/>
      <c r="AD205" s="198"/>
      <c r="AE205" s="198"/>
      <c r="AF205" s="198"/>
      <c r="AG205" s="198"/>
      <c r="AH205" s="198"/>
      <c r="AI205" s="198"/>
      <c r="AJ205" s="198"/>
      <c r="AK205" s="198"/>
      <c r="AL205" s="198"/>
      <c r="AM205" s="52"/>
      <c r="AN205" s="52"/>
      <c r="AO205" s="52"/>
      <c r="AP205" s="52"/>
      <c r="AQ205" s="52"/>
    </row>
    <row r="206" spans="1:43">
      <c r="A206" s="331">
        <v>45026</v>
      </c>
      <c r="B206" s="332">
        <v>4109.1099999999997</v>
      </c>
      <c r="C206" s="30">
        <v>360.14</v>
      </c>
      <c r="D206" s="22">
        <f t="shared" si="6"/>
        <v>4.1373200874209111E-5</v>
      </c>
      <c r="E206" s="22">
        <f t="shared" si="7"/>
        <v>-1.0957625024029905E-2</v>
      </c>
      <c r="F206" s="12"/>
      <c r="G206" s="12"/>
      <c r="H206" s="3"/>
      <c r="I206" s="3"/>
      <c r="J206" s="3"/>
      <c r="K206" s="3"/>
      <c r="L206" s="3"/>
      <c r="M206" s="3"/>
      <c r="N206" s="3"/>
      <c r="O206" s="3"/>
      <c r="P206" s="3"/>
      <c r="Q206" s="3"/>
      <c r="R206" s="3"/>
      <c r="S206" s="3"/>
      <c r="T206" s="3"/>
      <c r="U206" s="3"/>
      <c r="V206" s="47"/>
      <c r="W206" s="47"/>
      <c r="X206" s="47"/>
      <c r="Y206" s="47"/>
      <c r="Z206" s="47"/>
      <c r="AA206" s="198"/>
      <c r="AB206" s="198"/>
      <c r="AC206" s="198"/>
      <c r="AD206" s="198"/>
      <c r="AE206" s="198"/>
      <c r="AF206" s="198"/>
      <c r="AG206" s="198"/>
      <c r="AH206" s="198"/>
      <c r="AI206" s="198"/>
      <c r="AJ206" s="198"/>
      <c r="AK206" s="198"/>
      <c r="AL206" s="198"/>
      <c r="AM206" s="52"/>
      <c r="AN206" s="52"/>
      <c r="AO206" s="52"/>
      <c r="AP206" s="52"/>
      <c r="AQ206" s="52"/>
    </row>
    <row r="207" spans="1:43">
      <c r="A207" s="331">
        <v>45022</v>
      </c>
      <c r="B207" s="332">
        <v>4105.0200000000004</v>
      </c>
      <c r="C207" s="30">
        <v>361.47</v>
      </c>
      <c r="D207" s="22">
        <f t="shared" si="6"/>
        <v>-9.9534935788996547E-4</v>
      </c>
      <c r="E207" s="22">
        <f t="shared" si="7"/>
        <v>3.6930082745600073E-3</v>
      </c>
      <c r="F207" s="12"/>
      <c r="G207" s="12"/>
      <c r="H207" s="3"/>
      <c r="I207" s="3"/>
      <c r="J207" s="3"/>
      <c r="K207" s="3"/>
      <c r="L207" s="3"/>
      <c r="M207" s="3"/>
      <c r="N207" s="3"/>
      <c r="O207" s="3"/>
      <c r="P207" s="3"/>
      <c r="Q207" s="3"/>
      <c r="R207" s="3"/>
      <c r="S207" s="3"/>
      <c r="T207" s="3"/>
      <c r="U207" s="3"/>
      <c r="V207" s="47"/>
      <c r="W207" s="47"/>
      <c r="X207" s="47"/>
      <c r="Y207" s="47"/>
      <c r="Z207" s="47"/>
      <c r="AA207" s="198"/>
      <c r="AB207" s="198"/>
      <c r="AC207" s="198"/>
      <c r="AD207" s="198"/>
      <c r="AE207" s="198"/>
      <c r="AF207" s="198"/>
      <c r="AG207" s="198"/>
      <c r="AH207" s="198"/>
      <c r="AI207" s="198"/>
      <c r="AJ207" s="198"/>
      <c r="AK207" s="198"/>
      <c r="AL207" s="198"/>
      <c r="AM207" s="52"/>
      <c r="AN207" s="52"/>
      <c r="AO207" s="52"/>
      <c r="AP207" s="52"/>
      <c r="AQ207" s="52"/>
    </row>
    <row r="208" spans="1:43">
      <c r="A208" s="331">
        <v>45021</v>
      </c>
      <c r="B208" s="332">
        <v>4090.38</v>
      </c>
      <c r="C208" s="30">
        <v>363.79</v>
      </c>
      <c r="D208" s="22">
        <f t="shared" si="6"/>
        <v>-3.5663650847012501E-3</v>
      </c>
      <c r="E208" s="22">
        <f t="shared" si="7"/>
        <v>6.4182366448114446E-3</v>
      </c>
      <c r="F208" s="12"/>
      <c r="G208" s="12"/>
      <c r="H208" s="3"/>
      <c r="I208" s="3"/>
      <c r="J208" s="3"/>
      <c r="K208" s="3"/>
      <c r="L208" s="3"/>
      <c r="M208" s="3"/>
      <c r="N208" s="3"/>
      <c r="O208" s="3"/>
      <c r="P208" s="3"/>
      <c r="Q208" s="3"/>
      <c r="R208" s="3"/>
      <c r="S208" s="3"/>
      <c r="T208" s="3"/>
      <c r="U208" s="3"/>
      <c r="V208" s="47"/>
      <c r="W208" s="47"/>
      <c r="X208" s="47"/>
      <c r="Y208" s="47"/>
      <c r="Z208" s="47"/>
      <c r="AA208" s="198"/>
      <c r="AB208" s="198"/>
      <c r="AC208" s="198"/>
      <c r="AD208" s="198"/>
      <c r="AE208" s="198"/>
      <c r="AF208" s="198"/>
      <c r="AG208" s="198"/>
      <c r="AH208" s="198"/>
      <c r="AI208" s="198"/>
      <c r="AJ208" s="198"/>
      <c r="AK208" s="198"/>
      <c r="AL208" s="198"/>
      <c r="AM208" s="52"/>
      <c r="AN208" s="52"/>
      <c r="AO208" s="52"/>
      <c r="AP208" s="52"/>
      <c r="AQ208" s="52"/>
    </row>
    <row r="209" spans="1:43">
      <c r="A209" s="331">
        <v>45020</v>
      </c>
      <c r="B209" s="332">
        <v>4100.6000000000004</v>
      </c>
      <c r="C209" s="30">
        <v>363.9</v>
      </c>
      <c r="D209" s="22">
        <f t="shared" si="6"/>
        <v>2.4985453674231379E-3</v>
      </c>
      <c r="E209" s="22">
        <f t="shared" si="7"/>
        <v>3.0237224772521726E-4</v>
      </c>
      <c r="F209" s="12"/>
      <c r="G209" s="12"/>
      <c r="H209" s="3"/>
      <c r="I209" s="3"/>
      <c r="J209" s="3"/>
      <c r="K209" s="3"/>
      <c r="L209" s="3"/>
      <c r="M209" s="3"/>
      <c r="N209" s="3"/>
      <c r="O209" s="3"/>
      <c r="P209" s="3"/>
      <c r="Q209" s="3"/>
      <c r="R209" s="3"/>
      <c r="S209" s="3"/>
      <c r="T209" s="3"/>
      <c r="U209" s="3"/>
      <c r="V209" s="47"/>
      <c r="W209" s="47"/>
      <c r="X209" s="47"/>
      <c r="Y209" s="47"/>
      <c r="Z209" s="47"/>
      <c r="AA209" s="198"/>
      <c r="AB209" s="198"/>
      <c r="AC209" s="198"/>
      <c r="AD209" s="198"/>
      <c r="AE209" s="198"/>
      <c r="AF209" s="198"/>
      <c r="AG209" s="198"/>
      <c r="AH209" s="198"/>
      <c r="AI209" s="198"/>
      <c r="AJ209" s="198"/>
      <c r="AK209" s="198"/>
      <c r="AL209" s="198"/>
      <c r="AM209" s="52"/>
      <c r="AN209" s="52"/>
      <c r="AO209" s="52"/>
      <c r="AP209" s="52"/>
      <c r="AQ209" s="52"/>
    </row>
    <row r="210" spans="1:43">
      <c r="A210" s="331">
        <v>45019</v>
      </c>
      <c r="B210" s="332">
        <v>4124.51</v>
      </c>
      <c r="C210" s="30">
        <v>366.47</v>
      </c>
      <c r="D210" s="22">
        <f t="shared" si="6"/>
        <v>5.830854021362691E-3</v>
      </c>
      <c r="E210" s="22">
        <f t="shared" si="7"/>
        <v>7.0623797746635067E-3</v>
      </c>
      <c r="F210" s="12"/>
      <c r="G210" s="12"/>
      <c r="H210" s="3"/>
      <c r="I210" s="3"/>
      <c r="J210" s="3"/>
      <c r="K210" s="3"/>
      <c r="L210" s="3"/>
      <c r="M210" s="3"/>
      <c r="N210" s="3"/>
      <c r="O210" s="3"/>
      <c r="P210" s="3"/>
      <c r="Q210" s="3"/>
      <c r="R210" s="3"/>
      <c r="S210" s="3"/>
      <c r="T210" s="3"/>
      <c r="U210" s="3"/>
      <c r="V210" s="47"/>
      <c r="W210" s="47"/>
      <c r="X210" s="47"/>
      <c r="Y210" s="47"/>
      <c r="Z210" s="47"/>
      <c r="AA210" s="198"/>
      <c r="AB210" s="198"/>
      <c r="AC210" s="198"/>
      <c r="AD210" s="198"/>
      <c r="AE210" s="198"/>
      <c r="AF210" s="198"/>
      <c r="AG210" s="198"/>
      <c r="AH210" s="198"/>
      <c r="AI210" s="198"/>
      <c r="AJ210" s="198"/>
      <c r="AK210" s="198"/>
      <c r="AL210" s="198"/>
      <c r="AM210" s="52"/>
      <c r="AN210" s="52"/>
      <c r="AO210" s="52"/>
      <c r="AP210" s="52"/>
      <c r="AQ210" s="52"/>
    </row>
    <row r="211" spans="1:43">
      <c r="A211" s="331">
        <v>45016</v>
      </c>
      <c r="B211" s="332">
        <v>4109.3100000000004</v>
      </c>
      <c r="C211" s="30">
        <v>363.41</v>
      </c>
      <c r="D211" s="22">
        <f t="shared" si="6"/>
        <v>-3.6852862521850639E-3</v>
      </c>
      <c r="E211" s="22">
        <f t="shared" si="7"/>
        <v>-8.3499331459601107E-3</v>
      </c>
      <c r="F211" s="12"/>
      <c r="G211" s="12"/>
      <c r="H211" s="3"/>
      <c r="I211" s="3"/>
      <c r="J211" s="3"/>
      <c r="K211" s="3"/>
      <c r="L211" s="3"/>
      <c r="M211" s="3"/>
      <c r="N211" s="3"/>
      <c r="O211" s="3"/>
      <c r="P211" s="3"/>
      <c r="Q211" s="3"/>
      <c r="R211" s="3"/>
      <c r="S211" s="3"/>
      <c r="T211" s="3"/>
      <c r="U211" s="3"/>
      <c r="V211" s="47"/>
      <c r="W211" s="47"/>
      <c r="X211" s="47"/>
      <c r="Y211" s="47"/>
      <c r="Z211" s="47"/>
      <c r="AA211" s="198"/>
      <c r="AB211" s="198"/>
      <c r="AC211" s="198"/>
      <c r="AD211" s="198"/>
      <c r="AE211" s="198"/>
      <c r="AF211" s="198"/>
      <c r="AG211" s="198"/>
      <c r="AH211" s="198"/>
      <c r="AI211" s="198"/>
      <c r="AJ211" s="198"/>
      <c r="AK211" s="198"/>
      <c r="AL211" s="198"/>
      <c r="AM211" s="52"/>
      <c r="AN211" s="52"/>
      <c r="AO211" s="52"/>
      <c r="AP211" s="52"/>
      <c r="AQ211" s="52"/>
    </row>
    <row r="212" spans="1:43">
      <c r="A212" s="331">
        <v>45015</v>
      </c>
      <c r="B212" s="332">
        <v>4050.83</v>
      </c>
      <c r="C212" s="30">
        <v>359.26</v>
      </c>
      <c r="D212" s="22">
        <f t="shared" si="6"/>
        <v>-1.4231099624997984E-2</v>
      </c>
      <c r="E212" s="22">
        <f t="shared" si="7"/>
        <v>-1.1419608706419839E-2</v>
      </c>
      <c r="F212" s="12"/>
      <c r="G212" s="12"/>
      <c r="H212" s="3"/>
      <c r="I212" s="3"/>
      <c r="J212" s="3"/>
      <c r="K212" s="3"/>
      <c r="L212" s="3"/>
      <c r="M212" s="3"/>
      <c r="N212" s="3"/>
      <c r="O212" s="3"/>
      <c r="P212" s="3"/>
      <c r="Q212" s="3"/>
      <c r="R212" s="3"/>
      <c r="S212" s="3"/>
      <c r="T212" s="3"/>
      <c r="U212" s="3"/>
      <c r="V212" s="47"/>
      <c r="W212" s="47"/>
      <c r="X212" s="47"/>
      <c r="Y212" s="47"/>
      <c r="Z212" s="47"/>
      <c r="AA212" s="198"/>
      <c r="AB212" s="198"/>
      <c r="AC212" s="198"/>
      <c r="AD212" s="198"/>
      <c r="AE212" s="198"/>
      <c r="AF212" s="198"/>
      <c r="AG212" s="198"/>
      <c r="AH212" s="198"/>
      <c r="AI212" s="198"/>
      <c r="AJ212" s="198"/>
      <c r="AK212" s="198"/>
      <c r="AL212" s="198"/>
      <c r="AM212" s="52"/>
      <c r="AN212" s="52"/>
      <c r="AO212" s="52"/>
      <c r="AP212" s="52"/>
      <c r="AQ212" s="52"/>
    </row>
    <row r="213" spans="1:43">
      <c r="A213" s="331">
        <v>45014</v>
      </c>
      <c r="B213" s="332">
        <v>4027.81</v>
      </c>
      <c r="C213" s="30">
        <v>359.53</v>
      </c>
      <c r="D213" s="22">
        <f t="shared" si="6"/>
        <v>-5.6827859969438314E-3</v>
      </c>
      <c r="E213" s="22">
        <f t="shared" si="7"/>
        <v>7.5154484217553248E-4</v>
      </c>
      <c r="F213" s="12"/>
      <c r="G213" s="12"/>
      <c r="H213" s="3"/>
      <c r="I213" s="3"/>
      <c r="J213" s="3"/>
      <c r="K213" s="3"/>
      <c r="L213" s="3"/>
      <c r="M213" s="3"/>
      <c r="N213" s="3"/>
      <c r="O213" s="3"/>
      <c r="P213" s="3"/>
      <c r="Q213" s="3"/>
      <c r="R213" s="3"/>
      <c r="S213" s="3"/>
      <c r="T213" s="3"/>
      <c r="U213" s="3"/>
      <c r="V213" s="47"/>
      <c r="W213" s="47"/>
      <c r="X213" s="47"/>
      <c r="Y213" s="47"/>
      <c r="Z213" s="47"/>
      <c r="AA213" s="198"/>
      <c r="AB213" s="198"/>
      <c r="AC213" s="198"/>
      <c r="AD213" s="198"/>
      <c r="AE213" s="198"/>
      <c r="AF213" s="198"/>
      <c r="AG213" s="198"/>
      <c r="AH213" s="198"/>
      <c r="AI213" s="198"/>
      <c r="AJ213" s="198"/>
      <c r="AK213" s="198"/>
      <c r="AL213" s="198"/>
      <c r="AM213" s="52"/>
      <c r="AN213" s="52"/>
      <c r="AO213" s="52"/>
      <c r="AP213" s="52"/>
      <c r="AQ213" s="52"/>
    </row>
    <row r="214" spans="1:43">
      <c r="A214" s="331">
        <v>45013</v>
      </c>
      <c r="B214" s="332">
        <v>3971.27</v>
      </c>
      <c r="C214" s="30">
        <v>354.33</v>
      </c>
      <c r="D214" s="22">
        <f t="shared" si="6"/>
        <v>-1.4037404942139764E-2</v>
      </c>
      <c r="E214" s="22">
        <f t="shared" si="7"/>
        <v>-1.4463327121519732E-2</v>
      </c>
      <c r="F214" s="12"/>
      <c r="G214" s="12"/>
      <c r="H214" s="3"/>
      <c r="I214" s="3"/>
      <c r="J214" s="3"/>
      <c r="K214" s="3"/>
      <c r="L214" s="3"/>
      <c r="M214" s="3"/>
      <c r="N214" s="3"/>
      <c r="O214" s="3"/>
      <c r="P214" s="3"/>
      <c r="Q214" s="3"/>
      <c r="R214" s="3"/>
      <c r="S214" s="3"/>
      <c r="T214" s="3"/>
      <c r="U214" s="3"/>
      <c r="V214" s="47"/>
      <c r="W214" s="47"/>
      <c r="X214" s="47"/>
      <c r="Y214" s="47"/>
      <c r="Z214" s="47"/>
      <c r="AA214" s="198"/>
      <c r="AB214" s="198"/>
      <c r="AC214" s="198"/>
      <c r="AD214" s="198"/>
      <c r="AE214" s="198"/>
      <c r="AF214" s="198"/>
      <c r="AG214" s="198"/>
      <c r="AH214" s="198"/>
      <c r="AI214" s="198"/>
      <c r="AJ214" s="198"/>
      <c r="AK214" s="198"/>
      <c r="AL214" s="198"/>
      <c r="AM214" s="52"/>
      <c r="AN214" s="52"/>
      <c r="AO214" s="52"/>
      <c r="AP214" s="52"/>
      <c r="AQ214" s="52"/>
    </row>
    <row r="215" spans="1:43">
      <c r="A215" s="331">
        <v>45012</v>
      </c>
      <c r="B215" s="332">
        <v>3977.53</v>
      </c>
      <c r="C215" s="30">
        <v>354.62</v>
      </c>
      <c r="D215" s="22">
        <f t="shared" si="6"/>
        <v>1.5763219322786459E-3</v>
      </c>
      <c r="E215" s="22">
        <f t="shared" si="7"/>
        <v>8.1844608133666496E-4</v>
      </c>
      <c r="F215" s="12"/>
      <c r="G215" s="12"/>
      <c r="H215" s="3"/>
      <c r="I215" s="3"/>
      <c r="J215" s="3"/>
      <c r="K215" s="3"/>
      <c r="L215" s="3"/>
      <c r="M215" s="3"/>
      <c r="N215" s="3"/>
      <c r="O215" s="3"/>
      <c r="P215" s="3"/>
      <c r="Q215" s="3"/>
      <c r="R215" s="3"/>
      <c r="S215" s="3"/>
      <c r="T215" s="3"/>
      <c r="U215" s="3"/>
      <c r="V215" s="47"/>
      <c r="W215" s="47"/>
      <c r="X215" s="47"/>
      <c r="Y215" s="47"/>
      <c r="Z215" s="47"/>
      <c r="AA215" s="198"/>
      <c r="AB215" s="198"/>
      <c r="AC215" s="198"/>
      <c r="AD215" s="198"/>
      <c r="AE215" s="198"/>
      <c r="AF215" s="198"/>
      <c r="AG215" s="198"/>
      <c r="AH215" s="198"/>
      <c r="AI215" s="198"/>
      <c r="AJ215" s="198"/>
      <c r="AK215" s="198"/>
      <c r="AL215" s="198"/>
      <c r="AM215" s="52"/>
      <c r="AN215" s="52"/>
      <c r="AO215" s="52"/>
      <c r="AP215" s="52"/>
      <c r="AQ215" s="52"/>
    </row>
    <row r="216" spans="1:43">
      <c r="A216" s="331">
        <v>45009</v>
      </c>
      <c r="B216" s="332">
        <v>3970.99</v>
      </c>
      <c r="C216" s="30">
        <v>351.63</v>
      </c>
      <c r="D216" s="22">
        <f t="shared" si="6"/>
        <v>-1.6442364985306001E-3</v>
      </c>
      <c r="E216" s="22">
        <f t="shared" si="7"/>
        <v>-8.4315605436805843E-3</v>
      </c>
      <c r="F216" s="12"/>
      <c r="G216" s="12"/>
      <c r="H216" s="3"/>
      <c r="I216" s="3"/>
      <c r="J216" s="3"/>
      <c r="K216" s="3"/>
      <c r="L216" s="3"/>
      <c r="M216" s="3"/>
      <c r="N216" s="3"/>
      <c r="O216" s="3"/>
      <c r="P216" s="3"/>
      <c r="Q216" s="3"/>
      <c r="R216" s="3"/>
      <c r="S216" s="3"/>
      <c r="T216" s="3"/>
      <c r="U216" s="3"/>
      <c r="V216" s="47"/>
      <c r="W216" s="47"/>
      <c r="X216" s="47"/>
      <c r="Y216" s="47"/>
      <c r="Z216" s="47"/>
      <c r="AA216" s="198"/>
      <c r="AB216" s="198"/>
      <c r="AC216" s="198"/>
      <c r="AD216" s="198"/>
      <c r="AE216" s="198"/>
      <c r="AF216" s="198"/>
      <c r="AG216" s="198"/>
      <c r="AH216" s="198"/>
      <c r="AI216" s="198"/>
      <c r="AJ216" s="198"/>
      <c r="AK216" s="198"/>
      <c r="AL216" s="198"/>
      <c r="AM216" s="52"/>
      <c r="AN216" s="52"/>
      <c r="AO216" s="52"/>
      <c r="AP216" s="52"/>
      <c r="AQ216" s="52"/>
    </row>
    <row r="217" spans="1:43">
      <c r="A217" s="331">
        <v>45008</v>
      </c>
      <c r="B217" s="332">
        <v>3948.72</v>
      </c>
      <c r="C217" s="30">
        <v>354.37</v>
      </c>
      <c r="D217" s="22">
        <f t="shared" si="6"/>
        <v>-5.6081732766891839E-3</v>
      </c>
      <c r="E217" s="22">
        <f t="shared" si="7"/>
        <v>7.7922816596991415E-3</v>
      </c>
      <c r="F217" s="12"/>
      <c r="G217" s="12"/>
      <c r="H217" s="3"/>
      <c r="I217" s="3"/>
      <c r="J217" s="3"/>
      <c r="K217" s="3"/>
      <c r="L217" s="3"/>
      <c r="M217" s="3"/>
      <c r="N217" s="3"/>
      <c r="O217" s="3"/>
      <c r="P217" s="3"/>
      <c r="Q217" s="3"/>
      <c r="R217" s="3"/>
      <c r="S217" s="3"/>
      <c r="T217" s="3"/>
      <c r="U217" s="3"/>
      <c r="V217" s="47"/>
      <c r="W217" s="47"/>
      <c r="X217" s="47"/>
      <c r="Y217" s="47"/>
      <c r="Z217" s="47"/>
      <c r="AA217" s="198"/>
      <c r="AB217" s="198"/>
      <c r="AC217" s="198"/>
      <c r="AD217" s="198"/>
      <c r="AE217" s="198"/>
      <c r="AF217" s="198"/>
      <c r="AG217" s="198"/>
      <c r="AH217" s="198"/>
      <c r="AI217" s="198"/>
      <c r="AJ217" s="198"/>
      <c r="AK217" s="198"/>
      <c r="AL217" s="198"/>
      <c r="AM217" s="52"/>
      <c r="AN217" s="52"/>
      <c r="AO217" s="52"/>
      <c r="AP217" s="52"/>
      <c r="AQ217" s="52"/>
    </row>
    <row r="218" spans="1:43">
      <c r="A218" s="331">
        <v>45007</v>
      </c>
      <c r="B218" s="332">
        <v>3936.97</v>
      </c>
      <c r="C218" s="30">
        <v>351.03</v>
      </c>
      <c r="D218" s="22">
        <f t="shared" si="6"/>
        <v>-2.9756478048582834E-3</v>
      </c>
      <c r="E218" s="22">
        <f t="shared" si="7"/>
        <v>-9.4251770748089055E-3</v>
      </c>
      <c r="F218" s="12"/>
      <c r="G218" s="12"/>
      <c r="H218" s="3"/>
      <c r="I218" s="3"/>
      <c r="J218" s="3"/>
      <c r="K218" s="3"/>
      <c r="L218" s="3"/>
      <c r="M218" s="3"/>
      <c r="N218" s="3"/>
      <c r="O218" s="3"/>
      <c r="P218" s="3"/>
      <c r="Q218" s="3"/>
      <c r="R218" s="3"/>
      <c r="S218" s="3"/>
      <c r="T218" s="3"/>
      <c r="U218" s="3"/>
      <c r="V218" s="47"/>
      <c r="W218" s="47"/>
      <c r="X218" s="47"/>
      <c r="Y218" s="47"/>
      <c r="Z218" s="47"/>
      <c r="AA218" s="198"/>
      <c r="AB218" s="198"/>
      <c r="AC218" s="198"/>
      <c r="AD218" s="198"/>
      <c r="AE218" s="198"/>
      <c r="AF218" s="198"/>
      <c r="AG218" s="198"/>
      <c r="AH218" s="198"/>
      <c r="AI218" s="198"/>
      <c r="AJ218" s="198"/>
      <c r="AK218" s="198"/>
      <c r="AL218" s="198"/>
      <c r="AM218" s="52"/>
      <c r="AN218" s="52"/>
      <c r="AO218" s="52"/>
      <c r="AP218" s="52"/>
      <c r="AQ218" s="52"/>
    </row>
    <row r="219" spans="1:43">
      <c r="A219" s="331">
        <v>45006</v>
      </c>
      <c r="B219" s="332">
        <v>4002.87</v>
      </c>
      <c r="C219" s="30">
        <v>354.57</v>
      </c>
      <c r="D219" s="22">
        <f t="shared" si="6"/>
        <v>1.6738761026881103E-2</v>
      </c>
      <c r="E219" s="22">
        <f t="shared" si="7"/>
        <v>1.0084608153149363E-2</v>
      </c>
      <c r="F219" s="12"/>
      <c r="G219" s="12"/>
      <c r="H219" s="3"/>
      <c r="I219" s="3"/>
      <c r="J219" s="3"/>
      <c r="K219" s="3"/>
      <c r="L219" s="3"/>
      <c r="M219" s="3"/>
      <c r="N219" s="3"/>
      <c r="O219" s="3"/>
      <c r="P219" s="3"/>
      <c r="Q219" s="3"/>
      <c r="R219" s="3"/>
      <c r="S219" s="3"/>
      <c r="T219" s="3"/>
      <c r="U219" s="3"/>
      <c r="V219" s="47"/>
      <c r="W219" s="47"/>
      <c r="X219" s="47"/>
      <c r="Y219" s="47"/>
      <c r="Z219" s="47"/>
      <c r="AA219" s="198"/>
      <c r="AB219" s="198"/>
      <c r="AC219" s="198"/>
      <c r="AD219" s="198"/>
      <c r="AE219" s="198"/>
      <c r="AF219" s="198"/>
      <c r="AG219" s="198"/>
      <c r="AH219" s="198"/>
      <c r="AI219" s="198"/>
      <c r="AJ219" s="198"/>
      <c r="AK219" s="198"/>
      <c r="AL219" s="198"/>
      <c r="AM219" s="52"/>
      <c r="AN219" s="52"/>
      <c r="AO219" s="52"/>
      <c r="AP219" s="52"/>
      <c r="AQ219" s="52"/>
    </row>
    <row r="220" spans="1:43">
      <c r="A220" s="331">
        <v>45005</v>
      </c>
      <c r="B220" s="332">
        <v>3951.57</v>
      </c>
      <c r="C220" s="30">
        <v>349.32</v>
      </c>
      <c r="D220" s="22">
        <f t="shared" si="6"/>
        <v>-1.281580466015627E-2</v>
      </c>
      <c r="E220" s="22">
        <f t="shared" si="7"/>
        <v>-1.4806667230730181E-2</v>
      </c>
      <c r="F220" s="12"/>
      <c r="G220" s="12"/>
      <c r="H220" s="3"/>
      <c r="I220" s="3"/>
      <c r="J220" s="3"/>
      <c r="K220" s="3"/>
      <c r="L220" s="3"/>
      <c r="M220" s="3"/>
      <c r="N220" s="3"/>
      <c r="O220" s="3"/>
      <c r="P220" s="3"/>
      <c r="Q220" s="3"/>
      <c r="R220" s="3"/>
      <c r="S220" s="3"/>
      <c r="T220" s="3"/>
      <c r="U220" s="3"/>
      <c r="V220" s="47"/>
      <c r="W220" s="47"/>
      <c r="X220" s="47"/>
      <c r="Y220" s="47"/>
      <c r="Z220" s="47"/>
      <c r="AA220" s="198"/>
      <c r="AB220" s="198"/>
      <c r="AC220" s="198"/>
      <c r="AD220" s="198"/>
      <c r="AE220" s="198"/>
      <c r="AF220" s="198"/>
      <c r="AG220" s="198"/>
      <c r="AH220" s="198"/>
      <c r="AI220" s="198"/>
      <c r="AJ220" s="198"/>
      <c r="AK220" s="198"/>
      <c r="AL220" s="198"/>
      <c r="AM220" s="52"/>
      <c r="AN220" s="52"/>
      <c r="AO220" s="52"/>
      <c r="AP220" s="52"/>
      <c r="AQ220" s="52"/>
    </row>
    <row r="221" spans="1:43">
      <c r="A221" s="331">
        <v>45002</v>
      </c>
      <c r="B221" s="332">
        <v>3916.64</v>
      </c>
      <c r="C221" s="30">
        <v>349.66</v>
      </c>
      <c r="D221" s="22">
        <f t="shared" si="6"/>
        <v>-8.8395245434094022E-3</v>
      </c>
      <c r="E221" s="22">
        <f t="shared" si="7"/>
        <v>9.7331959235094428E-4</v>
      </c>
      <c r="F221" s="12"/>
      <c r="G221" s="12"/>
      <c r="H221" s="3"/>
      <c r="I221" s="3"/>
      <c r="J221" s="3"/>
      <c r="K221" s="3"/>
      <c r="L221" s="3"/>
      <c r="M221" s="3"/>
      <c r="N221" s="3"/>
      <c r="O221" s="3"/>
      <c r="P221" s="3"/>
      <c r="Q221" s="3"/>
      <c r="R221" s="3"/>
      <c r="S221" s="3"/>
      <c r="T221" s="3"/>
      <c r="U221" s="3"/>
      <c r="V221" s="47"/>
      <c r="W221" s="47"/>
      <c r="X221" s="47"/>
      <c r="Y221" s="47"/>
      <c r="Z221" s="47"/>
      <c r="AA221" s="198"/>
      <c r="AB221" s="198"/>
      <c r="AC221" s="198"/>
      <c r="AD221" s="198"/>
      <c r="AE221" s="198"/>
      <c r="AF221" s="198"/>
      <c r="AG221" s="198"/>
      <c r="AH221" s="198"/>
      <c r="AI221" s="198"/>
      <c r="AJ221" s="198"/>
      <c r="AK221" s="198"/>
      <c r="AL221" s="198"/>
      <c r="AM221" s="52"/>
      <c r="AN221" s="52"/>
      <c r="AO221" s="52"/>
      <c r="AP221" s="52"/>
      <c r="AQ221" s="52"/>
    </row>
    <row r="222" spans="1:43">
      <c r="A222" s="331">
        <v>45001</v>
      </c>
      <c r="B222" s="332">
        <v>3960.28</v>
      </c>
      <c r="C222" s="30">
        <v>348</v>
      </c>
      <c r="D222" s="22">
        <f t="shared" si="6"/>
        <v>1.1142203521385761E-2</v>
      </c>
      <c r="E222" s="22">
        <f t="shared" si="7"/>
        <v>-4.7474689698565027E-3</v>
      </c>
      <c r="F222" s="12"/>
      <c r="G222" s="12"/>
      <c r="H222" s="3"/>
      <c r="I222" s="3"/>
      <c r="J222" s="3"/>
      <c r="K222" s="3"/>
      <c r="L222" s="3"/>
      <c r="M222" s="3"/>
      <c r="N222" s="3"/>
      <c r="O222" s="3"/>
      <c r="P222" s="3"/>
      <c r="Q222" s="3"/>
      <c r="R222" s="3"/>
      <c r="S222" s="3"/>
      <c r="T222" s="3"/>
      <c r="U222" s="3"/>
      <c r="V222" s="47"/>
      <c r="W222" s="47"/>
      <c r="X222" s="47"/>
      <c r="Y222" s="47"/>
      <c r="Z222" s="47"/>
      <c r="AA222" s="198"/>
      <c r="AB222" s="198"/>
      <c r="AC222" s="198"/>
      <c r="AD222" s="198"/>
      <c r="AE222" s="198"/>
      <c r="AF222" s="198"/>
      <c r="AG222" s="198"/>
      <c r="AH222" s="198"/>
      <c r="AI222" s="198"/>
      <c r="AJ222" s="198"/>
      <c r="AK222" s="198"/>
      <c r="AL222" s="198"/>
      <c r="AM222" s="52"/>
      <c r="AN222" s="52"/>
      <c r="AO222" s="52"/>
      <c r="AP222" s="52"/>
      <c r="AQ222" s="52"/>
    </row>
    <row r="223" spans="1:43">
      <c r="A223" s="331">
        <v>45000</v>
      </c>
      <c r="B223" s="332">
        <v>3891.93</v>
      </c>
      <c r="C223" s="30">
        <v>348.08</v>
      </c>
      <c r="D223" s="22">
        <f t="shared" si="6"/>
        <v>-1.7258880685204168E-2</v>
      </c>
      <c r="E223" s="22">
        <f t="shared" si="7"/>
        <v>2.2988505747121863E-4</v>
      </c>
      <c r="F223" s="12"/>
      <c r="G223" s="12"/>
      <c r="H223" s="3"/>
      <c r="I223" s="3"/>
      <c r="J223" s="3"/>
      <c r="K223" s="3"/>
      <c r="L223" s="3"/>
      <c r="M223" s="3"/>
      <c r="N223" s="3"/>
      <c r="O223" s="3"/>
      <c r="P223" s="3"/>
      <c r="Q223" s="3"/>
      <c r="R223" s="3"/>
      <c r="S223" s="3"/>
      <c r="T223" s="3"/>
      <c r="U223" s="3"/>
      <c r="V223" s="47"/>
      <c r="W223" s="47"/>
      <c r="X223" s="47"/>
      <c r="Y223" s="47"/>
      <c r="Z223" s="47"/>
      <c r="AA223" s="198"/>
      <c r="AB223" s="198"/>
      <c r="AC223" s="198"/>
      <c r="AD223" s="198"/>
      <c r="AE223" s="198"/>
      <c r="AF223" s="198"/>
      <c r="AG223" s="198"/>
      <c r="AH223" s="198"/>
      <c r="AI223" s="198"/>
      <c r="AJ223" s="198"/>
      <c r="AK223" s="198"/>
      <c r="AL223" s="198"/>
      <c r="AM223" s="52"/>
      <c r="AN223" s="52"/>
      <c r="AO223" s="52"/>
      <c r="AP223" s="52"/>
      <c r="AQ223" s="52"/>
    </row>
    <row r="224" spans="1:43">
      <c r="A224" s="331">
        <v>44999</v>
      </c>
      <c r="B224" s="332">
        <v>3919.29</v>
      </c>
      <c r="C224" s="30">
        <v>352.82</v>
      </c>
      <c r="D224" s="22">
        <f t="shared" si="6"/>
        <v>7.0299311652573734E-3</v>
      </c>
      <c r="E224" s="22">
        <f t="shared" si="7"/>
        <v>1.3617559181797315E-2</v>
      </c>
      <c r="F224" s="12"/>
      <c r="G224" s="12"/>
      <c r="H224" s="3"/>
      <c r="I224" s="3"/>
      <c r="J224" s="3"/>
      <c r="K224" s="3"/>
      <c r="L224" s="3"/>
      <c r="M224" s="3"/>
      <c r="N224" s="3"/>
      <c r="O224" s="3"/>
      <c r="P224" s="3"/>
      <c r="Q224" s="3"/>
      <c r="R224" s="3"/>
      <c r="S224" s="3"/>
      <c r="T224" s="3"/>
      <c r="U224" s="3"/>
      <c r="V224" s="47"/>
      <c r="W224" s="47"/>
      <c r="X224" s="47"/>
      <c r="Y224" s="47"/>
      <c r="Z224" s="47"/>
      <c r="AA224" s="198"/>
      <c r="AB224" s="198"/>
      <c r="AC224" s="198"/>
      <c r="AD224" s="198"/>
      <c r="AE224" s="198"/>
      <c r="AF224" s="198"/>
      <c r="AG224" s="198"/>
      <c r="AH224" s="198"/>
      <c r="AI224" s="198"/>
      <c r="AJ224" s="198"/>
      <c r="AK224" s="198"/>
      <c r="AL224" s="198"/>
      <c r="AM224" s="52"/>
      <c r="AN224" s="52"/>
      <c r="AO224" s="52"/>
      <c r="AP224" s="52"/>
      <c r="AQ224" s="52"/>
    </row>
    <row r="225" spans="1:43">
      <c r="A225" s="331">
        <v>44998</v>
      </c>
      <c r="B225" s="332">
        <v>3855.76</v>
      </c>
      <c r="C225" s="30">
        <v>344.71</v>
      </c>
      <c r="D225" s="22">
        <f t="shared" si="6"/>
        <v>-1.6209568569817426E-2</v>
      </c>
      <c r="E225" s="22">
        <f t="shared" si="7"/>
        <v>-2.2986225270676303E-2</v>
      </c>
      <c r="F225" s="12"/>
      <c r="G225" s="12"/>
      <c r="H225" s="3"/>
      <c r="I225" s="3"/>
      <c r="J225" s="3"/>
      <c r="K225" s="3"/>
      <c r="L225" s="3"/>
      <c r="M225" s="3"/>
      <c r="N225" s="3"/>
      <c r="O225" s="3"/>
      <c r="P225" s="3"/>
      <c r="Q225" s="3"/>
      <c r="R225" s="3"/>
      <c r="S225" s="3"/>
      <c r="T225" s="3"/>
      <c r="U225" s="3"/>
      <c r="V225" s="47"/>
      <c r="W225" s="47"/>
      <c r="X225" s="47"/>
      <c r="Y225" s="47"/>
      <c r="Z225" s="47"/>
      <c r="AA225" s="198"/>
      <c r="AB225" s="198"/>
      <c r="AC225" s="198"/>
      <c r="AD225" s="198"/>
      <c r="AE225" s="198"/>
      <c r="AF225" s="198"/>
      <c r="AG225" s="198"/>
      <c r="AH225" s="198"/>
      <c r="AI225" s="198"/>
      <c r="AJ225" s="198"/>
      <c r="AK225" s="198"/>
      <c r="AL225" s="198"/>
      <c r="AM225" s="52"/>
      <c r="AN225" s="52"/>
      <c r="AO225" s="52"/>
      <c r="AP225" s="52"/>
      <c r="AQ225" s="52"/>
    </row>
    <row r="226" spans="1:43">
      <c r="A226" s="331">
        <v>44995</v>
      </c>
      <c r="B226" s="332">
        <v>3861.59</v>
      </c>
      <c r="C226" s="30">
        <v>347.11</v>
      </c>
      <c r="D226" s="22">
        <f t="shared" si="6"/>
        <v>1.5120235699317196E-3</v>
      </c>
      <c r="E226" s="22">
        <f t="shared" si="7"/>
        <v>6.9623741695919302E-3</v>
      </c>
      <c r="F226" s="12"/>
      <c r="G226" s="12"/>
      <c r="H226" s="3"/>
      <c r="I226" s="3"/>
      <c r="J226" s="3"/>
      <c r="K226" s="3"/>
      <c r="L226" s="3"/>
      <c r="M226" s="3"/>
      <c r="N226" s="3"/>
      <c r="O226" s="3"/>
      <c r="P226" s="3"/>
      <c r="Q226" s="3"/>
      <c r="R226" s="3"/>
      <c r="S226" s="3"/>
      <c r="T226" s="3"/>
      <c r="U226" s="3"/>
      <c r="V226" s="47"/>
      <c r="W226" s="47"/>
      <c r="X226" s="47"/>
      <c r="Y226" s="47"/>
      <c r="Z226" s="47"/>
      <c r="AA226" s="198"/>
      <c r="AB226" s="198"/>
      <c r="AC226" s="198"/>
      <c r="AD226" s="198"/>
      <c r="AE226" s="198"/>
      <c r="AF226" s="198"/>
      <c r="AG226" s="198"/>
      <c r="AH226" s="198"/>
      <c r="AI226" s="198"/>
      <c r="AJ226" s="198"/>
      <c r="AK226" s="198"/>
      <c r="AL226" s="198"/>
      <c r="AM226" s="52"/>
      <c r="AN226" s="52"/>
      <c r="AO226" s="52"/>
      <c r="AP226" s="52"/>
      <c r="AQ226" s="52"/>
    </row>
    <row r="227" spans="1:43">
      <c r="A227" s="331">
        <v>44994</v>
      </c>
      <c r="B227" s="332">
        <v>3918.32</v>
      </c>
      <c r="C227" s="30">
        <v>354.44</v>
      </c>
      <c r="D227" s="22">
        <f t="shared" si="6"/>
        <v>1.4690839783612453E-2</v>
      </c>
      <c r="E227" s="22">
        <f t="shared" si="7"/>
        <v>2.1117225087148118E-2</v>
      </c>
      <c r="F227" s="12"/>
      <c r="G227" s="12"/>
      <c r="H227" s="3"/>
      <c r="I227" s="3"/>
      <c r="J227" s="3"/>
      <c r="K227" s="3"/>
      <c r="L227" s="3"/>
      <c r="M227" s="3"/>
      <c r="N227" s="3"/>
      <c r="O227" s="3"/>
      <c r="P227" s="3"/>
      <c r="Q227" s="3"/>
      <c r="R227" s="3"/>
      <c r="S227" s="3"/>
      <c r="T227" s="3"/>
      <c r="U227" s="3"/>
      <c r="V227" s="47"/>
      <c r="W227" s="47"/>
      <c r="X227" s="47"/>
      <c r="Y227" s="47"/>
      <c r="Z227" s="47"/>
      <c r="AA227" s="198"/>
      <c r="AB227" s="198"/>
      <c r="AC227" s="198"/>
      <c r="AD227" s="198"/>
      <c r="AE227" s="198"/>
      <c r="AF227" s="198"/>
      <c r="AG227" s="198"/>
      <c r="AH227" s="198"/>
      <c r="AI227" s="198"/>
      <c r="AJ227" s="198"/>
      <c r="AK227" s="198"/>
      <c r="AL227" s="198"/>
      <c r="AM227" s="52"/>
      <c r="AN227" s="52"/>
      <c r="AO227" s="52"/>
      <c r="AP227" s="52"/>
      <c r="AQ227" s="52"/>
    </row>
    <row r="228" spans="1:43">
      <c r="A228" s="331">
        <v>44993</v>
      </c>
      <c r="B228" s="332">
        <v>3992.01</v>
      </c>
      <c r="C228" s="30">
        <v>359.03</v>
      </c>
      <c r="D228" s="22">
        <f t="shared" si="6"/>
        <v>1.8806529328896069E-2</v>
      </c>
      <c r="E228" s="22">
        <f t="shared" si="7"/>
        <v>1.2950005642703913E-2</v>
      </c>
      <c r="F228" s="12"/>
      <c r="G228" s="12"/>
      <c r="H228" s="3"/>
      <c r="I228" s="3"/>
      <c r="J228" s="3"/>
      <c r="K228" s="3"/>
      <c r="L228" s="3"/>
      <c r="M228" s="3"/>
      <c r="N228" s="3"/>
      <c r="O228" s="3"/>
      <c r="P228" s="3"/>
      <c r="Q228" s="3"/>
      <c r="R228" s="3"/>
      <c r="S228" s="3"/>
      <c r="T228" s="3"/>
      <c r="U228" s="3"/>
      <c r="V228" s="47"/>
      <c r="W228" s="47"/>
      <c r="X228" s="47"/>
      <c r="Y228" s="47"/>
      <c r="Z228" s="47"/>
      <c r="AA228" s="198"/>
      <c r="AB228" s="198"/>
      <c r="AC228" s="198"/>
      <c r="AD228" s="198"/>
      <c r="AE228" s="198"/>
      <c r="AF228" s="198"/>
      <c r="AG228" s="198"/>
      <c r="AH228" s="198"/>
      <c r="AI228" s="198"/>
      <c r="AJ228" s="198"/>
      <c r="AK228" s="198"/>
      <c r="AL228" s="198"/>
      <c r="AM228" s="52"/>
      <c r="AN228" s="52"/>
      <c r="AO228" s="52"/>
      <c r="AP228" s="52"/>
      <c r="AQ228" s="52"/>
    </row>
    <row r="229" spans="1:43">
      <c r="A229" s="331">
        <v>44992</v>
      </c>
      <c r="B229" s="332">
        <v>3986.37</v>
      </c>
      <c r="C229" s="30">
        <v>359.94</v>
      </c>
      <c r="D229" s="22">
        <f t="shared" si="6"/>
        <v>-1.4128221121691396E-3</v>
      </c>
      <c r="E229" s="22">
        <f t="shared" si="7"/>
        <v>2.5346071358940065E-3</v>
      </c>
      <c r="F229" s="12"/>
      <c r="G229" s="12"/>
      <c r="H229" s="3"/>
      <c r="I229" s="3"/>
      <c r="J229" s="3"/>
      <c r="K229" s="3"/>
      <c r="L229" s="3"/>
      <c r="M229" s="3"/>
      <c r="N229" s="3"/>
      <c r="O229" s="3"/>
      <c r="P229" s="3"/>
      <c r="Q229" s="3"/>
      <c r="R229" s="3"/>
      <c r="S229" s="3"/>
      <c r="T229" s="3"/>
      <c r="U229" s="3"/>
      <c r="V229" s="47"/>
      <c r="W229" s="47"/>
      <c r="X229" s="47"/>
      <c r="Y229" s="47"/>
      <c r="Z229" s="47"/>
      <c r="AA229" s="198"/>
      <c r="AB229" s="198"/>
      <c r="AC229" s="198"/>
      <c r="AD229" s="198"/>
      <c r="AE229" s="198"/>
      <c r="AF229" s="198"/>
      <c r="AG229" s="198"/>
      <c r="AH229" s="198"/>
      <c r="AI229" s="198"/>
      <c r="AJ229" s="198"/>
      <c r="AK229" s="198"/>
      <c r="AL229" s="198"/>
      <c r="AM229" s="52"/>
      <c r="AN229" s="52"/>
      <c r="AO229" s="52"/>
      <c r="AP229" s="52"/>
      <c r="AQ229" s="52"/>
    </row>
    <row r="230" spans="1:43">
      <c r="A230" s="331">
        <v>44991</v>
      </c>
      <c r="B230" s="332">
        <v>4048.42</v>
      </c>
      <c r="C230" s="30">
        <v>366.93</v>
      </c>
      <c r="D230" s="22">
        <f t="shared" si="6"/>
        <v>1.5565539576105627E-2</v>
      </c>
      <c r="E230" s="22">
        <f t="shared" si="7"/>
        <v>1.9419903317219562E-2</v>
      </c>
      <c r="F230" s="12"/>
      <c r="G230" s="12"/>
      <c r="H230" s="3"/>
      <c r="I230" s="3"/>
      <c r="J230" s="3"/>
      <c r="K230" s="3"/>
      <c r="L230" s="3"/>
      <c r="M230" s="3"/>
      <c r="N230" s="3"/>
      <c r="O230" s="3"/>
      <c r="P230" s="3"/>
      <c r="Q230" s="3"/>
      <c r="R230" s="3"/>
      <c r="S230" s="3"/>
      <c r="T230" s="3"/>
      <c r="U230" s="3"/>
      <c r="V230" s="47"/>
      <c r="W230" s="47"/>
      <c r="X230" s="47"/>
      <c r="Y230" s="47"/>
      <c r="Z230" s="47"/>
      <c r="AA230" s="198"/>
      <c r="AB230" s="198"/>
      <c r="AC230" s="198"/>
      <c r="AD230" s="198"/>
      <c r="AE230" s="198"/>
      <c r="AF230" s="198"/>
      <c r="AG230" s="198"/>
      <c r="AH230" s="198"/>
      <c r="AI230" s="198"/>
      <c r="AJ230" s="198"/>
      <c r="AK230" s="198"/>
      <c r="AL230" s="198"/>
      <c r="AM230" s="52"/>
      <c r="AN230" s="52"/>
      <c r="AO230" s="52"/>
      <c r="AP230" s="52"/>
      <c r="AQ230" s="52"/>
    </row>
    <row r="231" spans="1:43">
      <c r="A231" s="331">
        <v>44988</v>
      </c>
      <c r="B231" s="332">
        <v>4045.64</v>
      </c>
      <c r="C231" s="30">
        <v>361.5</v>
      </c>
      <c r="D231" s="22">
        <f t="shared" si="6"/>
        <v>-6.8668764604467919E-4</v>
      </c>
      <c r="E231" s="22">
        <f t="shared" si="7"/>
        <v>-1.479846292208325E-2</v>
      </c>
      <c r="F231" s="12"/>
      <c r="G231" s="12"/>
      <c r="H231" s="3"/>
      <c r="I231" s="3"/>
      <c r="J231" s="3"/>
      <c r="K231" s="3"/>
      <c r="L231" s="3"/>
      <c r="M231" s="3"/>
      <c r="N231" s="3"/>
      <c r="O231" s="3"/>
      <c r="P231" s="3"/>
      <c r="Q231" s="3"/>
      <c r="R231" s="3"/>
      <c r="S231" s="3"/>
      <c r="T231" s="3"/>
      <c r="U231" s="3"/>
      <c r="V231" s="47"/>
      <c r="W231" s="47"/>
      <c r="X231" s="47"/>
      <c r="Y231" s="47"/>
      <c r="Z231" s="47"/>
      <c r="AA231" s="198"/>
      <c r="AB231" s="198"/>
      <c r="AC231" s="198"/>
      <c r="AD231" s="198"/>
      <c r="AE231" s="198"/>
      <c r="AF231" s="198"/>
      <c r="AG231" s="198"/>
      <c r="AH231" s="198"/>
      <c r="AI231" s="198"/>
      <c r="AJ231" s="198"/>
      <c r="AK231" s="198"/>
      <c r="AL231" s="198"/>
      <c r="AM231" s="52"/>
      <c r="AN231" s="52"/>
      <c r="AO231" s="52"/>
      <c r="AP231" s="52"/>
      <c r="AQ231" s="52"/>
    </row>
    <row r="232" spans="1:43">
      <c r="A232" s="331">
        <v>44987</v>
      </c>
      <c r="B232" s="332">
        <v>3981.35</v>
      </c>
      <c r="C232" s="30">
        <v>355.57</v>
      </c>
      <c r="D232" s="22">
        <f t="shared" si="6"/>
        <v>-1.589118161774156E-2</v>
      </c>
      <c r="E232" s="22">
        <f t="shared" si="7"/>
        <v>-1.640387275242049E-2</v>
      </c>
      <c r="F232" s="12"/>
      <c r="G232" s="12"/>
      <c r="H232" s="3"/>
      <c r="I232" s="3"/>
      <c r="J232" s="3"/>
      <c r="K232" s="3"/>
      <c r="L232" s="3"/>
      <c r="M232" s="3"/>
      <c r="N232" s="3"/>
      <c r="O232" s="3"/>
      <c r="P232" s="3"/>
      <c r="Q232" s="3"/>
      <c r="R232" s="3"/>
      <c r="S232" s="3"/>
      <c r="T232" s="3"/>
      <c r="U232" s="3"/>
      <c r="V232" s="47"/>
      <c r="W232" s="47"/>
      <c r="X232" s="47"/>
      <c r="Y232" s="47"/>
      <c r="Z232" s="47"/>
      <c r="AA232" s="198"/>
      <c r="AB232" s="198"/>
      <c r="AC232" s="198"/>
      <c r="AD232" s="198"/>
      <c r="AE232" s="198"/>
      <c r="AF232" s="198"/>
      <c r="AG232" s="198"/>
      <c r="AH232" s="198"/>
      <c r="AI232" s="198"/>
      <c r="AJ232" s="198"/>
      <c r="AK232" s="198"/>
      <c r="AL232" s="198"/>
      <c r="AM232" s="52"/>
      <c r="AN232" s="52"/>
      <c r="AO232" s="52"/>
      <c r="AP232" s="52"/>
      <c r="AQ232" s="52"/>
    </row>
    <row r="233" spans="1:43">
      <c r="A233" s="331">
        <v>44986</v>
      </c>
      <c r="B233" s="332">
        <v>3951.39</v>
      </c>
      <c r="C233" s="30">
        <v>353.5</v>
      </c>
      <c r="D233" s="22">
        <f t="shared" si="6"/>
        <v>-7.5250857121328283E-3</v>
      </c>
      <c r="E233" s="22">
        <f t="shared" si="7"/>
        <v>-5.8216384959360835E-3</v>
      </c>
      <c r="F233" s="12"/>
      <c r="G233" s="12"/>
      <c r="H233" s="3"/>
      <c r="I233" s="3"/>
      <c r="J233" s="3"/>
      <c r="K233" s="3"/>
      <c r="L233" s="3"/>
      <c r="M233" s="3"/>
      <c r="N233" s="3"/>
      <c r="O233" s="3"/>
      <c r="P233" s="3"/>
      <c r="Q233" s="3"/>
      <c r="R233" s="3"/>
      <c r="S233" s="3"/>
      <c r="T233" s="3"/>
      <c r="U233" s="3"/>
      <c r="V233" s="47"/>
      <c r="W233" s="47"/>
      <c r="X233" s="47"/>
      <c r="Y233" s="47"/>
      <c r="Z233" s="47"/>
      <c r="AA233" s="198"/>
      <c r="AB233" s="198"/>
      <c r="AC233" s="198"/>
      <c r="AD233" s="198"/>
      <c r="AE233" s="198"/>
      <c r="AF233" s="198"/>
      <c r="AG233" s="198"/>
      <c r="AH233" s="198"/>
      <c r="AI233" s="198"/>
      <c r="AJ233" s="198"/>
      <c r="AK233" s="198"/>
      <c r="AL233" s="198"/>
      <c r="AM233" s="52"/>
      <c r="AN233" s="52"/>
      <c r="AO233" s="52"/>
      <c r="AP233" s="52"/>
      <c r="AQ233" s="52"/>
    </row>
    <row r="234" spans="1:43">
      <c r="A234" s="331">
        <v>44985</v>
      </c>
      <c r="B234" s="332">
        <v>3970.15</v>
      </c>
      <c r="C234" s="30">
        <v>355.29</v>
      </c>
      <c r="D234" s="22">
        <f t="shared" si="6"/>
        <v>4.7476963802611785E-3</v>
      </c>
      <c r="E234" s="22">
        <f t="shared" si="7"/>
        <v>5.0636492220651214E-3</v>
      </c>
      <c r="F234" s="12"/>
      <c r="G234" s="12"/>
      <c r="H234" s="3"/>
      <c r="I234" s="3"/>
      <c r="J234" s="3"/>
      <c r="K234" s="3"/>
      <c r="L234" s="3"/>
      <c r="M234" s="3"/>
      <c r="N234" s="3"/>
      <c r="O234" s="3"/>
      <c r="P234" s="3"/>
      <c r="Q234" s="3"/>
      <c r="R234" s="3"/>
      <c r="S234" s="3"/>
      <c r="T234" s="3"/>
      <c r="U234" s="3"/>
      <c r="V234" s="47"/>
      <c r="W234" s="47"/>
      <c r="X234" s="47"/>
      <c r="Y234" s="47"/>
      <c r="Z234" s="47"/>
      <c r="AA234" s="198"/>
      <c r="AB234" s="198"/>
      <c r="AC234" s="198"/>
      <c r="AD234" s="198"/>
      <c r="AE234" s="198"/>
      <c r="AF234" s="198"/>
      <c r="AG234" s="198"/>
      <c r="AH234" s="198"/>
      <c r="AI234" s="198"/>
      <c r="AJ234" s="198"/>
      <c r="AK234" s="198"/>
      <c r="AL234" s="198"/>
      <c r="AM234" s="52"/>
      <c r="AN234" s="52"/>
      <c r="AO234" s="52"/>
      <c r="AP234" s="52"/>
      <c r="AQ234" s="52"/>
    </row>
    <row r="235" spans="1:43">
      <c r="A235" s="331">
        <v>44984</v>
      </c>
      <c r="B235" s="332">
        <v>3982.24</v>
      </c>
      <c r="C235" s="30">
        <v>355.48</v>
      </c>
      <c r="D235" s="22">
        <f t="shared" si="6"/>
        <v>3.0452249914989836E-3</v>
      </c>
      <c r="E235" s="22">
        <f t="shared" si="7"/>
        <v>5.3477440963719137E-4</v>
      </c>
      <c r="F235" s="12"/>
      <c r="G235" s="12"/>
      <c r="H235" s="3"/>
      <c r="I235" s="3"/>
      <c r="J235" s="3"/>
      <c r="K235" s="3"/>
      <c r="L235" s="3"/>
      <c r="M235" s="3"/>
      <c r="N235" s="3"/>
      <c r="O235" s="3"/>
      <c r="P235" s="3"/>
      <c r="Q235" s="3"/>
      <c r="R235" s="3"/>
      <c r="S235" s="3"/>
      <c r="T235" s="3"/>
      <c r="U235" s="3"/>
      <c r="V235" s="47"/>
      <c r="W235" s="47"/>
      <c r="X235" s="47"/>
      <c r="Y235" s="47"/>
      <c r="Z235" s="47"/>
      <c r="AA235" s="198"/>
      <c r="AB235" s="198"/>
      <c r="AC235" s="198"/>
      <c r="AD235" s="198"/>
      <c r="AE235" s="198"/>
      <c r="AF235" s="198"/>
      <c r="AG235" s="198"/>
      <c r="AH235" s="198"/>
      <c r="AI235" s="198"/>
      <c r="AJ235" s="198"/>
      <c r="AK235" s="198"/>
      <c r="AL235" s="198"/>
      <c r="AM235" s="52"/>
      <c r="AN235" s="52"/>
      <c r="AO235" s="52"/>
      <c r="AP235" s="52"/>
      <c r="AQ235" s="52"/>
    </row>
    <row r="236" spans="1:43">
      <c r="A236" s="331">
        <v>44981</v>
      </c>
      <c r="B236" s="332">
        <v>3970.04</v>
      </c>
      <c r="C236" s="30">
        <v>353.12</v>
      </c>
      <c r="D236" s="22">
        <f t="shared" si="6"/>
        <v>-3.0636023946321212E-3</v>
      </c>
      <c r="E236" s="22">
        <f t="shared" si="7"/>
        <v>-6.6389107685383524E-3</v>
      </c>
      <c r="F236" s="12"/>
      <c r="G236" s="12"/>
      <c r="H236" s="3"/>
      <c r="I236" s="3"/>
      <c r="J236" s="3"/>
      <c r="K236" s="3"/>
      <c r="L236" s="3"/>
      <c r="M236" s="3"/>
      <c r="N236" s="3"/>
      <c r="O236" s="3"/>
      <c r="P236" s="3"/>
      <c r="Q236" s="3"/>
      <c r="R236" s="3"/>
      <c r="S236" s="3"/>
      <c r="T236" s="3"/>
      <c r="U236" s="3"/>
      <c r="V236" s="47"/>
      <c r="W236" s="47"/>
      <c r="X236" s="47"/>
      <c r="Y236" s="47"/>
      <c r="Z236" s="47"/>
      <c r="AA236" s="198"/>
      <c r="AB236" s="198"/>
      <c r="AC236" s="198"/>
      <c r="AD236" s="198"/>
      <c r="AE236" s="198"/>
      <c r="AF236" s="198"/>
      <c r="AG236" s="198"/>
      <c r="AH236" s="198"/>
      <c r="AI236" s="198"/>
      <c r="AJ236" s="198"/>
      <c r="AK236" s="198"/>
      <c r="AL236" s="198"/>
      <c r="AM236" s="52"/>
      <c r="AN236" s="52"/>
      <c r="AO236" s="52"/>
      <c r="AP236" s="52"/>
      <c r="AQ236" s="52"/>
    </row>
    <row r="237" spans="1:43">
      <c r="A237" s="331">
        <v>44980</v>
      </c>
      <c r="B237" s="332">
        <v>4012.32</v>
      </c>
      <c r="C237" s="30">
        <v>355.53</v>
      </c>
      <c r="D237" s="22">
        <f t="shared" si="6"/>
        <v>1.0649766752979869E-2</v>
      </c>
      <c r="E237" s="22">
        <f t="shared" si="7"/>
        <v>6.8248753964657008E-3</v>
      </c>
      <c r="F237" s="12"/>
      <c r="G237" s="12"/>
      <c r="H237" s="3"/>
      <c r="I237" s="3"/>
      <c r="J237" s="3"/>
      <c r="K237" s="3"/>
      <c r="L237" s="3"/>
      <c r="M237" s="3"/>
      <c r="N237" s="3"/>
      <c r="O237" s="3"/>
      <c r="P237" s="3"/>
      <c r="Q237" s="3"/>
      <c r="R237" s="3"/>
      <c r="S237" s="3"/>
      <c r="T237" s="3"/>
      <c r="U237" s="3"/>
      <c r="V237" s="47"/>
      <c r="W237" s="47"/>
      <c r="X237" s="47"/>
      <c r="Y237" s="47"/>
      <c r="Z237" s="47"/>
      <c r="AA237" s="198"/>
      <c r="AB237" s="198"/>
      <c r="AC237" s="198"/>
      <c r="AD237" s="198"/>
      <c r="AE237" s="198"/>
      <c r="AF237" s="198"/>
      <c r="AG237" s="198"/>
      <c r="AH237" s="198"/>
      <c r="AI237" s="198"/>
      <c r="AJ237" s="198"/>
      <c r="AK237" s="198"/>
      <c r="AL237" s="198"/>
      <c r="AM237" s="52"/>
      <c r="AN237" s="52"/>
      <c r="AO237" s="52"/>
      <c r="AP237" s="52"/>
      <c r="AQ237" s="52"/>
    </row>
    <row r="238" spans="1:43">
      <c r="A238" s="331">
        <v>44979</v>
      </c>
      <c r="B238" s="332">
        <v>3991.05</v>
      </c>
      <c r="C238" s="30">
        <v>354.97</v>
      </c>
      <c r="D238" s="22">
        <f t="shared" si="6"/>
        <v>-5.3011723890417466E-3</v>
      </c>
      <c r="E238" s="22">
        <f t="shared" si="7"/>
        <v>-1.5751132112619061E-3</v>
      </c>
      <c r="F238" s="12"/>
      <c r="G238" s="12"/>
      <c r="H238" s="3"/>
      <c r="I238" s="3"/>
      <c r="J238" s="3"/>
      <c r="K238" s="3"/>
      <c r="L238" s="3"/>
      <c r="M238" s="3"/>
      <c r="N238" s="3"/>
      <c r="O238" s="3"/>
      <c r="P238" s="3"/>
      <c r="Q238" s="3"/>
      <c r="R238" s="3"/>
      <c r="S238" s="3"/>
      <c r="T238" s="3"/>
      <c r="U238" s="3"/>
      <c r="V238" s="47"/>
      <c r="W238" s="47"/>
      <c r="X238" s="47"/>
      <c r="Y238" s="47"/>
      <c r="Z238" s="47"/>
      <c r="AA238" s="198"/>
      <c r="AB238" s="198"/>
      <c r="AC238" s="198"/>
      <c r="AD238" s="198"/>
      <c r="AE238" s="198"/>
      <c r="AF238" s="198"/>
      <c r="AG238" s="198"/>
      <c r="AH238" s="198"/>
      <c r="AI238" s="198"/>
      <c r="AJ238" s="198"/>
      <c r="AK238" s="198"/>
      <c r="AL238" s="198"/>
      <c r="AM238" s="52"/>
      <c r="AN238" s="52"/>
      <c r="AO238" s="52"/>
      <c r="AP238" s="52"/>
      <c r="AQ238" s="52"/>
    </row>
    <row r="239" spans="1:43">
      <c r="A239" s="331">
        <v>44978</v>
      </c>
      <c r="B239" s="332">
        <v>3997.34</v>
      </c>
      <c r="C239" s="30">
        <v>355.96</v>
      </c>
      <c r="D239" s="22">
        <f t="shared" si="6"/>
        <v>1.5760263589782045E-3</v>
      </c>
      <c r="E239" s="22">
        <f t="shared" si="7"/>
        <v>2.7889680818095957E-3</v>
      </c>
      <c r="F239" s="12"/>
      <c r="G239" s="12"/>
      <c r="H239" s="3"/>
      <c r="I239" s="3"/>
      <c r="J239" s="3"/>
      <c r="K239" s="3"/>
      <c r="L239" s="3"/>
      <c r="M239" s="3"/>
      <c r="N239" s="3"/>
      <c r="O239" s="3"/>
      <c r="P239" s="3"/>
      <c r="Q239" s="3"/>
      <c r="R239" s="3"/>
      <c r="S239" s="3"/>
      <c r="T239" s="3"/>
      <c r="U239" s="3"/>
      <c r="V239" s="47"/>
      <c r="W239" s="47"/>
      <c r="X239" s="47"/>
      <c r="Y239" s="47"/>
      <c r="Z239" s="47"/>
      <c r="AA239" s="198"/>
      <c r="AB239" s="198"/>
      <c r="AC239" s="198"/>
      <c r="AD239" s="198"/>
      <c r="AE239" s="198"/>
      <c r="AF239" s="198"/>
      <c r="AG239" s="198"/>
      <c r="AH239" s="198"/>
      <c r="AI239" s="198"/>
      <c r="AJ239" s="198"/>
      <c r="AK239" s="198"/>
      <c r="AL239" s="198"/>
      <c r="AM239" s="52"/>
      <c r="AN239" s="52"/>
      <c r="AO239" s="52"/>
      <c r="AP239" s="52"/>
      <c r="AQ239" s="52"/>
    </row>
    <row r="240" spans="1:43">
      <c r="A240" s="331">
        <v>44974</v>
      </c>
      <c r="B240" s="332">
        <v>4079.09</v>
      </c>
      <c r="C240" s="30">
        <v>361.13</v>
      </c>
      <c r="D240" s="22">
        <f t="shared" si="6"/>
        <v>2.045109998148769E-2</v>
      </c>
      <c r="E240" s="22">
        <f t="shared" si="7"/>
        <v>1.4524103831891269E-2</v>
      </c>
      <c r="F240" s="12"/>
      <c r="G240" s="12"/>
      <c r="H240" s="3"/>
      <c r="I240" s="3"/>
      <c r="J240" s="3"/>
      <c r="K240" s="3"/>
      <c r="L240" s="3"/>
      <c r="M240" s="3"/>
      <c r="N240" s="3"/>
      <c r="O240" s="3"/>
      <c r="P240" s="3"/>
      <c r="Q240" s="3"/>
      <c r="R240" s="3"/>
      <c r="S240" s="3"/>
      <c r="T240" s="3"/>
      <c r="U240" s="3"/>
      <c r="V240" s="47"/>
      <c r="W240" s="47"/>
      <c r="X240" s="47"/>
      <c r="Y240" s="47"/>
      <c r="Z240" s="47"/>
      <c r="AA240" s="198"/>
      <c r="AB240" s="198"/>
      <c r="AC240" s="198"/>
      <c r="AD240" s="198"/>
      <c r="AE240" s="198"/>
      <c r="AF240" s="198"/>
      <c r="AG240" s="198"/>
      <c r="AH240" s="198"/>
      <c r="AI240" s="198"/>
      <c r="AJ240" s="198"/>
      <c r="AK240" s="198"/>
      <c r="AL240" s="198"/>
      <c r="AM240" s="52"/>
      <c r="AN240" s="52"/>
      <c r="AO240" s="52"/>
      <c r="AP240" s="52"/>
      <c r="AQ240" s="52"/>
    </row>
    <row r="241" spans="1:43">
      <c r="A241" s="331">
        <v>44973</v>
      </c>
      <c r="B241" s="332">
        <v>4090.41</v>
      </c>
      <c r="C241" s="30">
        <v>367.55</v>
      </c>
      <c r="D241" s="22">
        <f t="shared" si="6"/>
        <v>2.7751287664649978E-3</v>
      </c>
      <c r="E241" s="22">
        <f t="shared" si="7"/>
        <v>1.7777531636806735E-2</v>
      </c>
      <c r="F241" s="12"/>
      <c r="G241" s="12"/>
      <c r="H241" s="3"/>
      <c r="I241" s="3"/>
      <c r="J241" s="3"/>
      <c r="K241" s="3"/>
      <c r="L241" s="3"/>
      <c r="M241" s="3"/>
      <c r="N241" s="3"/>
      <c r="O241" s="3"/>
      <c r="P241" s="3"/>
      <c r="Q241" s="3"/>
      <c r="R241" s="3"/>
      <c r="S241" s="3"/>
      <c r="T241" s="3"/>
      <c r="U241" s="3"/>
      <c r="V241" s="47"/>
      <c r="W241" s="47"/>
      <c r="X241" s="47"/>
      <c r="Y241" s="47"/>
      <c r="Z241" s="47"/>
      <c r="AA241" s="198"/>
      <c r="AB241" s="198"/>
      <c r="AC241" s="198"/>
      <c r="AD241" s="198"/>
      <c r="AE241" s="198"/>
      <c r="AF241" s="198"/>
      <c r="AG241" s="198"/>
      <c r="AH241" s="198"/>
      <c r="AI241" s="198"/>
      <c r="AJ241" s="198"/>
      <c r="AK241" s="198"/>
      <c r="AL241" s="198"/>
      <c r="AM241" s="52"/>
      <c r="AN241" s="52"/>
      <c r="AO241" s="52"/>
      <c r="AP241" s="52"/>
      <c r="AQ241" s="52"/>
    </row>
    <row r="242" spans="1:43">
      <c r="A242" s="331">
        <v>44972</v>
      </c>
      <c r="B242" s="332">
        <v>4147.6000000000004</v>
      </c>
      <c r="C242" s="30">
        <v>369.64</v>
      </c>
      <c r="D242" s="22">
        <f t="shared" si="6"/>
        <v>1.3981483518767192E-2</v>
      </c>
      <c r="E242" s="22">
        <f t="shared" si="7"/>
        <v>5.6863011835123793E-3</v>
      </c>
      <c r="F242" s="12"/>
      <c r="G242" s="12"/>
      <c r="H242" s="3"/>
      <c r="I242" s="3"/>
      <c r="J242" s="3"/>
      <c r="K242" s="3"/>
      <c r="L242" s="3"/>
      <c r="M242" s="3"/>
      <c r="N242" s="3"/>
      <c r="O242" s="3"/>
      <c r="P242" s="3"/>
      <c r="Q242" s="3"/>
      <c r="R242" s="3"/>
      <c r="S242" s="3"/>
      <c r="T242" s="3"/>
      <c r="U242" s="3"/>
      <c r="V242" s="47"/>
      <c r="W242" s="47"/>
      <c r="X242" s="47"/>
      <c r="Y242" s="47"/>
      <c r="Z242" s="47"/>
      <c r="AA242" s="198"/>
      <c r="AB242" s="198"/>
      <c r="AC242" s="198"/>
      <c r="AD242" s="198"/>
      <c r="AE242" s="198"/>
      <c r="AF242" s="198"/>
      <c r="AG242" s="198"/>
      <c r="AH242" s="198"/>
      <c r="AI242" s="198"/>
      <c r="AJ242" s="198"/>
      <c r="AK242" s="198"/>
      <c r="AL242" s="198"/>
      <c r="AM242" s="52"/>
      <c r="AN242" s="52"/>
      <c r="AO242" s="52"/>
      <c r="AP242" s="52"/>
      <c r="AQ242" s="52"/>
    </row>
    <row r="243" spans="1:43">
      <c r="A243" s="331">
        <v>44971</v>
      </c>
      <c r="B243" s="332">
        <v>4136.13</v>
      </c>
      <c r="C243" s="30">
        <v>369.96</v>
      </c>
      <c r="D243" s="22">
        <f t="shared" si="6"/>
        <v>-2.765454720802453E-3</v>
      </c>
      <c r="E243" s="22">
        <f t="shared" si="7"/>
        <v>8.6570717454819064E-4</v>
      </c>
      <c r="F243" s="12"/>
      <c r="G243" s="12"/>
      <c r="H243" s="3"/>
      <c r="I243" s="3"/>
      <c r="J243" s="3"/>
      <c r="K243" s="3"/>
      <c r="L243" s="3"/>
      <c r="M243" s="3"/>
      <c r="N243" s="3"/>
      <c r="O243" s="3"/>
      <c r="P243" s="3"/>
      <c r="Q243" s="3"/>
      <c r="R243" s="3"/>
      <c r="S243" s="3"/>
      <c r="T243" s="3"/>
      <c r="U243" s="3"/>
      <c r="V243" s="47"/>
      <c r="W243" s="47"/>
      <c r="X243" s="47"/>
      <c r="Y243" s="47"/>
      <c r="Z243" s="47"/>
      <c r="AA243" s="198"/>
      <c r="AB243" s="198"/>
      <c r="AC243" s="198"/>
      <c r="AD243" s="198"/>
      <c r="AE243" s="198"/>
      <c r="AF243" s="198"/>
      <c r="AG243" s="198"/>
      <c r="AH243" s="198"/>
      <c r="AI243" s="198"/>
      <c r="AJ243" s="198"/>
      <c r="AK243" s="198"/>
      <c r="AL243" s="198"/>
      <c r="AM243" s="52"/>
      <c r="AN243" s="52"/>
      <c r="AO243" s="52"/>
      <c r="AP243" s="52"/>
      <c r="AQ243" s="52"/>
    </row>
    <row r="244" spans="1:43">
      <c r="A244" s="331">
        <v>44970</v>
      </c>
      <c r="B244" s="332">
        <v>4137.29</v>
      </c>
      <c r="C244" s="30">
        <v>370.83</v>
      </c>
      <c r="D244" s="22">
        <f t="shared" si="6"/>
        <v>2.8045540154682144E-4</v>
      </c>
      <c r="E244" s="22">
        <f t="shared" si="7"/>
        <v>2.3516055789815239E-3</v>
      </c>
      <c r="F244" s="12"/>
      <c r="G244" s="12"/>
      <c r="H244" s="3"/>
      <c r="I244" s="3"/>
      <c r="J244" s="3"/>
      <c r="K244" s="3"/>
      <c r="L244" s="3"/>
      <c r="M244" s="3"/>
      <c r="N244" s="3"/>
      <c r="O244" s="3"/>
      <c r="P244" s="3"/>
      <c r="Q244" s="3"/>
      <c r="R244" s="3"/>
      <c r="S244" s="3"/>
      <c r="T244" s="3"/>
      <c r="U244" s="3"/>
      <c r="V244" s="47"/>
      <c r="W244" s="47"/>
      <c r="X244" s="47"/>
      <c r="Y244" s="47"/>
      <c r="Z244" s="47"/>
      <c r="AA244" s="198"/>
      <c r="AB244" s="198"/>
      <c r="AC244" s="198"/>
      <c r="AD244" s="198"/>
      <c r="AE244" s="198"/>
      <c r="AF244" s="198"/>
      <c r="AG244" s="198"/>
      <c r="AH244" s="198"/>
      <c r="AI244" s="198"/>
      <c r="AJ244" s="198"/>
      <c r="AK244" s="198"/>
      <c r="AL244" s="198"/>
      <c r="AM244" s="52"/>
      <c r="AN244" s="52"/>
      <c r="AO244" s="52"/>
      <c r="AP244" s="52"/>
      <c r="AQ244" s="52"/>
    </row>
    <row r="245" spans="1:43">
      <c r="A245" s="331">
        <v>44967</v>
      </c>
      <c r="B245" s="332">
        <v>4090.46</v>
      </c>
      <c r="C245" s="30">
        <v>366.83</v>
      </c>
      <c r="D245" s="22">
        <f t="shared" si="6"/>
        <v>-1.1319003502292545E-2</v>
      </c>
      <c r="E245" s="22">
        <f t="shared" si="7"/>
        <v>-1.0786613812258986E-2</v>
      </c>
      <c r="F245" s="12"/>
      <c r="G245" s="12"/>
      <c r="H245" s="3"/>
      <c r="I245" s="3"/>
      <c r="J245" s="3"/>
      <c r="K245" s="3"/>
      <c r="L245" s="3"/>
      <c r="M245" s="3"/>
      <c r="N245" s="3"/>
      <c r="O245" s="3"/>
      <c r="P245" s="3"/>
      <c r="Q245" s="3"/>
      <c r="R245" s="3"/>
      <c r="S245" s="3"/>
      <c r="T245" s="3"/>
      <c r="U245" s="3"/>
      <c r="V245" s="47"/>
      <c r="W245" s="47"/>
      <c r="X245" s="47"/>
      <c r="Y245" s="47"/>
      <c r="Z245" s="47"/>
      <c r="AA245" s="198"/>
      <c r="AB245" s="198"/>
      <c r="AC245" s="198"/>
      <c r="AD245" s="198"/>
      <c r="AE245" s="198"/>
      <c r="AF245" s="198"/>
      <c r="AG245" s="198"/>
      <c r="AH245" s="198"/>
      <c r="AI245" s="198"/>
      <c r="AJ245" s="198"/>
      <c r="AK245" s="198"/>
      <c r="AL245" s="198"/>
      <c r="AM245" s="52"/>
      <c r="AN245" s="52"/>
      <c r="AO245" s="52"/>
      <c r="AP245" s="52"/>
      <c r="AQ245" s="52"/>
    </row>
    <row r="246" spans="1:43">
      <c r="A246" s="331">
        <v>44966</v>
      </c>
      <c r="B246" s="332">
        <v>4081.5</v>
      </c>
      <c r="C246" s="30">
        <v>370.42</v>
      </c>
      <c r="D246" s="22">
        <f t="shared" si="6"/>
        <v>-2.1904626863482437E-3</v>
      </c>
      <c r="E246" s="22">
        <f t="shared" si="7"/>
        <v>9.7865496278931163E-3</v>
      </c>
      <c r="F246" s="12"/>
      <c r="G246" s="12"/>
      <c r="H246" s="3"/>
      <c r="I246" s="3"/>
      <c r="J246" s="3"/>
      <c r="K246" s="3"/>
      <c r="L246" s="3"/>
      <c r="M246" s="3"/>
      <c r="N246" s="3"/>
      <c r="O246" s="3"/>
      <c r="P246" s="3"/>
      <c r="Q246" s="3"/>
      <c r="R246" s="3"/>
      <c r="S246" s="3"/>
      <c r="T246" s="3"/>
      <c r="U246" s="3"/>
      <c r="V246" s="47"/>
      <c r="W246" s="47"/>
      <c r="X246" s="47"/>
      <c r="Y246" s="47"/>
      <c r="Z246" s="47"/>
      <c r="AA246" s="198"/>
      <c r="AB246" s="198"/>
      <c r="AC246" s="198"/>
      <c r="AD246" s="198"/>
      <c r="AE246" s="198"/>
      <c r="AF246" s="198"/>
      <c r="AG246" s="198"/>
      <c r="AH246" s="198"/>
      <c r="AI246" s="198"/>
      <c r="AJ246" s="198"/>
      <c r="AK246" s="198"/>
      <c r="AL246" s="198"/>
      <c r="AM246" s="52"/>
      <c r="AN246" s="52"/>
      <c r="AO246" s="52"/>
      <c r="AP246" s="52"/>
      <c r="AQ246" s="52"/>
    </row>
    <row r="247" spans="1:43">
      <c r="A247" s="331">
        <v>44965</v>
      </c>
      <c r="B247" s="332">
        <v>4117.8599999999997</v>
      </c>
      <c r="C247" s="30">
        <v>370.35</v>
      </c>
      <c r="D247" s="22">
        <f t="shared" si="6"/>
        <v>8.9084895259095125E-3</v>
      </c>
      <c r="E247" s="22">
        <f t="shared" si="7"/>
        <v>-1.889746773932109E-4</v>
      </c>
      <c r="F247" s="12"/>
      <c r="G247" s="12"/>
      <c r="H247" s="3"/>
      <c r="I247" s="3"/>
      <c r="J247" s="3"/>
      <c r="K247" s="3"/>
      <c r="L247" s="3"/>
      <c r="M247" s="3"/>
      <c r="N247" s="3"/>
      <c r="O247" s="3"/>
      <c r="P247" s="3"/>
      <c r="Q247" s="3"/>
      <c r="R247" s="3"/>
      <c r="S247" s="3"/>
      <c r="T247" s="3"/>
      <c r="U247" s="3"/>
      <c r="V247" s="47"/>
      <c r="W247" s="47"/>
      <c r="X247" s="47"/>
      <c r="Y247" s="47"/>
      <c r="Z247" s="47"/>
      <c r="AA247" s="198"/>
      <c r="AB247" s="198"/>
      <c r="AC247" s="198"/>
      <c r="AD247" s="198"/>
      <c r="AE247" s="198"/>
      <c r="AF247" s="198"/>
      <c r="AG247" s="198"/>
      <c r="AH247" s="198"/>
      <c r="AI247" s="198"/>
      <c r="AJ247" s="198"/>
      <c r="AK247" s="198"/>
      <c r="AL247" s="198"/>
      <c r="AM247" s="52"/>
      <c r="AN247" s="52"/>
      <c r="AO247" s="52"/>
      <c r="AP247" s="52"/>
      <c r="AQ247" s="52"/>
    </row>
    <row r="248" spans="1:43">
      <c r="A248" s="331">
        <v>44964</v>
      </c>
      <c r="B248" s="332">
        <v>4164</v>
      </c>
      <c r="C248" s="30">
        <v>375.06</v>
      </c>
      <c r="D248" s="22">
        <f t="shared" si="6"/>
        <v>1.1204849120659841E-2</v>
      </c>
      <c r="E248" s="22">
        <f t="shared" si="7"/>
        <v>1.2717699473470985E-2</v>
      </c>
      <c r="F248" s="12"/>
      <c r="G248" s="12"/>
      <c r="H248" s="3"/>
      <c r="I248" s="3"/>
      <c r="J248" s="3"/>
      <c r="K248" s="3"/>
      <c r="L248" s="3"/>
      <c r="M248" s="3"/>
      <c r="N248" s="3"/>
      <c r="O248" s="3"/>
      <c r="P248" s="3"/>
      <c r="Q248" s="3"/>
      <c r="R248" s="3"/>
      <c r="S248" s="3"/>
      <c r="T248" s="3"/>
      <c r="U248" s="3"/>
      <c r="V248" s="47"/>
      <c r="W248" s="47"/>
      <c r="X248" s="47"/>
      <c r="Y248" s="47"/>
      <c r="Z248" s="47"/>
      <c r="AA248" s="198"/>
      <c r="AB248" s="198"/>
      <c r="AC248" s="198"/>
      <c r="AD248" s="198"/>
      <c r="AE248" s="198"/>
      <c r="AF248" s="198"/>
      <c r="AG248" s="198"/>
      <c r="AH248" s="198"/>
      <c r="AI248" s="198"/>
      <c r="AJ248" s="198"/>
      <c r="AK248" s="198"/>
      <c r="AL248" s="198"/>
      <c r="AM248" s="52"/>
      <c r="AN248" s="52"/>
      <c r="AO248" s="52"/>
      <c r="AP248" s="52"/>
      <c r="AQ248" s="52"/>
    </row>
    <row r="249" spans="1:43">
      <c r="A249" s="331">
        <v>44963</v>
      </c>
      <c r="B249" s="332">
        <v>4111.08</v>
      </c>
      <c r="C249" s="30">
        <v>372.97</v>
      </c>
      <c r="D249" s="22">
        <f t="shared" si="6"/>
        <v>-1.2708933717579269E-2</v>
      </c>
      <c r="E249" s="22">
        <f t="shared" si="7"/>
        <v>-5.5724417426544423E-3</v>
      </c>
      <c r="F249" s="12"/>
      <c r="G249" s="12"/>
      <c r="H249" s="3"/>
      <c r="I249" s="3"/>
      <c r="J249" s="3"/>
      <c r="K249" s="3"/>
      <c r="L249" s="3"/>
      <c r="M249" s="3"/>
      <c r="N249" s="3"/>
      <c r="O249" s="3"/>
      <c r="P249" s="3"/>
      <c r="Q249" s="3"/>
      <c r="R249" s="3"/>
      <c r="S249" s="3"/>
      <c r="T249" s="3"/>
      <c r="U249" s="3"/>
      <c r="V249" s="47"/>
      <c r="W249" s="47"/>
      <c r="X249" s="47"/>
      <c r="Y249" s="47"/>
      <c r="Z249" s="47"/>
      <c r="AA249" s="198"/>
      <c r="AB249" s="198"/>
      <c r="AC249" s="198"/>
      <c r="AD249" s="198"/>
      <c r="AE249" s="198"/>
      <c r="AF249" s="198"/>
      <c r="AG249" s="198"/>
      <c r="AH249" s="198"/>
      <c r="AI249" s="198"/>
      <c r="AJ249" s="198"/>
      <c r="AK249" s="198"/>
      <c r="AL249" s="198"/>
      <c r="AM249" s="52"/>
      <c r="AN249" s="52"/>
      <c r="AO249" s="52"/>
      <c r="AP249" s="52"/>
      <c r="AQ249" s="52"/>
    </row>
    <row r="250" spans="1:43">
      <c r="A250" s="331">
        <v>44960</v>
      </c>
      <c r="B250" s="332">
        <v>4136.4799999999996</v>
      </c>
      <c r="C250" s="30">
        <v>373.91</v>
      </c>
      <c r="D250" s="22">
        <f t="shared" si="6"/>
        <v>6.1784251340279532E-3</v>
      </c>
      <c r="E250" s="22">
        <f t="shared" si="7"/>
        <v>2.5203099444995511E-3</v>
      </c>
      <c r="F250" s="12"/>
      <c r="G250" s="12"/>
      <c r="H250" s="3"/>
      <c r="I250" s="3"/>
      <c r="J250" s="3"/>
      <c r="K250" s="3"/>
      <c r="L250" s="3"/>
      <c r="M250" s="3"/>
      <c r="N250" s="3"/>
      <c r="O250" s="3"/>
      <c r="P250" s="3"/>
      <c r="Q250" s="3"/>
      <c r="R250" s="3"/>
      <c r="S250" s="3"/>
      <c r="T250" s="3"/>
      <c r="U250" s="3"/>
      <c r="V250" s="47"/>
      <c r="W250" s="47"/>
      <c r="X250" s="47"/>
      <c r="Y250" s="47"/>
      <c r="Z250" s="47"/>
      <c r="AA250" s="198"/>
      <c r="AB250" s="198"/>
      <c r="AC250" s="198"/>
      <c r="AD250" s="198"/>
      <c r="AE250" s="198"/>
      <c r="AF250" s="198"/>
      <c r="AG250" s="198"/>
      <c r="AH250" s="198"/>
      <c r="AI250" s="198"/>
      <c r="AJ250" s="198"/>
      <c r="AK250" s="198"/>
      <c r="AL250" s="198"/>
      <c r="AM250" s="52"/>
      <c r="AN250" s="52"/>
      <c r="AO250" s="52"/>
      <c r="AP250" s="52"/>
      <c r="AQ250" s="52"/>
    </row>
    <row r="251" spans="1:43">
      <c r="A251" s="331">
        <v>44959</v>
      </c>
      <c r="B251" s="332">
        <v>4179.76</v>
      </c>
      <c r="C251" s="30">
        <v>374.94</v>
      </c>
      <c r="D251" s="22">
        <f t="shared" si="6"/>
        <v>1.0463002359494222E-2</v>
      </c>
      <c r="E251" s="22">
        <f t="shared" si="7"/>
        <v>2.7546735845523592E-3</v>
      </c>
      <c r="F251" s="12"/>
      <c r="G251" s="12"/>
      <c r="H251" s="3"/>
      <c r="I251" s="3"/>
      <c r="J251" s="3"/>
      <c r="K251" s="3"/>
      <c r="L251" s="3"/>
      <c r="M251" s="3"/>
      <c r="N251" s="3"/>
      <c r="O251" s="3"/>
      <c r="P251" s="3"/>
      <c r="Q251" s="3"/>
      <c r="R251" s="3"/>
      <c r="S251" s="3"/>
      <c r="T251" s="3"/>
      <c r="U251" s="3"/>
      <c r="V251" s="47"/>
      <c r="W251" s="47"/>
      <c r="X251" s="47"/>
      <c r="Y251" s="47"/>
      <c r="Z251" s="47"/>
      <c r="AA251" s="198"/>
      <c r="AB251" s="198"/>
      <c r="AC251" s="198"/>
      <c r="AD251" s="198"/>
      <c r="AE251" s="198"/>
      <c r="AF251" s="198"/>
      <c r="AG251" s="198"/>
      <c r="AH251" s="198"/>
      <c r="AI251" s="198"/>
      <c r="AJ251" s="198"/>
      <c r="AK251" s="198"/>
      <c r="AL251" s="198"/>
      <c r="AM251" s="52"/>
      <c r="AN251" s="52"/>
      <c r="AO251" s="52"/>
      <c r="AP251" s="52"/>
      <c r="AQ251" s="52"/>
    </row>
    <row r="252" spans="1:43">
      <c r="A252" s="331">
        <v>44958</v>
      </c>
      <c r="B252" s="332">
        <v>4119.21</v>
      </c>
      <c r="C252" s="30">
        <v>374.08</v>
      </c>
      <c r="D252" s="22">
        <f t="shared" si="6"/>
        <v>-1.4486477692499134E-2</v>
      </c>
      <c r="E252" s="22">
        <f t="shared" si="7"/>
        <v>-2.2937003253854314E-3</v>
      </c>
      <c r="F252" s="12"/>
      <c r="G252" s="12"/>
      <c r="H252" s="3"/>
      <c r="I252" s="3"/>
      <c r="J252" s="3"/>
      <c r="K252" s="3"/>
      <c r="L252" s="3"/>
      <c r="M252" s="3"/>
      <c r="N252" s="3"/>
      <c r="O252" s="3"/>
      <c r="P252" s="3"/>
      <c r="Q252" s="3"/>
      <c r="R252" s="3"/>
      <c r="S252" s="3"/>
      <c r="T252" s="3"/>
      <c r="U252" s="3"/>
      <c r="V252" s="47"/>
      <c r="W252" s="47"/>
      <c r="X252" s="47"/>
      <c r="Y252" s="47"/>
      <c r="Z252" s="47"/>
      <c r="AA252" s="198"/>
      <c r="AB252" s="198"/>
      <c r="AC252" s="198"/>
      <c r="AD252" s="198"/>
      <c r="AE252" s="198"/>
      <c r="AF252" s="198"/>
      <c r="AG252" s="198"/>
      <c r="AH252" s="198"/>
      <c r="AI252" s="198"/>
      <c r="AJ252" s="198"/>
      <c r="AK252" s="198"/>
      <c r="AL252" s="198"/>
      <c r="AM252" s="52"/>
      <c r="AN252" s="52"/>
      <c r="AO252" s="52"/>
      <c r="AP252" s="52"/>
      <c r="AQ252" s="52"/>
    </row>
    <row r="253" spans="1:43">
      <c r="A253" s="331">
        <v>44957</v>
      </c>
      <c r="B253" s="332">
        <v>4076.6</v>
      </c>
      <c r="C253" s="30">
        <v>370.6</v>
      </c>
      <c r="D253" s="22">
        <f t="shared" si="6"/>
        <v>-1.0344216488113043E-2</v>
      </c>
      <c r="E253" s="22">
        <f t="shared" si="7"/>
        <v>-9.3028229255773132E-3</v>
      </c>
      <c r="F253" s="12"/>
      <c r="G253" s="12"/>
      <c r="H253" s="3"/>
      <c r="I253" s="3"/>
      <c r="J253" s="3"/>
      <c r="K253" s="3"/>
      <c r="L253" s="3"/>
      <c r="M253" s="3"/>
      <c r="N253" s="3"/>
      <c r="O253" s="3"/>
      <c r="P253" s="3"/>
      <c r="Q253" s="3"/>
      <c r="R253" s="3"/>
      <c r="S253" s="3"/>
      <c r="T253" s="3"/>
      <c r="U253" s="3"/>
      <c r="V253" s="47"/>
      <c r="W253" s="47"/>
      <c r="X253" s="47"/>
      <c r="Y253" s="47"/>
      <c r="Z253" s="47"/>
      <c r="AA253" s="198"/>
      <c r="AB253" s="198"/>
      <c r="AC253" s="198"/>
      <c r="AD253" s="198"/>
      <c r="AE253" s="198"/>
      <c r="AF253" s="198"/>
      <c r="AG253" s="198"/>
      <c r="AH253" s="198"/>
      <c r="AI253" s="198"/>
      <c r="AJ253" s="198"/>
      <c r="AK253" s="198"/>
      <c r="AL253" s="198"/>
      <c r="AM253" s="52"/>
      <c r="AN253" s="52"/>
      <c r="AO253" s="52"/>
      <c r="AP253" s="52"/>
      <c r="AQ253" s="52"/>
    </row>
    <row r="254" spans="1:43">
      <c r="A254" s="331">
        <v>44956</v>
      </c>
      <c r="B254" s="332">
        <v>4017.77</v>
      </c>
      <c r="C254" s="30">
        <v>371.12</v>
      </c>
      <c r="D254" s="22">
        <f t="shared" si="6"/>
        <v>-1.4431143600058855E-2</v>
      </c>
      <c r="E254" s="22">
        <f t="shared" si="7"/>
        <v>1.4031300593631457E-3</v>
      </c>
      <c r="F254" s="12"/>
      <c r="G254" s="12"/>
      <c r="H254" s="3"/>
      <c r="I254" s="3"/>
      <c r="J254" s="3"/>
      <c r="K254" s="3"/>
      <c r="L254" s="3"/>
      <c r="M254" s="3"/>
      <c r="N254" s="3"/>
      <c r="O254" s="3"/>
      <c r="P254" s="3"/>
      <c r="Q254" s="3"/>
      <c r="R254" s="3"/>
      <c r="S254" s="3"/>
      <c r="T254" s="3"/>
      <c r="U254" s="3"/>
      <c r="V254" s="47"/>
      <c r="W254" s="47"/>
      <c r="X254" s="47"/>
      <c r="Y254" s="47"/>
      <c r="Z254" s="47"/>
      <c r="AA254" s="198"/>
      <c r="AB254" s="198"/>
      <c r="AC254" s="198"/>
      <c r="AD254" s="198"/>
      <c r="AE254" s="198"/>
      <c r="AF254" s="198"/>
      <c r="AG254" s="198"/>
      <c r="AH254" s="198"/>
      <c r="AI254" s="198"/>
      <c r="AJ254" s="198"/>
      <c r="AK254" s="198"/>
      <c r="AL254" s="198"/>
      <c r="AM254" s="52"/>
      <c r="AN254" s="52"/>
      <c r="AO254" s="52"/>
      <c r="AP254" s="52"/>
      <c r="AQ254" s="52"/>
    </row>
    <row r="255" spans="1:43">
      <c r="A255" s="331">
        <v>44953</v>
      </c>
      <c r="B255" s="332">
        <v>4070.56</v>
      </c>
      <c r="C255" s="30">
        <v>374.03</v>
      </c>
      <c r="D255" s="22">
        <f t="shared" si="6"/>
        <v>1.313912941756247E-2</v>
      </c>
      <c r="E255" s="22">
        <f t="shared" si="7"/>
        <v>7.8411295537830564E-3</v>
      </c>
      <c r="F255" s="12"/>
      <c r="G255" s="12"/>
      <c r="H255" s="3"/>
      <c r="I255" s="3"/>
      <c r="J255" s="3"/>
      <c r="K255" s="3"/>
      <c r="L255" s="3"/>
      <c r="M255" s="3"/>
      <c r="N255" s="3"/>
      <c r="O255" s="3"/>
      <c r="P255" s="3"/>
      <c r="Q255" s="3"/>
      <c r="R255" s="3"/>
      <c r="S255" s="3"/>
      <c r="T255" s="3"/>
      <c r="U255" s="3"/>
      <c r="V255" s="47"/>
      <c r="W255" s="47"/>
      <c r="X255" s="47"/>
      <c r="Y255" s="47"/>
      <c r="Z255" s="47"/>
      <c r="AA255" s="198"/>
      <c r="AB255" s="198"/>
      <c r="AC255" s="198"/>
      <c r="AD255" s="198"/>
      <c r="AE255" s="198"/>
      <c r="AF255" s="198"/>
      <c r="AG255" s="198"/>
      <c r="AH255" s="198"/>
      <c r="AI255" s="198"/>
      <c r="AJ255" s="198"/>
      <c r="AK255" s="198"/>
      <c r="AL255" s="198"/>
      <c r="AM255" s="52"/>
      <c r="AN255" s="52"/>
      <c r="AO255" s="52"/>
      <c r="AP255" s="52"/>
      <c r="AQ255" s="52"/>
    </row>
    <row r="256" spans="1:43">
      <c r="A256" s="331">
        <v>44952</v>
      </c>
      <c r="B256" s="332">
        <v>4060.43</v>
      </c>
      <c r="C256" s="30">
        <v>377.24</v>
      </c>
      <c r="D256" s="22">
        <f t="shared" si="6"/>
        <v>-2.4886010770017171E-3</v>
      </c>
      <c r="E256" s="22">
        <f t="shared" si="7"/>
        <v>8.582199288827197E-3</v>
      </c>
      <c r="F256" s="12"/>
      <c r="G256" s="12"/>
      <c r="H256" s="3"/>
      <c r="I256" s="3"/>
      <c r="J256" s="3"/>
      <c r="K256" s="3"/>
      <c r="L256" s="3"/>
      <c r="M256" s="3"/>
      <c r="N256" s="3"/>
      <c r="O256" s="3"/>
      <c r="P256" s="3"/>
      <c r="Q256" s="3"/>
      <c r="R256" s="3"/>
      <c r="S256" s="3"/>
      <c r="T256" s="3"/>
      <c r="U256" s="3"/>
      <c r="V256" s="47"/>
      <c r="W256" s="47"/>
      <c r="X256" s="47"/>
      <c r="Y256" s="47"/>
      <c r="Z256" s="47"/>
      <c r="AA256" s="198"/>
      <c r="AB256" s="198"/>
      <c r="AC256" s="198"/>
      <c r="AD256" s="198"/>
      <c r="AE256" s="198"/>
      <c r="AF256" s="198"/>
      <c r="AG256" s="198"/>
      <c r="AH256" s="198"/>
      <c r="AI256" s="198"/>
      <c r="AJ256" s="198"/>
      <c r="AK256" s="198"/>
      <c r="AL256" s="198"/>
      <c r="AM256" s="52"/>
      <c r="AN256" s="52"/>
      <c r="AO256" s="52"/>
      <c r="AP256" s="52"/>
      <c r="AQ256" s="52"/>
    </row>
    <row r="257" spans="1:43">
      <c r="A257" s="331">
        <v>44951</v>
      </c>
      <c r="B257" s="332">
        <v>4016.22</v>
      </c>
      <c r="C257" s="30">
        <v>382.39</v>
      </c>
      <c r="D257" s="22">
        <f t="shared" si="6"/>
        <v>-1.088800939801943E-2</v>
      </c>
      <c r="E257" s="22">
        <f t="shared" si="7"/>
        <v>1.3651786661011496E-2</v>
      </c>
      <c r="F257" s="12"/>
      <c r="G257" s="12"/>
      <c r="H257" s="3"/>
      <c r="I257" s="3"/>
      <c r="J257" s="3"/>
      <c r="K257" s="3"/>
      <c r="L257" s="3"/>
      <c r="M257" s="3"/>
      <c r="N257" s="3"/>
      <c r="O257" s="3"/>
      <c r="P257" s="3"/>
      <c r="Q257" s="3"/>
      <c r="R257" s="3"/>
      <c r="S257" s="3"/>
      <c r="T257" s="3"/>
      <c r="U257" s="3"/>
      <c r="V257" s="47"/>
      <c r="W257" s="47"/>
      <c r="X257" s="47"/>
      <c r="Y257" s="47"/>
      <c r="Z257" s="47"/>
      <c r="AA257" s="198"/>
      <c r="AB257" s="198"/>
      <c r="AC257" s="198"/>
      <c r="AD257" s="198"/>
      <c r="AE257" s="198"/>
      <c r="AF257" s="198"/>
      <c r="AG257" s="198"/>
      <c r="AH257" s="198"/>
      <c r="AI257" s="198"/>
      <c r="AJ257" s="198"/>
      <c r="AK257" s="198"/>
      <c r="AL257" s="198"/>
      <c r="AM257" s="52"/>
      <c r="AN257" s="52"/>
      <c r="AO257" s="52"/>
      <c r="AP257" s="52"/>
      <c r="AQ257" s="52"/>
    </row>
    <row r="258" spans="1:43">
      <c r="A258" s="331">
        <v>44950</v>
      </c>
      <c r="B258" s="332">
        <v>4016.95</v>
      </c>
      <c r="C258" s="30">
        <v>380.01</v>
      </c>
      <c r="D258" s="22">
        <f t="shared" si="6"/>
        <v>1.8176295123275573E-4</v>
      </c>
      <c r="E258" s="22">
        <f t="shared" si="7"/>
        <v>-6.2240121342085186E-3</v>
      </c>
      <c r="F258" s="12"/>
      <c r="G258" s="12"/>
      <c r="H258" s="3"/>
      <c r="I258" s="3"/>
      <c r="J258" s="3"/>
      <c r="K258" s="3"/>
      <c r="L258" s="3"/>
      <c r="M258" s="3"/>
      <c r="N258" s="3"/>
      <c r="O258" s="3"/>
      <c r="P258" s="3"/>
      <c r="Q258" s="3"/>
      <c r="R258" s="3"/>
      <c r="S258" s="3"/>
      <c r="T258" s="3"/>
      <c r="U258" s="3"/>
      <c r="V258" s="47"/>
      <c r="W258" s="47"/>
      <c r="X258" s="47"/>
      <c r="Y258" s="47"/>
      <c r="Z258" s="47"/>
      <c r="AA258" s="198"/>
      <c r="AB258" s="198"/>
      <c r="AC258" s="198"/>
      <c r="AD258" s="198"/>
      <c r="AE258" s="198"/>
      <c r="AF258" s="198"/>
      <c r="AG258" s="198"/>
      <c r="AH258" s="198"/>
      <c r="AI258" s="198"/>
      <c r="AJ258" s="198"/>
      <c r="AK258" s="198"/>
      <c r="AL258" s="198"/>
      <c r="AM258" s="52"/>
      <c r="AN258" s="52"/>
      <c r="AO258" s="52"/>
      <c r="AP258" s="52"/>
      <c r="AQ258" s="52"/>
    </row>
    <row r="259" spans="1:43">
      <c r="A259" s="331">
        <v>44949</v>
      </c>
      <c r="B259" s="332">
        <v>4019.81</v>
      </c>
      <c r="C259" s="30">
        <v>378.57</v>
      </c>
      <c r="D259" s="22">
        <f t="shared" si="6"/>
        <v>7.1198297215552286E-4</v>
      </c>
      <c r="E259" s="22">
        <f t="shared" si="7"/>
        <v>-3.7893739638430509E-3</v>
      </c>
      <c r="F259" s="12"/>
      <c r="G259" s="12"/>
      <c r="H259" s="3"/>
      <c r="I259" s="3"/>
      <c r="J259" s="3"/>
      <c r="K259" s="3"/>
      <c r="L259" s="3"/>
      <c r="M259" s="3"/>
      <c r="N259" s="3"/>
      <c r="O259" s="3"/>
      <c r="P259" s="3"/>
      <c r="Q259" s="3"/>
      <c r="R259" s="3"/>
      <c r="S259" s="3"/>
      <c r="T259" s="3"/>
      <c r="U259" s="3"/>
      <c r="V259" s="47"/>
      <c r="W259" s="47"/>
      <c r="X259" s="47"/>
      <c r="Y259" s="47"/>
      <c r="Z259" s="47"/>
      <c r="AA259" s="198"/>
      <c r="AB259" s="198"/>
      <c r="AC259" s="198"/>
      <c r="AD259" s="198"/>
      <c r="AE259" s="198"/>
      <c r="AF259" s="198"/>
      <c r="AG259" s="198"/>
      <c r="AH259" s="198"/>
      <c r="AI259" s="198"/>
      <c r="AJ259" s="198"/>
      <c r="AK259" s="198"/>
      <c r="AL259" s="198"/>
      <c r="AM259" s="52"/>
      <c r="AN259" s="52"/>
      <c r="AO259" s="52"/>
      <c r="AP259" s="52"/>
      <c r="AQ259" s="52"/>
    </row>
    <row r="260" spans="1:43">
      <c r="A260" s="331">
        <v>44946</v>
      </c>
      <c r="B260" s="332">
        <v>3972.61</v>
      </c>
      <c r="C260" s="30">
        <v>376.28</v>
      </c>
      <c r="D260" s="22">
        <f t="shared" ref="D260:D323" si="8">(B260-B259)/B259</f>
        <v>-1.1741848495326848E-2</v>
      </c>
      <c r="E260" s="22">
        <f t="shared" si="7"/>
        <v>-6.049079430488471E-3</v>
      </c>
      <c r="F260" s="12"/>
      <c r="G260" s="12"/>
      <c r="H260" s="3"/>
      <c r="I260" s="3"/>
      <c r="J260" s="3"/>
      <c r="K260" s="3"/>
      <c r="L260" s="3"/>
      <c r="M260" s="3"/>
      <c r="N260" s="3"/>
      <c r="O260" s="3"/>
      <c r="P260" s="3"/>
      <c r="Q260" s="3"/>
      <c r="R260" s="3"/>
      <c r="S260" s="3"/>
      <c r="T260" s="3"/>
      <c r="U260" s="3"/>
      <c r="V260" s="47"/>
      <c r="W260" s="47"/>
      <c r="X260" s="47"/>
      <c r="Y260" s="47"/>
      <c r="Z260" s="47"/>
      <c r="AA260" s="198"/>
      <c r="AB260" s="198"/>
      <c r="AC260" s="198"/>
      <c r="AD260" s="198"/>
      <c r="AE260" s="198"/>
      <c r="AF260" s="198"/>
      <c r="AG260" s="198"/>
      <c r="AH260" s="198"/>
      <c r="AI260" s="198"/>
      <c r="AJ260" s="198"/>
      <c r="AK260" s="198"/>
      <c r="AL260" s="198"/>
      <c r="AM260" s="52"/>
      <c r="AN260" s="52"/>
      <c r="AO260" s="52"/>
      <c r="AP260" s="52"/>
      <c r="AQ260" s="52"/>
    </row>
    <row r="261" spans="1:43">
      <c r="A261" s="331">
        <v>44945</v>
      </c>
      <c r="B261" s="332">
        <v>3898.85</v>
      </c>
      <c r="C261" s="30">
        <v>367.94</v>
      </c>
      <c r="D261" s="22">
        <f t="shared" si="8"/>
        <v>-1.856713848074697E-2</v>
      </c>
      <c r="E261" s="22">
        <f t="shared" ref="E261:E324" si="9">(C261-C260)/C260</f>
        <v>-2.2164345700010565E-2</v>
      </c>
      <c r="F261" s="12"/>
      <c r="G261" s="12"/>
      <c r="H261" s="3"/>
      <c r="I261" s="3"/>
      <c r="J261" s="3"/>
      <c r="K261" s="3"/>
      <c r="L261" s="3"/>
      <c r="M261" s="3"/>
      <c r="N261" s="3"/>
      <c r="O261" s="3"/>
      <c r="P261" s="3"/>
      <c r="Q261" s="3"/>
      <c r="R261" s="3"/>
      <c r="S261" s="3"/>
      <c r="T261" s="3"/>
      <c r="U261" s="3"/>
      <c r="V261" s="47"/>
      <c r="W261" s="47"/>
      <c r="X261" s="47"/>
      <c r="Y261" s="47"/>
      <c r="Z261" s="47"/>
      <c r="AA261" s="198"/>
      <c r="AB261" s="198"/>
      <c r="AC261" s="198"/>
      <c r="AD261" s="198"/>
      <c r="AE261" s="198"/>
      <c r="AF261" s="198"/>
      <c r="AG261" s="198"/>
      <c r="AH261" s="198"/>
      <c r="AI261" s="198"/>
      <c r="AJ261" s="198"/>
      <c r="AK261" s="198"/>
      <c r="AL261" s="198"/>
      <c r="AM261" s="52"/>
      <c r="AN261" s="52"/>
      <c r="AO261" s="52"/>
      <c r="AP261" s="52"/>
      <c r="AQ261" s="52"/>
    </row>
    <row r="262" spans="1:43">
      <c r="A262" s="331">
        <v>44944</v>
      </c>
      <c r="B262" s="332">
        <v>3928.86</v>
      </c>
      <c r="C262" s="30">
        <v>368.92</v>
      </c>
      <c r="D262" s="22">
        <f t="shared" si="8"/>
        <v>7.6971414647909559E-3</v>
      </c>
      <c r="E262" s="22">
        <f t="shared" si="9"/>
        <v>2.6634777409360716E-3</v>
      </c>
      <c r="F262" s="12"/>
      <c r="G262" s="12"/>
      <c r="H262" s="3"/>
      <c r="I262" s="3"/>
      <c r="J262" s="3"/>
      <c r="K262" s="3"/>
      <c r="L262" s="3"/>
      <c r="M262" s="3"/>
      <c r="N262" s="3"/>
      <c r="O262" s="3"/>
      <c r="P262" s="3"/>
      <c r="Q262" s="3"/>
      <c r="R262" s="3"/>
      <c r="S262" s="3"/>
      <c r="T262" s="3"/>
      <c r="U262" s="3"/>
      <c r="V262" s="47"/>
      <c r="W262" s="47"/>
      <c r="X262" s="47"/>
      <c r="Y262" s="47"/>
      <c r="Z262" s="47"/>
      <c r="AA262" s="198"/>
      <c r="AB262" s="198"/>
      <c r="AC262" s="198"/>
      <c r="AD262" s="198"/>
      <c r="AE262" s="198"/>
      <c r="AF262" s="198"/>
      <c r="AG262" s="198"/>
      <c r="AH262" s="198"/>
      <c r="AI262" s="198"/>
      <c r="AJ262" s="198"/>
      <c r="AK262" s="198"/>
      <c r="AL262" s="198"/>
      <c r="AM262" s="52"/>
      <c r="AN262" s="52"/>
      <c r="AO262" s="52"/>
      <c r="AP262" s="52"/>
      <c r="AQ262" s="52"/>
    </row>
    <row r="263" spans="1:43">
      <c r="A263" s="331">
        <v>44943</v>
      </c>
      <c r="B263" s="332">
        <v>3990.97</v>
      </c>
      <c r="C263" s="30">
        <v>375</v>
      </c>
      <c r="D263" s="22">
        <f t="shared" si="8"/>
        <v>1.5808656964106552E-2</v>
      </c>
      <c r="E263" s="22">
        <f t="shared" si="9"/>
        <v>1.6480537785969814E-2</v>
      </c>
      <c r="F263" s="12"/>
      <c r="G263" s="12"/>
      <c r="H263" s="3"/>
      <c r="I263" s="3"/>
      <c r="J263" s="3"/>
      <c r="K263" s="3"/>
      <c r="L263" s="3"/>
      <c r="M263" s="3"/>
      <c r="N263" s="3"/>
      <c r="O263" s="3"/>
      <c r="P263" s="3"/>
      <c r="Q263" s="3"/>
      <c r="R263" s="3"/>
      <c r="S263" s="3"/>
      <c r="T263" s="3"/>
      <c r="U263" s="3"/>
      <c r="V263" s="47"/>
      <c r="W263" s="47"/>
      <c r="X263" s="47"/>
      <c r="Y263" s="47"/>
      <c r="Z263" s="47"/>
      <c r="AA263" s="198"/>
      <c r="AB263" s="198"/>
      <c r="AC263" s="198"/>
      <c r="AD263" s="198"/>
      <c r="AE263" s="198"/>
      <c r="AF263" s="198"/>
      <c r="AG263" s="198"/>
      <c r="AH263" s="198"/>
      <c r="AI263" s="198"/>
      <c r="AJ263" s="198"/>
      <c r="AK263" s="198"/>
      <c r="AL263" s="198"/>
      <c r="AM263" s="52"/>
      <c r="AN263" s="52"/>
      <c r="AO263" s="52"/>
      <c r="AP263" s="52"/>
      <c r="AQ263" s="52"/>
    </row>
    <row r="264" spans="1:43">
      <c r="A264" s="331">
        <v>44939</v>
      </c>
      <c r="B264" s="332">
        <v>3999.09</v>
      </c>
      <c r="C264" s="30">
        <v>375.52</v>
      </c>
      <c r="D264" s="22">
        <f t="shared" si="8"/>
        <v>2.0345930939095875E-3</v>
      </c>
      <c r="E264" s="22">
        <f t="shared" si="9"/>
        <v>1.3866666666666181E-3</v>
      </c>
      <c r="F264" s="12"/>
      <c r="G264" s="12"/>
      <c r="H264" s="3"/>
      <c r="I264" s="3"/>
      <c r="J264" s="3"/>
      <c r="K264" s="3"/>
      <c r="L264" s="3"/>
      <c r="M264" s="3"/>
      <c r="N264" s="3"/>
      <c r="O264" s="3"/>
      <c r="P264" s="3"/>
      <c r="Q264" s="3"/>
      <c r="R264" s="3"/>
      <c r="S264" s="3"/>
      <c r="T264" s="3"/>
      <c r="U264" s="3"/>
      <c r="V264" s="47"/>
      <c r="W264" s="47"/>
      <c r="X264" s="47"/>
      <c r="Y264" s="47"/>
      <c r="Z264" s="47"/>
      <c r="AA264" s="198"/>
      <c r="AB264" s="198"/>
      <c r="AC264" s="198"/>
      <c r="AD264" s="198"/>
      <c r="AE264" s="198"/>
      <c r="AF264" s="198"/>
      <c r="AG264" s="198"/>
      <c r="AH264" s="198"/>
      <c r="AI264" s="198"/>
      <c r="AJ264" s="198"/>
      <c r="AK264" s="198"/>
      <c r="AL264" s="198"/>
      <c r="AM264" s="52"/>
      <c r="AN264" s="52"/>
      <c r="AO264" s="52"/>
      <c r="AP264" s="52"/>
      <c r="AQ264" s="52"/>
    </row>
    <row r="265" spans="1:43">
      <c r="A265" s="331">
        <v>44938</v>
      </c>
      <c r="B265" s="332">
        <v>3983.17</v>
      </c>
      <c r="C265" s="30">
        <v>379.81</v>
      </c>
      <c r="D265" s="22">
        <f t="shared" si="8"/>
        <v>-3.9809056560367664E-3</v>
      </c>
      <c r="E265" s="22">
        <f t="shared" si="9"/>
        <v>1.1424158500213093E-2</v>
      </c>
      <c r="F265" s="12"/>
      <c r="G265" s="12"/>
      <c r="H265" s="3"/>
      <c r="I265" s="3"/>
      <c r="J265" s="3"/>
      <c r="K265" s="3"/>
      <c r="L265" s="3"/>
      <c r="M265" s="3"/>
      <c r="N265" s="3"/>
      <c r="O265" s="3"/>
      <c r="P265" s="3"/>
      <c r="Q265" s="3"/>
      <c r="R265" s="3"/>
      <c r="S265" s="3"/>
      <c r="T265" s="3"/>
      <c r="U265" s="3"/>
      <c r="V265" s="47"/>
      <c r="W265" s="47"/>
      <c r="X265" s="47"/>
      <c r="Y265" s="47"/>
      <c r="Z265" s="47"/>
      <c r="AA265" s="198"/>
      <c r="AB265" s="198"/>
      <c r="AC265" s="198"/>
      <c r="AD265" s="198"/>
      <c r="AE265" s="198"/>
      <c r="AF265" s="198"/>
      <c r="AG265" s="198"/>
      <c r="AH265" s="198"/>
      <c r="AI265" s="198"/>
      <c r="AJ265" s="198"/>
      <c r="AK265" s="198"/>
      <c r="AL265" s="198"/>
      <c r="AM265" s="52"/>
      <c r="AN265" s="52"/>
      <c r="AO265" s="52"/>
      <c r="AP265" s="52"/>
      <c r="AQ265" s="52"/>
    </row>
    <row r="266" spans="1:43">
      <c r="A266" s="331">
        <v>44937</v>
      </c>
      <c r="B266" s="332">
        <v>3969.61</v>
      </c>
      <c r="C266" s="30">
        <v>377.86</v>
      </c>
      <c r="D266" s="22">
        <f t="shared" si="8"/>
        <v>-3.4043236919337979E-3</v>
      </c>
      <c r="E266" s="22">
        <f t="shared" si="9"/>
        <v>-5.1341460203785808E-3</v>
      </c>
      <c r="F266" s="12"/>
      <c r="G266" s="12"/>
      <c r="H266" s="3"/>
      <c r="I266" s="3"/>
      <c r="J266" s="3"/>
      <c r="K266" s="3"/>
      <c r="L266" s="3"/>
      <c r="M266" s="3"/>
      <c r="N266" s="3"/>
      <c r="O266" s="3"/>
      <c r="P266" s="3"/>
      <c r="Q266" s="3"/>
      <c r="R266" s="3"/>
      <c r="S266" s="3"/>
      <c r="T266" s="3"/>
      <c r="U266" s="3"/>
      <c r="V266" s="47"/>
      <c r="W266" s="47"/>
      <c r="X266" s="47"/>
      <c r="Y266" s="47"/>
      <c r="Z266" s="47"/>
      <c r="AA266" s="198"/>
      <c r="AB266" s="198"/>
      <c r="AC266" s="198"/>
      <c r="AD266" s="198"/>
      <c r="AE266" s="198"/>
      <c r="AF266" s="198"/>
      <c r="AG266" s="198"/>
      <c r="AH266" s="198"/>
      <c r="AI266" s="198"/>
      <c r="AJ266" s="198"/>
      <c r="AK266" s="198"/>
      <c r="AL266" s="198"/>
      <c r="AM266" s="52"/>
      <c r="AN266" s="52"/>
      <c r="AO266" s="52"/>
      <c r="AP266" s="52"/>
      <c r="AQ266" s="52"/>
    </row>
    <row r="267" spans="1:43">
      <c r="A267" s="331">
        <v>44936</v>
      </c>
      <c r="B267" s="332">
        <v>3919.25</v>
      </c>
      <c r="C267" s="30">
        <v>371.01</v>
      </c>
      <c r="D267" s="22">
        <f t="shared" si="8"/>
        <v>-1.2686384808583242E-2</v>
      </c>
      <c r="E267" s="22">
        <f t="shared" si="9"/>
        <v>-1.8128407346636378E-2</v>
      </c>
      <c r="F267" s="12"/>
      <c r="G267" s="12"/>
      <c r="H267" s="3"/>
      <c r="I267" s="3"/>
      <c r="J267" s="3"/>
      <c r="K267" s="3"/>
      <c r="L267" s="3"/>
      <c r="M267" s="3"/>
      <c r="N267" s="3"/>
      <c r="O267" s="3"/>
      <c r="P267" s="3"/>
      <c r="Q267" s="3"/>
      <c r="R267" s="3"/>
      <c r="S267" s="3"/>
      <c r="T267" s="3"/>
      <c r="U267" s="3"/>
      <c r="V267" s="47"/>
      <c r="W267" s="47"/>
      <c r="X267" s="47"/>
      <c r="Y267" s="47"/>
      <c r="Z267" s="47"/>
      <c r="AA267" s="198"/>
      <c r="AB267" s="198"/>
      <c r="AC267" s="198"/>
      <c r="AD267" s="198"/>
      <c r="AE267" s="198"/>
      <c r="AF267" s="198"/>
      <c r="AG267" s="198"/>
      <c r="AH267" s="198"/>
      <c r="AI267" s="198"/>
      <c r="AJ267" s="198"/>
      <c r="AK267" s="198"/>
      <c r="AL267" s="198"/>
      <c r="AM267" s="52"/>
      <c r="AN267" s="52"/>
      <c r="AO267" s="52"/>
      <c r="AP267" s="52"/>
      <c r="AQ267" s="52"/>
    </row>
    <row r="268" spans="1:43">
      <c r="A268" s="331">
        <v>44935</v>
      </c>
      <c r="B268" s="332">
        <v>3892.09</v>
      </c>
      <c r="C268" s="30">
        <v>370.97</v>
      </c>
      <c r="D268" s="22">
        <f t="shared" si="8"/>
        <v>-6.9298973017796403E-3</v>
      </c>
      <c r="E268" s="22">
        <f t="shared" si="9"/>
        <v>-1.0781380555770362E-4</v>
      </c>
      <c r="F268" s="12"/>
      <c r="G268" s="12"/>
      <c r="H268" s="3"/>
      <c r="I268" s="3"/>
      <c r="J268" s="3"/>
      <c r="K268" s="3"/>
      <c r="L268" s="3"/>
      <c r="M268" s="3"/>
      <c r="N268" s="3"/>
      <c r="O268" s="3"/>
      <c r="P268" s="3"/>
      <c r="Q268" s="3"/>
      <c r="R268" s="3"/>
      <c r="S268" s="3"/>
      <c r="T268" s="3"/>
      <c r="U268" s="3"/>
      <c r="V268" s="47"/>
      <c r="W268" s="47"/>
      <c r="X268" s="47"/>
      <c r="Y268" s="47"/>
      <c r="Z268" s="47"/>
      <c r="AA268" s="198"/>
      <c r="AB268" s="198"/>
      <c r="AC268" s="198"/>
      <c r="AD268" s="198"/>
      <c r="AE268" s="198"/>
      <c r="AF268" s="198"/>
      <c r="AG268" s="198"/>
      <c r="AH268" s="198"/>
      <c r="AI268" s="198"/>
      <c r="AJ268" s="198"/>
      <c r="AK268" s="198"/>
      <c r="AL268" s="198"/>
      <c r="AM268" s="52"/>
      <c r="AN268" s="52"/>
      <c r="AO268" s="52"/>
      <c r="AP268" s="52"/>
      <c r="AQ268" s="52"/>
    </row>
    <row r="269" spans="1:43">
      <c r="A269" s="331">
        <v>44932</v>
      </c>
      <c r="B269" s="332">
        <v>3895.08</v>
      </c>
      <c r="C269" s="30">
        <v>367.67</v>
      </c>
      <c r="D269" s="22">
        <f t="shared" si="8"/>
        <v>7.6822478411336362E-4</v>
      </c>
      <c r="E269" s="22">
        <f t="shared" si="9"/>
        <v>-8.8955980267946492E-3</v>
      </c>
      <c r="F269" s="12"/>
      <c r="G269" s="12"/>
      <c r="H269" s="3"/>
      <c r="I269" s="3"/>
      <c r="J269" s="3"/>
      <c r="K269" s="3"/>
      <c r="L269" s="3"/>
      <c r="M269" s="3"/>
      <c r="N269" s="3"/>
      <c r="O269" s="3"/>
      <c r="P269" s="3"/>
      <c r="Q269" s="3"/>
      <c r="R269" s="3"/>
      <c r="S269" s="3"/>
      <c r="T269" s="3"/>
      <c r="U269" s="3"/>
      <c r="V269" s="47"/>
      <c r="W269" s="47"/>
      <c r="X269" s="47"/>
      <c r="Y269" s="47"/>
      <c r="Z269" s="47"/>
      <c r="AA269" s="198"/>
      <c r="AB269" s="198"/>
      <c r="AC269" s="198"/>
      <c r="AD269" s="198"/>
      <c r="AE269" s="198"/>
      <c r="AF269" s="198"/>
      <c r="AG269" s="198"/>
      <c r="AH269" s="198"/>
      <c r="AI269" s="198"/>
      <c r="AJ269" s="198"/>
      <c r="AK269" s="198"/>
      <c r="AL269" s="198"/>
      <c r="AM269" s="52"/>
      <c r="AN269" s="52"/>
      <c r="AO269" s="52"/>
      <c r="AP269" s="52"/>
      <c r="AQ269" s="52"/>
    </row>
    <row r="270" spans="1:43">
      <c r="A270" s="331">
        <v>44931</v>
      </c>
      <c r="B270" s="332">
        <v>3808.1</v>
      </c>
      <c r="C270" s="30">
        <v>351.77</v>
      </c>
      <c r="D270" s="22">
        <f t="shared" si="8"/>
        <v>-2.2330735183872994E-2</v>
      </c>
      <c r="E270" s="22">
        <f t="shared" si="9"/>
        <v>-4.3245301493186915E-2</v>
      </c>
      <c r="F270" s="12"/>
      <c r="G270" s="12"/>
      <c r="H270" s="3"/>
      <c r="I270" s="3"/>
      <c r="J270" s="3"/>
      <c r="K270" s="3"/>
      <c r="L270" s="3"/>
      <c r="M270" s="3"/>
      <c r="N270" s="3"/>
      <c r="O270" s="3"/>
      <c r="P270" s="3"/>
      <c r="Q270" s="3"/>
      <c r="R270" s="3"/>
      <c r="S270" s="3"/>
      <c r="T270" s="3"/>
      <c r="U270" s="3"/>
      <c r="V270" s="47"/>
      <c r="W270" s="47"/>
      <c r="X270" s="47"/>
      <c r="Y270" s="47"/>
      <c r="Z270" s="47"/>
      <c r="AA270" s="198"/>
      <c r="AB270" s="198"/>
      <c r="AC270" s="198"/>
      <c r="AD270" s="198"/>
      <c r="AE270" s="198"/>
      <c r="AF270" s="198"/>
      <c r="AG270" s="198"/>
      <c r="AH270" s="198"/>
      <c r="AI270" s="198"/>
      <c r="AJ270" s="198"/>
      <c r="AK270" s="198"/>
      <c r="AL270" s="198"/>
      <c r="AM270" s="52"/>
      <c r="AN270" s="52"/>
      <c r="AO270" s="52"/>
      <c r="AP270" s="52"/>
      <c r="AQ270" s="52"/>
    </row>
    <row r="271" spans="1:43">
      <c r="A271" s="331">
        <v>44930</v>
      </c>
      <c r="B271" s="332">
        <v>3852.97</v>
      </c>
      <c r="C271" s="30">
        <v>355.15</v>
      </c>
      <c r="D271" s="22">
        <f t="shared" si="8"/>
        <v>1.1782778813581548E-2</v>
      </c>
      <c r="E271" s="22">
        <f t="shared" si="9"/>
        <v>9.60855104187394E-3</v>
      </c>
      <c r="F271" s="12"/>
      <c r="G271" s="12"/>
      <c r="H271" s="3"/>
      <c r="I271" s="3"/>
      <c r="J271" s="3"/>
      <c r="K271" s="3"/>
      <c r="L271" s="3"/>
      <c r="M271" s="3"/>
      <c r="N271" s="3"/>
      <c r="O271" s="3"/>
      <c r="P271" s="3"/>
      <c r="Q271" s="3"/>
      <c r="R271" s="3"/>
      <c r="S271" s="3"/>
      <c r="T271" s="3"/>
      <c r="U271" s="3"/>
      <c r="V271" s="47"/>
      <c r="W271" s="47"/>
      <c r="X271" s="47"/>
      <c r="Y271" s="47"/>
      <c r="Z271" s="47"/>
      <c r="AA271" s="198"/>
      <c r="AB271" s="198"/>
      <c r="AC271" s="198"/>
      <c r="AD271" s="198"/>
      <c r="AE271" s="198"/>
      <c r="AF271" s="198"/>
      <c r="AG271" s="198"/>
      <c r="AH271" s="198"/>
      <c r="AI271" s="198"/>
      <c r="AJ271" s="198"/>
      <c r="AK271" s="198"/>
      <c r="AL271" s="198"/>
      <c r="AM271" s="52"/>
      <c r="AN271" s="52"/>
      <c r="AO271" s="52"/>
      <c r="AP271" s="52"/>
      <c r="AQ271" s="52"/>
    </row>
    <row r="272" spans="1:43">
      <c r="A272" s="331">
        <v>44929</v>
      </c>
      <c r="B272" s="332">
        <v>3824.14</v>
      </c>
      <c r="C272" s="30">
        <v>346.8</v>
      </c>
      <c r="D272" s="22">
        <f t="shared" si="8"/>
        <v>-7.4825394435980366E-3</v>
      </c>
      <c r="E272" s="22">
        <f t="shared" si="9"/>
        <v>-2.3511192453892629E-2</v>
      </c>
      <c r="F272" s="12"/>
      <c r="G272" s="12"/>
      <c r="H272" s="3"/>
      <c r="I272" s="3"/>
      <c r="J272" s="3"/>
      <c r="K272" s="3"/>
      <c r="L272" s="3"/>
      <c r="M272" s="3"/>
      <c r="N272" s="3"/>
      <c r="O272" s="3"/>
      <c r="P272" s="3"/>
      <c r="Q272" s="3"/>
      <c r="R272" s="3"/>
      <c r="S272" s="3"/>
      <c r="T272" s="3"/>
      <c r="U272" s="3"/>
      <c r="V272" s="47"/>
      <c r="W272" s="47"/>
      <c r="X272" s="47"/>
      <c r="Y272" s="47"/>
      <c r="Z272" s="47"/>
      <c r="AA272" s="198"/>
      <c r="AB272" s="198"/>
      <c r="AC272" s="198"/>
      <c r="AD272" s="198"/>
      <c r="AE272" s="198"/>
      <c r="AF272" s="198"/>
      <c r="AG272" s="198"/>
      <c r="AH272" s="198"/>
      <c r="AI272" s="198"/>
      <c r="AJ272" s="198"/>
      <c r="AK272" s="198"/>
      <c r="AL272" s="198"/>
      <c r="AM272" s="52"/>
      <c r="AN272" s="52"/>
      <c r="AO272" s="52"/>
      <c r="AP272" s="52"/>
      <c r="AQ272" s="52"/>
    </row>
    <row r="273" spans="1:43">
      <c r="A273" s="331">
        <v>44925</v>
      </c>
      <c r="B273" s="332">
        <v>3839.5</v>
      </c>
      <c r="C273" s="30">
        <v>347.73</v>
      </c>
      <c r="D273" s="22">
        <f t="shared" si="8"/>
        <v>4.01658935080832E-3</v>
      </c>
      <c r="E273" s="22">
        <f t="shared" si="9"/>
        <v>2.6816608996539986E-3</v>
      </c>
      <c r="F273" s="12"/>
      <c r="G273" s="12"/>
      <c r="H273" s="3"/>
      <c r="I273" s="3"/>
      <c r="J273" s="3"/>
      <c r="K273" s="3"/>
      <c r="L273" s="3"/>
      <c r="M273" s="3"/>
      <c r="N273" s="3"/>
      <c r="O273" s="3"/>
      <c r="P273" s="3"/>
      <c r="Q273" s="3"/>
      <c r="R273" s="3"/>
      <c r="S273" s="3"/>
      <c r="T273" s="3"/>
      <c r="U273" s="3"/>
      <c r="V273" s="47"/>
      <c r="W273" s="47"/>
      <c r="X273" s="47"/>
      <c r="Y273" s="47"/>
      <c r="Z273" s="47"/>
      <c r="AA273" s="198"/>
      <c r="AB273" s="198"/>
      <c r="AC273" s="198"/>
      <c r="AD273" s="198"/>
      <c r="AE273" s="198"/>
      <c r="AF273" s="198"/>
      <c r="AG273" s="198"/>
      <c r="AH273" s="198"/>
      <c r="AI273" s="198"/>
      <c r="AJ273" s="198"/>
      <c r="AK273" s="198"/>
      <c r="AL273" s="198"/>
      <c r="AM273" s="52"/>
      <c r="AN273" s="52"/>
      <c r="AO273" s="52"/>
      <c r="AP273" s="52"/>
      <c r="AQ273" s="52"/>
    </row>
    <row r="274" spans="1:43">
      <c r="A274" s="331">
        <v>44924</v>
      </c>
      <c r="B274" s="332">
        <v>3849.28</v>
      </c>
      <c r="C274" s="30">
        <v>348.21</v>
      </c>
      <c r="D274" s="22">
        <f t="shared" si="8"/>
        <v>2.5472066675348874E-3</v>
      </c>
      <c r="E274" s="22">
        <f t="shared" si="9"/>
        <v>1.380381330342396E-3</v>
      </c>
      <c r="F274" s="12"/>
      <c r="G274" s="12"/>
      <c r="H274" s="3"/>
      <c r="I274" s="3"/>
      <c r="J274" s="3"/>
      <c r="K274" s="3"/>
      <c r="L274" s="3"/>
      <c r="M274" s="3"/>
      <c r="N274" s="3"/>
      <c r="O274" s="3"/>
      <c r="P274" s="3"/>
      <c r="Q274" s="3"/>
      <c r="R274" s="3"/>
      <c r="S274" s="3"/>
      <c r="T274" s="3"/>
      <c r="U274" s="3"/>
      <c r="V274" s="47"/>
      <c r="W274" s="47"/>
      <c r="X274" s="47"/>
      <c r="Y274" s="47"/>
      <c r="Z274" s="47"/>
      <c r="AA274" s="198"/>
      <c r="AB274" s="198"/>
      <c r="AC274" s="198"/>
      <c r="AD274" s="198"/>
      <c r="AE274" s="198"/>
      <c r="AF274" s="198"/>
      <c r="AG274" s="198"/>
      <c r="AH274" s="198"/>
      <c r="AI274" s="198"/>
      <c r="AJ274" s="198"/>
      <c r="AK274" s="198"/>
      <c r="AL274" s="198"/>
      <c r="AM274" s="52"/>
      <c r="AN274" s="52"/>
      <c r="AO274" s="52"/>
      <c r="AP274" s="52"/>
      <c r="AQ274" s="52"/>
    </row>
    <row r="275" spans="1:43">
      <c r="A275" s="331">
        <v>44923</v>
      </c>
      <c r="B275" s="332">
        <v>3783.22</v>
      </c>
      <c r="C275" s="30">
        <v>341.95</v>
      </c>
      <c r="D275" s="22">
        <f t="shared" si="8"/>
        <v>-1.7161651010059127E-2</v>
      </c>
      <c r="E275" s="22">
        <f t="shared" si="9"/>
        <v>-1.7977657160908621E-2</v>
      </c>
      <c r="F275" s="12"/>
      <c r="G275" s="12"/>
      <c r="H275" s="3"/>
      <c r="I275" s="3"/>
      <c r="J275" s="3"/>
      <c r="K275" s="3"/>
      <c r="L275" s="3"/>
      <c r="M275" s="3"/>
      <c r="N275" s="3"/>
      <c r="O275" s="3"/>
      <c r="P275" s="3"/>
      <c r="Q275" s="3"/>
      <c r="R275" s="3"/>
      <c r="S275" s="3"/>
      <c r="T275" s="3"/>
      <c r="U275" s="3"/>
      <c r="V275" s="47"/>
      <c r="W275" s="47"/>
      <c r="X275" s="47"/>
      <c r="Y275" s="47"/>
      <c r="Z275" s="47"/>
      <c r="AA275" s="198"/>
      <c r="AB275" s="198"/>
      <c r="AC275" s="198"/>
      <c r="AD275" s="198"/>
      <c r="AE275" s="198"/>
      <c r="AF275" s="198"/>
      <c r="AG275" s="198"/>
      <c r="AH275" s="198"/>
      <c r="AI275" s="198"/>
      <c r="AJ275" s="198"/>
      <c r="AK275" s="198"/>
      <c r="AL275" s="198"/>
      <c r="AM275" s="52"/>
      <c r="AN275" s="52"/>
      <c r="AO275" s="52"/>
      <c r="AP275" s="52"/>
      <c r="AQ275" s="52"/>
    </row>
    <row r="276" spans="1:43">
      <c r="A276" s="331">
        <v>44922</v>
      </c>
      <c r="B276" s="332">
        <v>3829.25</v>
      </c>
      <c r="C276" s="30">
        <v>346.16</v>
      </c>
      <c r="D276" s="22">
        <f t="shared" si="8"/>
        <v>1.2166884294331338E-2</v>
      </c>
      <c r="E276" s="22">
        <f t="shared" si="9"/>
        <v>1.2311741482673012E-2</v>
      </c>
      <c r="F276" s="12"/>
      <c r="G276" s="12"/>
      <c r="H276" s="3"/>
      <c r="I276" s="3"/>
      <c r="J276" s="3"/>
      <c r="K276" s="3"/>
      <c r="L276" s="3"/>
      <c r="M276" s="3"/>
      <c r="N276" s="3"/>
      <c r="O276" s="3"/>
      <c r="P276" s="3"/>
      <c r="Q276" s="3"/>
      <c r="R276" s="3"/>
      <c r="S276" s="3"/>
      <c r="T276" s="3"/>
      <c r="U276" s="3"/>
      <c r="V276" s="47"/>
      <c r="W276" s="47"/>
      <c r="X276" s="47"/>
      <c r="Y276" s="47"/>
      <c r="Z276" s="47"/>
      <c r="AA276" s="198"/>
      <c r="AB276" s="198"/>
      <c r="AC276" s="198"/>
      <c r="AD276" s="198"/>
      <c r="AE276" s="198"/>
      <c r="AF276" s="198"/>
      <c r="AG276" s="198"/>
      <c r="AH276" s="198"/>
      <c r="AI276" s="198"/>
      <c r="AJ276" s="198"/>
      <c r="AK276" s="198"/>
      <c r="AL276" s="198"/>
      <c r="AM276" s="52"/>
      <c r="AN276" s="52"/>
      <c r="AO276" s="52"/>
      <c r="AP276" s="52"/>
      <c r="AQ276" s="52"/>
    </row>
    <row r="277" spans="1:43">
      <c r="A277" s="331">
        <v>44918</v>
      </c>
      <c r="B277" s="332">
        <v>3844.82</v>
      </c>
      <c r="C277" s="30">
        <v>343.6</v>
      </c>
      <c r="D277" s="22">
        <f t="shared" si="8"/>
        <v>4.0660703793171417E-3</v>
      </c>
      <c r="E277" s="22">
        <f t="shared" si="9"/>
        <v>-7.3954240813496712E-3</v>
      </c>
      <c r="F277" s="12"/>
      <c r="G277" s="12"/>
      <c r="H277" s="3"/>
      <c r="I277" s="3"/>
      <c r="J277" s="3"/>
      <c r="K277" s="3"/>
      <c r="L277" s="3"/>
      <c r="M277" s="3"/>
      <c r="N277" s="3"/>
      <c r="O277" s="3"/>
      <c r="P277" s="3"/>
      <c r="Q277" s="3"/>
      <c r="R277" s="3"/>
      <c r="S277" s="3"/>
      <c r="T277" s="3"/>
      <c r="U277" s="3"/>
      <c r="V277" s="47"/>
      <c r="W277" s="47"/>
      <c r="X277" s="47"/>
      <c r="Y277" s="47"/>
      <c r="Z277" s="47"/>
      <c r="AA277" s="198"/>
      <c r="AB277" s="198"/>
      <c r="AC277" s="198"/>
      <c r="AD277" s="198"/>
      <c r="AE277" s="198"/>
      <c r="AF277" s="198"/>
      <c r="AG277" s="198"/>
      <c r="AH277" s="198"/>
      <c r="AI277" s="198"/>
      <c r="AJ277" s="198"/>
      <c r="AK277" s="198"/>
      <c r="AL277" s="198"/>
      <c r="AM277" s="52"/>
      <c r="AN277" s="52"/>
      <c r="AO277" s="52"/>
      <c r="AP277" s="52"/>
      <c r="AQ277" s="52"/>
    </row>
    <row r="278" spans="1:43">
      <c r="A278" s="331">
        <v>44917</v>
      </c>
      <c r="B278" s="332">
        <v>3822.39</v>
      </c>
      <c r="C278" s="30">
        <v>341.52</v>
      </c>
      <c r="D278" s="22">
        <f t="shared" si="8"/>
        <v>-5.8338231698753882E-3</v>
      </c>
      <c r="E278" s="22">
        <f t="shared" si="9"/>
        <v>-6.053550640279513E-3</v>
      </c>
      <c r="F278" s="12"/>
      <c r="G278" s="12"/>
      <c r="H278" s="3"/>
      <c r="I278" s="3"/>
      <c r="J278" s="3"/>
      <c r="K278" s="3"/>
      <c r="L278" s="3"/>
      <c r="M278" s="3"/>
      <c r="N278" s="3"/>
      <c r="O278" s="3"/>
      <c r="P278" s="3"/>
      <c r="Q278" s="3"/>
      <c r="R278" s="3"/>
      <c r="S278" s="3"/>
      <c r="T278" s="3"/>
      <c r="U278" s="3"/>
      <c r="V278" s="47"/>
      <c r="W278" s="47"/>
      <c r="X278" s="47"/>
      <c r="Y278" s="47"/>
      <c r="Z278" s="47"/>
      <c r="AA278" s="198"/>
      <c r="AB278" s="198"/>
      <c r="AC278" s="198"/>
      <c r="AD278" s="198"/>
      <c r="AE278" s="198"/>
      <c r="AF278" s="198"/>
      <c r="AG278" s="198"/>
      <c r="AH278" s="198"/>
      <c r="AI278" s="198"/>
      <c r="AJ278" s="198"/>
      <c r="AK278" s="198"/>
      <c r="AL278" s="198"/>
      <c r="AM278" s="52"/>
      <c r="AN278" s="52"/>
      <c r="AO278" s="52"/>
      <c r="AP278" s="52"/>
      <c r="AQ278" s="52"/>
    </row>
    <row r="279" spans="1:43">
      <c r="A279" s="331">
        <v>44916</v>
      </c>
      <c r="B279" s="332">
        <v>3878.44</v>
      </c>
      <c r="C279" s="30">
        <v>345.69</v>
      </c>
      <c r="D279" s="22">
        <f t="shared" si="8"/>
        <v>1.4663600522186428E-2</v>
      </c>
      <c r="E279" s="22">
        <f t="shared" si="9"/>
        <v>1.2210119465917125E-2</v>
      </c>
      <c r="F279" s="12"/>
      <c r="G279" s="12"/>
      <c r="H279" s="3"/>
      <c r="I279" s="3"/>
      <c r="J279" s="3"/>
      <c r="K279" s="3"/>
      <c r="L279" s="3"/>
      <c r="M279" s="3"/>
      <c r="N279" s="3"/>
      <c r="O279" s="3"/>
      <c r="P279" s="3"/>
      <c r="Q279" s="3"/>
      <c r="R279" s="3"/>
      <c r="S279" s="3"/>
      <c r="T279" s="3"/>
      <c r="U279" s="3"/>
      <c r="V279" s="47"/>
      <c r="W279" s="47"/>
      <c r="X279" s="47"/>
      <c r="Y279" s="47"/>
      <c r="Z279" s="47"/>
      <c r="AA279" s="198"/>
      <c r="AB279" s="198"/>
      <c r="AC279" s="198"/>
      <c r="AD279" s="198"/>
      <c r="AE279" s="198"/>
      <c r="AF279" s="198"/>
      <c r="AG279" s="198"/>
      <c r="AH279" s="198"/>
      <c r="AI279" s="198"/>
      <c r="AJ279" s="198"/>
      <c r="AK279" s="198"/>
      <c r="AL279" s="198"/>
      <c r="AM279" s="52"/>
      <c r="AN279" s="52"/>
      <c r="AO279" s="52"/>
      <c r="AP279" s="52"/>
      <c r="AQ279" s="52"/>
    </row>
    <row r="280" spans="1:43">
      <c r="A280" s="331">
        <v>44915</v>
      </c>
      <c r="B280" s="332">
        <v>3821.62</v>
      </c>
      <c r="C280" s="30">
        <v>342.95</v>
      </c>
      <c r="D280" s="22">
        <f t="shared" si="8"/>
        <v>-1.4650220191623478E-2</v>
      </c>
      <c r="E280" s="22">
        <f t="shared" si="9"/>
        <v>-7.9261766322427877E-3</v>
      </c>
      <c r="F280" s="12"/>
      <c r="G280" s="12"/>
      <c r="H280" s="3"/>
      <c r="I280" s="3"/>
      <c r="J280" s="3"/>
      <c r="K280" s="3"/>
      <c r="L280" s="3"/>
      <c r="M280" s="3"/>
      <c r="N280" s="3"/>
      <c r="O280" s="3"/>
      <c r="P280" s="3"/>
      <c r="Q280" s="3"/>
      <c r="R280" s="3"/>
      <c r="S280" s="3"/>
      <c r="T280" s="3"/>
      <c r="U280" s="3"/>
      <c r="V280" s="47"/>
      <c r="W280" s="47"/>
      <c r="X280" s="47"/>
      <c r="Y280" s="47"/>
      <c r="Z280" s="47"/>
      <c r="AA280" s="198"/>
      <c r="AB280" s="198"/>
      <c r="AC280" s="198"/>
      <c r="AD280" s="198"/>
      <c r="AE280" s="198"/>
      <c r="AF280" s="198"/>
      <c r="AG280" s="198"/>
      <c r="AH280" s="198"/>
      <c r="AI280" s="198"/>
      <c r="AJ280" s="198"/>
      <c r="AK280" s="198"/>
      <c r="AL280" s="198"/>
      <c r="AM280" s="52"/>
      <c r="AN280" s="52"/>
      <c r="AO280" s="52"/>
      <c r="AP280" s="52"/>
      <c r="AQ280" s="52"/>
    </row>
    <row r="281" spans="1:43">
      <c r="A281" s="331">
        <v>44914</v>
      </c>
      <c r="B281" s="332">
        <v>3817.66</v>
      </c>
      <c r="C281" s="30">
        <v>341.26</v>
      </c>
      <c r="D281" s="22">
        <f t="shared" si="8"/>
        <v>-1.0362097749122196E-3</v>
      </c>
      <c r="E281" s="22">
        <f t="shared" si="9"/>
        <v>-4.9278320454876736E-3</v>
      </c>
      <c r="F281" s="12"/>
      <c r="G281" s="12"/>
      <c r="H281" s="3"/>
      <c r="I281" s="3"/>
      <c r="J281" s="3"/>
      <c r="K281" s="3"/>
      <c r="L281" s="3"/>
      <c r="M281" s="3"/>
      <c r="N281" s="3"/>
      <c r="O281" s="3"/>
      <c r="P281" s="3"/>
      <c r="Q281" s="3"/>
      <c r="R281" s="3"/>
      <c r="S281" s="3"/>
      <c r="T281" s="3"/>
      <c r="U281" s="3"/>
      <c r="V281" s="47"/>
      <c r="W281" s="47"/>
      <c r="X281" s="47"/>
      <c r="Y281" s="47"/>
      <c r="Z281" s="47"/>
      <c r="AA281" s="198"/>
      <c r="AB281" s="198"/>
      <c r="AC281" s="198"/>
      <c r="AD281" s="198"/>
      <c r="AE281" s="198"/>
      <c r="AF281" s="198"/>
      <c r="AG281" s="198"/>
      <c r="AH281" s="198"/>
      <c r="AI281" s="198"/>
      <c r="AJ281" s="198"/>
      <c r="AK281" s="198"/>
      <c r="AL281" s="198"/>
      <c r="AM281" s="52"/>
      <c r="AN281" s="52"/>
      <c r="AO281" s="52"/>
      <c r="AP281" s="52"/>
      <c r="AQ281" s="52"/>
    </row>
    <row r="282" spans="1:43">
      <c r="A282" s="331">
        <v>44911</v>
      </c>
      <c r="B282" s="332">
        <v>3852.36</v>
      </c>
      <c r="C282" s="30">
        <v>345.84</v>
      </c>
      <c r="D282" s="22">
        <f t="shared" si="8"/>
        <v>9.089337447546475E-3</v>
      </c>
      <c r="E282" s="22">
        <f t="shared" si="9"/>
        <v>1.3420852136201091E-2</v>
      </c>
      <c r="F282" s="12"/>
      <c r="G282" s="12"/>
      <c r="H282" s="3"/>
      <c r="I282" s="3"/>
      <c r="J282" s="3"/>
      <c r="K282" s="3"/>
      <c r="L282" s="3"/>
      <c r="M282" s="3"/>
      <c r="N282" s="3"/>
      <c r="O282" s="3"/>
      <c r="P282" s="3"/>
      <c r="Q282" s="3"/>
      <c r="R282" s="3"/>
      <c r="S282" s="3"/>
      <c r="T282" s="3"/>
      <c r="U282" s="3"/>
      <c r="V282" s="47"/>
      <c r="W282" s="47"/>
      <c r="X282" s="47"/>
      <c r="Y282" s="47"/>
      <c r="Z282" s="47"/>
      <c r="AA282" s="198"/>
      <c r="AB282" s="198"/>
      <c r="AC282" s="198"/>
      <c r="AD282" s="198"/>
      <c r="AE282" s="198"/>
      <c r="AF282" s="198"/>
      <c r="AG282" s="198"/>
      <c r="AH282" s="198"/>
      <c r="AI282" s="198"/>
      <c r="AJ282" s="198"/>
      <c r="AK282" s="198"/>
      <c r="AL282" s="198"/>
      <c r="AM282" s="52"/>
      <c r="AN282" s="52"/>
      <c r="AO282" s="52"/>
      <c r="AP282" s="52"/>
      <c r="AQ282" s="52"/>
    </row>
    <row r="283" spans="1:43">
      <c r="A283" s="331">
        <v>44910</v>
      </c>
      <c r="B283" s="332">
        <v>3895.75</v>
      </c>
      <c r="C283" s="30">
        <v>346.25</v>
      </c>
      <c r="D283" s="22">
        <f t="shared" si="8"/>
        <v>1.1263225659076481E-2</v>
      </c>
      <c r="E283" s="22">
        <f t="shared" si="9"/>
        <v>1.1855193152903801E-3</v>
      </c>
      <c r="F283" s="12"/>
      <c r="G283" s="12"/>
      <c r="H283" s="3"/>
      <c r="I283" s="3"/>
      <c r="J283" s="3"/>
      <c r="K283" s="3"/>
      <c r="L283" s="3"/>
      <c r="M283" s="3"/>
      <c r="N283" s="3"/>
      <c r="O283" s="3"/>
      <c r="P283" s="3"/>
      <c r="Q283" s="3"/>
      <c r="R283" s="3"/>
      <c r="S283" s="3"/>
      <c r="T283" s="3"/>
      <c r="U283" s="3"/>
      <c r="V283" s="47"/>
      <c r="W283" s="47"/>
      <c r="X283" s="47"/>
      <c r="Y283" s="47"/>
      <c r="Z283" s="47"/>
      <c r="AA283" s="198"/>
      <c r="AB283" s="198"/>
      <c r="AC283" s="198"/>
      <c r="AD283" s="198"/>
      <c r="AE283" s="198"/>
      <c r="AF283" s="198"/>
      <c r="AG283" s="198"/>
      <c r="AH283" s="198"/>
      <c r="AI283" s="198"/>
      <c r="AJ283" s="198"/>
      <c r="AK283" s="198"/>
      <c r="AL283" s="198"/>
      <c r="AM283" s="52"/>
      <c r="AN283" s="52"/>
      <c r="AO283" s="52"/>
      <c r="AP283" s="52"/>
      <c r="AQ283" s="52"/>
    </row>
    <row r="284" spans="1:43">
      <c r="A284" s="331">
        <v>44909</v>
      </c>
      <c r="B284" s="332">
        <v>3995.32</v>
      </c>
      <c r="C284" s="30">
        <v>357.51</v>
      </c>
      <c r="D284" s="22">
        <f t="shared" si="8"/>
        <v>2.5558621574793085E-2</v>
      </c>
      <c r="E284" s="22">
        <f t="shared" si="9"/>
        <v>3.2519855595667842E-2</v>
      </c>
      <c r="F284" s="12"/>
      <c r="G284" s="12"/>
      <c r="H284" s="3"/>
      <c r="I284" s="3"/>
      <c r="J284" s="3"/>
      <c r="K284" s="3"/>
      <c r="L284" s="3"/>
      <c r="M284" s="3"/>
      <c r="N284" s="3"/>
      <c r="O284" s="3"/>
      <c r="P284" s="3"/>
      <c r="Q284" s="3"/>
      <c r="R284" s="3"/>
      <c r="S284" s="3"/>
      <c r="T284" s="3"/>
      <c r="U284" s="3"/>
      <c r="V284" s="47"/>
      <c r="W284" s="47"/>
      <c r="X284" s="47"/>
      <c r="Y284" s="47"/>
      <c r="Z284" s="47"/>
      <c r="AA284" s="198"/>
      <c r="AB284" s="198"/>
      <c r="AC284" s="198"/>
      <c r="AD284" s="198"/>
      <c r="AE284" s="198"/>
      <c r="AF284" s="198"/>
      <c r="AG284" s="198"/>
      <c r="AH284" s="198"/>
      <c r="AI284" s="198"/>
      <c r="AJ284" s="198"/>
      <c r="AK284" s="198"/>
      <c r="AL284" s="198"/>
      <c r="AM284" s="52"/>
      <c r="AN284" s="52"/>
      <c r="AO284" s="52"/>
      <c r="AP284" s="52"/>
      <c r="AQ284" s="52"/>
    </row>
    <row r="285" spans="1:43">
      <c r="A285" s="331">
        <v>44908</v>
      </c>
      <c r="B285" s="332">
        <v>4019.65</v>
      </c>
      <c r="C285" s="30">
        <v>357.15</v>
      </c>
      <c r="D285" s="22">
        <f t="shared" si="8"/>
        <v>6.089624861087454E-3</v>
      </c>
      <c r="E285" s="22">
        <f t="shared" si="9"/>
        <v>-1.0069648401443698E-3</v>
      </c>
      <c r="F285" s="12"/>
      <c r="G285" s="12"/>
      <c r="H285" s="3"/>
      <c r="I285" s="3"/>
      <c r="J285" s="3"/>
      <c r="K285" s="3"/>
      <c r="L285" s="3"/>
      <c r="M285" s="3"/>
      <c r="N285" s="3"/>
      <c r="O285" s="3"/>
      <c r="P285" s="3"/>
      <c r="Q285" s="3"/>
      <c r="R285" s="3"/>
      <c r="S285" s="3"/>
      <c r="T285" s="3"/>
      <c r="U285" s="3"/>
      <c r="V285" s="47"/>
      <c r="W285" s="47"/>
      <c r="X285" s="47"/>
      <c r="Y285" s="47"/>
      <c r="Z285" s="47"/>
      <c r="AA285" s="198"/>
      <c r="AB285" s="198"/>
      <c r="AC285" s="198"/>
      <c r="AD285" s="198"/>
      <c r="AE285" s="198"/>
      <c r="AF285" s="198"/>
      <c r="AG285" s="198"/>
      <c r="AH285" s="198"/>
      <c r="AI285" s="198"/>
      <c r="AJ285" s="198"/>
      <c r="AK285" s="198"/>
      <c r="AL285" s="198"/>
      <c r="AM285" s="52"/>
      <c r="AN285" s="52"/>
      <c r="AO285" s="52"/>
      <c r="AP285" s="52"/>
      <c r="AQ285" s="52"/>
    </row>
    <row r="286" spans="1:43">
      <c r="A286" s="331">
        <v>44907</v>
      </c>
      <c r="B286" s="332">
        <v>3990.56</v>
      </c>
      <c r="C286" s="30">
        <v>358.17</v>
      </c>
      <c r="D286" s="22">
        <f t="shared" si="8"/>
        <v>-7.2369484905402568E-3</v>
      </c>
      <c r="E286" s="22">
        <f t="shared" si="9"/>
        <v>2.8559428811424856E-3</v>
      </c>
      <c r="F286" s="12"/>
      <c r="G286" s="12"/>
      <c r="H286" s="3"/>
      <c r="I286" s="3"/>
      <c r="J286" s="3"/>
      <c r="K286" s="3"/>
      <c r="L286" s="3"/>
      <c r="M286" s="3"/>
      <c r="N286" s="3"/>
      <c r="O286" s="3"/>
      <c r="P286" s="3"/>
      <c r="Q286" s="3"/>
      <c r="R286" s="3"/>
      <c r="S286" s="3"/>
      <c r="T286" s="3"/>
      <c r="U286" s="3"/>
      <c r="V286" s="47"/>
      <c r="W286" s="47"/>
      <c r="X286" s="47"/>
      <c r="Y286" s="47"/>
      <c r="Z286" s="47"/>
      <c r="AA286" s="198"/>
      <c r="AB286" s="198"/>
      <c r="AC286" s="198"/>
      <c r="AD286" s="198"/>
      <c r="AE286" s="198"/>
      <c r="AF286" s="198"/>
      <c r="AG286" s="198"/>
      <c r="AH286" s="198"/>
      <c r="AI286" s="198"/>
      <c r="AJ286" s="198"/>
      <c r="AK286" s="198"/>
      <c r="AL286" s="198"/>
      <c r="AM286" s="52"/>
      <c r="AN286" s="52"/>
      <c r="AO286" s="52"/>
      <c r="AP286" s="52"/>
      <c r="AQ286" s="52"/>
    </row>
    <row r="287" spans="1:43">
      <c r="A287" s="331">
        <v>44904</v>
      </c>
      <c r="B287" s="332">
        <v>3934.38</v>
      </c>
      <c r="C287" s="30">
        <v>348.83</v>
      </c>
      <c r="D287" s="22">
        <f t="shared" si="8"/>
        <v>-1.4078224610079747E-2</v>
      </c>
      <c r="E287" s="22">
        <f t="shared" si="9"/>
        <v>-2.6077002540693055E-2</v>
      </c>
      <c r="F287" s="12"/>
      <c r="G287" s="12"/>
      <c r="H287" s="3"/>
      <c r="I287" s="3"/>
      <c r="J287" s="3"/>
      <c r="K287" s="3"/>
      <c r="L287" s="3"/>
      <c r="M287" s="3"/>
      <c r="N287" s="3"/>
      <c r="O287" s="3"/>
      <c r="P287" s="3"/>
      <c r="Q287" s="3"/>
      <c r="R287" s="3"/>
      <c r="S287" s="3"/>
      <c r="T287" s="3"/>
      <c r="U287" s="3"/>
      <c r="V287" s="47"/>
      <c r="W287" s="47"/>
      <c r="X287" s="47"/>
      <c r="Y287" s="47"/>
      <c r="Z287" s="47"/>
      <c r="AA287" s="198"/>
      <c r="AB287" s="198"/>
      <c r="AC287" s="198"/>
      <c r="AD287" s="198"/>
      <c r="AE287" s="198"/>
      <c r="AF287" s="198"/>
      <c r="AG287" s="198"/>
      <c r="AH287" s="198"/>
      <c r="AI287" s="198"/>
      <c r="AJ287" s="198"/>
      <c r="AK287" s="198"/>
      <c r="AL287" s="198"/>
      <c r="AM287" s="52"/>
      <c r="AN287" s="52"/>
      <c r="AO287" s="52"/>
      <c r="AP287" s="52"/>
      <c r="AQ287" s="52"/>
    </row>
    <row r="288" spans="1:43">
      <c r="A288" s="331">
        <v>44903</v>
      </c>
      <c r="B288" s="332">
        <v>3963.51</v>
      </c>
      <c r="C288" s="30">
        <v>351.17</v>
      </c>
      <c r="D288" s="22">
        <f t="shared" si="8"/>
        <v>7.403961996553487E-3</v>
      </c>
      <c r="E288" s="22">
        <f t="shared" si="9"/>
        <v>6.7081386348652123E-3</v>
      </c>
      <c r="F288" s="12"/>
      <c r="G288" s="12"/>
      <c r="H288" s="3"/>
      <c r="I288" s="3"/>
      <c r="J288" s="3"/>
      <c r="K288" s="3"/>
      <c r="L288" s="3"/>
      <c r="M288" s="3"/>
      <c r="N288" s="3"/>
      <c r="O288" s="3"/>
      <c r="P288" s="3"/>
      <c r="Q288" s="3"/>
      <c r="R288" s="3"/>
      <c r="S288" s="3"/>
      <c r="T288" s="3"/>
      <c r="U288" s="3"/>
      <c r="V288" s="47"/>
      <c r="W288" s="47"/>
      <c r="X288" s="47"/>
      <c r="Y288" s="47"/>
      <c r="Z288" s="47"/>
      <c r="AA288" s="198"/>
      <c r="AB288" s="198"/>
      <c r="AC288" s="198"/>
      <c r="AD288" s="198"/>
      <c r="AE288" s="198"/>
      <c r="AF288" s="198"/>
      <c r="AG288" s="198"/>
      <c r="AH288" s="198"/>
      <c r="AI288" s="198"/>
      <c r="AJ288" s="198"/>
      <c r="AK288" s="198"/>
      <c r="AL288" s="198"/>
      <c r="AM288" s="52"/>
      <c r="AN288" s="52"/>
      <c r="AO288" s="52"/>
      <c r="AP288" s="52"/>
      <c r="AQ288" s="52"/>
    </row>
    <row r="289" spans="1:43">
      <c r="A289" s="331">
        <v>44902</v>
      </c>
      <c r="B289" s="332">
        <v>3933.92</v>
      </c>
      <c r="C289" s="30">
        <v>347.42</v>
      </c>
      <c r="D289" s="22">
        <f t="shared" si="8"/>
        <v>-7.465604981443252E-3</v>
      </c>
      <c r="E289" s="22">
        <f t="shared" si="9"/>
        <v>-1.0678588717715065E-2</v>
      </c>
      <c r="F289" s="12"/>
      <c r="G289" s="12"/>
      <c r="H289" s="3"/>
      <c r="I289" s="3"/>
      <c r="J289" s="3"/>
      <c r="K289" s="3"/>
      <c r="L289" s="3"/>
      <c r="M289" s="3"/>
      <c r="N289" s="3"/>
      <c r="O289" s="3"/>
      <c r="P289" s="3"/>
      <c r="Q289" s="3"/>
      <c r="R289" s="3"/>
      <c r="S289" s="3"/>
      <c r="T289" s="3"/>
      <c r="U289" s="3"/>
      <c r="V289" s="47"/>
      <c r="W289" s="47"/>
      <c r="X289" s="47"/>
      <c r="Y289" s="47"/>
      <c r="Z289" s="47"/>
      <c r="AA289" s="198"/>
      <c r="AB289" s="198"/>
      <c r="AC289" s="198"/>
      <c r="AD289" s="198"/>
      <c r="AE289" s="198"/>
      <c r="AF289" s="198"/>
      <c r="AG289" s="198"/>
      <c r="AH289" s="198"/>
      <c r="AI289" s="198"/>
      <c r="AJ289" s="198"/>
      <c r="AK289" s="198"/>
      <c r="AL289" s="198"/>
      <c r="AM289" s="52"/>
      <c r="AN289" s="52"/>
      <c r="AO289" s="52"/>
      <c r="AP289" s="52"/>
      <c r="AQ289" s="52"/>
    </row>
    <row r="290" spans="1:43">
      <c r="A290" s="331">
        <v>44901</v>
      </c>
      <c r="B290" s="332">
        <v>3941.26</v>
      </c>
      <c r="C290" s="30">
        <v>347.53</v>
      </c>
      <c r="D290" s="22">
        <f t="shared" si="8"/>
        <v>1.8658234026111729E-3</v>
      </c>
      <c r="E290" s="22">
        <f t="shared" si="9"/>
        <v>3.1661965344527312E-4</v>
      </c>
      <c r="F290" s="12"/>
      <c r="G290" s="12"/>
      <c r="H290" s="3"/>
      <c r="I290" s="3"/>
      <c r="J290" s="3"/>
      <c r="K290" s="3"/>
      <c r="L290" s="3"/>
      <c r="M290" s="3"/>
      <c r="N290" s="3"/>
      <c r="O290" s="3"/>
      <c r="P290" s="3"/>
      <c r="Q290" s="3"/>
      <c r="R290" s="3"/>
      <c r="S290" s="3"/>
      <c r="T290" s="3"/>
      <c r="U290" s="3"/>
      <c r="V290" s="47"/>
      <c r="W290" s="47"/>
      <c r="X290" s="47"/>
      <c r="Y290" s="47"/>
      <c r="Z290" s="47"/>
      <c r="AA290" s="198"/>
      <c r="AB290" s="198"/>
      <c r="AC290" s="198"/>
      <c r="AD290" s="198"/>
      <c r="AE290" s="198"/>
      <c r="AF290" s="198"/>
      <c r="AG290" s="198"/>
      <c r="AH290" s="198"/>
      <c r="AI290" s="198"/>
      <c r="AJ290" s="198"/>
      <c r="AK290" s="198"/>
      <c r="AL290" s="198"/>
      <c r="AM290" s="52"/>
      <c r="AN290" s="52"/>
      <c r="AO290" s="52"/>
      <c r="AP290" s="52"/>
      <c r="AQ290" s="52"/>
    </row>
    <row r="291" spans="1:43">
      <c r="A291" s="331">
        <v>44900</v>
      </c>
      <c r="B291" s="332">
        <v>3998.84</v>
      </c>
      <c r="C291" s="30">
        <v>356.09</v>
      </c>
      <c r="D291" s="22">
        <f t="shared" si="8"/>
        <v>1.4609541111218221E-2</v>
      </c>
      <c r="E291" s="22">
        <f t="shared" si="9"/>
        <v>2.4630967110753035E-2</v>
      </c>
      <c r="F291" s="12"/>
      <c r="G291" s="12"/>
      <c r="H291" s="3"/>
      <c r="I291" s="3"/>
      <c r="J291" s="3"/>
      <c r="K291" s="3"/>
      <c r="L291" s="3"/>
      <c r="M291" s="3"/>
      <c r="N291" s="3"/>
      <c r="O291" s="3"/>
      <c r="P291" s="3"/>
      <c r="Q291" s="3"/>
      <c r="R291" s="3"/>
      <c r="S291" s="3"/>
      <c r="T291" s="3"/>
      <c r="U291" s="3"/>
      <c r="V291" s="47"/>
      <c r="W291" s="47"/>
      <c r="X291" s="47"/>
      <c r="Y291" s="47"/>
      <c r="Z291" s="47"/>
      <c r="AA291" s="198"/>
      <c r="AB291" s="198"/>
      <c r="AC291" s="198"/>
      <c r="AD291" s="198"/>
      <c r="AE291" s="198"/>
      <c r="AF291" s="198"/>
      <c r="AG291" s="198"/>
      <c r="AH291" s="198"/>
      <c r="AI291" s="198"/>
      <c r="AJ291" s="198"/>
      <c r="AK291" s="198"/>
      <c r="AL291" s="198"/>
      <c r="AM291" s="52"/>
      <c r="AN291" s="52"/>
      <c r="AO291" s="52"/>
      <c r="AP291" s="52"/>
      <c r="AQ291" s="52"/>
    </row>
    <row r="292" spans="1:43">
      <c r="A292" s="331">
        <v>44897</v>
      </c>
      <c r="B292" s="332">
        <v>4071.7</v>
      </c>
      <c r="C292" s="30">
        <v>360.06</v>
      </c>
      <c r="D292" s="22">
        <f t="shared" si="8"/>
        <v>1.8220283882325793E-2</v>
      </c>
      <c r="E292" s="22">
        <f t="shared" si="9"/>
        <v>1.1148866859501888E-2</v>
      </c>
      <c r="F292" s="12"/>
      <c r="G292" s="12"/>
      <c r="H292" s="3"/>
      <c r="I292" s="3"/>
      <c r="J292" s="3"/>
      <c r="K292" s="3"/>
      <c r="L292" s="3"/>
      <c r="M292" s="3"/>
      <c r="N292" s="3"/>
      <c r="O292" s="3"/>
      <c r="P292" s="3"/>
      <c r="Q292" s="3"/>
      <c r="R292" s="3"/>
      <c r="S292" s="3"/>
      <c r="T292" s="3"/>
      <c r="U292" s="3"/>
      <c r="V292" s="47"/>
      <c r="W292" s="47"/>
      <c r="X292" s="47"/>
      <c r="Y292" s="47"/>
      <c r="Z292" s="47"/>
      <c r="AA292" s="198"/>
      <c r="AB292" s="198"/>
      <c r="AC292" s="198"/>
      <c r="AD292" s="198"/>
      <c r="AE292" s="198"/>
      <c r="AF292" s="198"/>
      <c r="AG292" s="198"/>
      <c r="AH292" s="198"/>
      <c r="AI292" s="198"/>
      <c r="AJ292" s="198"/>
      <c r="AK292" s="198"/>
      <c r="AL292" s="198"/>
      <c r="AM292" s="52"/>
      <c r="AN292" s="52"/>
      <c r="AO292" s="52"/>
      <c r="AP292" s="52"/>
      <c r="AQ292" s="52"/>
    </row>
    <row r="293" spans="1:43">
      <c r="A293" s="331">
        <v>44896</v>
      </c>
      <c r="B293" s="332">
        <v>4076.57</v>
      </c>
      <c r="C293" s="30">
        <v>360.8</v>
      </c>
      <c r="D293" s="22">
        <f t="shared" si="8"/>
        <v>1.1960606135030445E-3</v>
      </c>
      <c r="E293" s="22">
        <f t="shared" si="9"/>
        <v>2.0552130200522387E-3</v>
      </c>
      <c r="F293" s="12"/>
      <c r="G293" s="12"/>
      <c r="H293" s="3"/>
      <c r="I293" s="3"/>
      <c r="J293" s="3"/>
      <c r="K293" s="3"/>
      <c r="L293" s="3"/>
      <c r="M293" s="3"/>
      <c r="N293" s="3"/>
      <c r="O293" s="3"/>
      <c r="P293" s="3"/>
      <c r="Q293" s="3"/>
      <c r="R293" s="3"/>
      <c r="S293" s="3"/>
      <c r="T293" s="3"/>
      <c r="U293" s="3"/>
      <c r="V293" s="47"/>
      <c r="W293" s="47"/>
      <c r="X293" s="47"/>
      <c r="Y293" s="47"/>
      <c r="Z293" s="47"/>
      <c r="AA293" s="198"/>
      <c r="AB293" s="198"/>
      <c r="AC293" s="198"/>
      <c r="AD293" s="198"/>
      <c r="AE293" s="198"/>
      <c r="AF293" s="198"/>
      <c r="AG293" s="198"/>
      <c r="AH293" s="198"/>
      <c r="AI293" s="198"/>
      <c r="AJ293" s="198"/>
      <c r="AK293" s="198"/>
      <c r="AL293" s="198"/>
      <c r="AM293" s="52"/>
      <c r="AN293" s="52"/>
      <c r="AO293" s="52"/>
      <c r="AP293" s="52"/>
      <c r="AQ293" s="52"/>
    </row>
    <row r="294" spans="1:43">
      <c r="A294" s="331">
        <v>44895</v>
      </c>
      <c r="B294" s="332">
        <v>4080.11</v>
      </c>
      <c r="C294" s="30">
        <v>356.4</v>
      </c>
      <c r="D294" s="22">
        <f t="shared" si="8"/>
        <v>8.6837709152546465E-4</v>
      </c>
      <c r="E294" s="22">
        <f t="shared" si="9"/>
        <v>-1.2195121951219606E-2</v>
      </c>
      <c r="F294" s="12"/>
      <c r="G294" s="12"/>
      <c r="H294" s="3"/>
      <c r="I294" s="3"/>
      <c r="J294" s="3"/>
      <c r="K294" s="3"/>
      <c r="L294" s="3"/>
      <c r="M294" s="3"/>
      <c r="N294" s="3"/>
      <c r="O294" s="3"/>
      <c r="P294" s="3"/>
      <c r="Q294" s="3"/>
      <c r="R294" s="3"/>
      <c r="S294" s="3"/>
      <c r="T294" s="3"/>
      <c r="U294" s="3"/>
      <c r="V294" s="47"/>
      <c r="W294" s="47"/>
      <c r="X294" s="47"/>
      <c r="Y294" s="47"/>
      <c r="Z294" s="47"/>
      <c r="AA294" s="198"/>
      <c r="AB294" s="198"/>
      <c r="AC294" s="198"/>
      <c r="AD294" s="198"/>
      <c r="AE294" s="198"/>
      <c r="AF294" s="198"/>
      <c r="AG294" s="198"/>
      <c r="AH294" s="198"/>
      <c r="AI294" s="198"/>
      <c r="AJ294" s="198"/>
      <c r="AK294" s="198"/>
      <c r="AL294" s="198"/>
      <c r="AM294" s="52"/>
      <c r="AN294" s="52"/>
      <c r="AO294" s="52"/>
      <c r="AP294" s="52"/>
      <c r="AQ294" s="52"/>
    </row>
    <row r="295" spans="1:43">
      <c r="A295" s="331">
        <v>44894</v>
      </c>
      <c r="B295" s="332">
        <v>3957.63</v>
      </c>
      <c r="C295" s="30">
        <v>343.13</v>
      </c>
      <c r="D295" s="22">
        <f t="shared" si="8"/>
        <v>-3.0018798512785199E-2</v>
      </c>
      <c r="E295" s="22">
        <f t="shared" si="9"/>
        <v>-3.723344556677885E-2</v>
      </c>
      <c r="F295" s="12"/>
      <c r="G295" s="12"/>
      <c r="H295" s="3"/>
      <c r="I295" s="3"/>
      <c r="J295" s="3"/>
      <c r="K295" s="3"/>
      <c r="L295" s="3"/>
      <c r="M295" s="3"/>
      <c r="N295" s="3"/>
      <c r="O295" s="3"/>
      <c r="P295" s="3"/>
      <c r="Q295" s="3"/>
      <c r="R295" s="3"/>
      <c r="S295" s="3"/>
      <c r="T295" s="3"/>
      <c r="U295" s="3"/>
      <c r="V295" s="47"/>
      <c r="W295" s="47"/>
      <c r="X295" s="47"/>
      <c r="Y295" s="47"/>
      <c r="Z295" s="47"/>
      <c r="AA295" s="198"/>
      <c r="AB295" s="198"/>
      <c r="AC295" s="198"/>
      <c r="AD295" s="198"/>
      <c r="AE295" s="198"/>
      <c r="AF295" s="198"/>
      <c r="AG295" s="198"/>
      <c r="AH295" s="198"/>
      <c r="AI295" s="198"/>
      <c r="AJ295" s="198"/>
      <c r="AK295" s="198"/>
      <c r="AL295" s="198"/>
      <c r="AM295" s="52"/>
      <c r="AN295" s="52"/>
      <c r="AO295" s="52"/>
      <c r="AP295" s="52"/>
      <c r="AQ295" s="52"/>
    </row>
    <row r="296" spans="1:43">
      <c r="A296" s="331">
        <v>44893</v>
      </c>
      <c r="B296" s="332">
        <v>3963.94</v>
      </c>
      <c r="C296" s="30">
        <v>344.59</v>
      </c>
      <c r="D296" s="22">
        <f t="shared" si="8"/>
        <v>1.5943885608305842E-3</v>
      </c>
      <c r="E296" s="22">
        <f t="shared" si="9"/>
        <v>4.2549471045958661E-3</v>
      </c>
      <c r="F296" s="12"/>
      <c r="G296" s="12"/>
      <c r="H296" s="3"/>
      <c r="I296" s="3"/>
      <c r="J296" s="3"/>
      <c r="K296" s="3"/>
      <c r="L296" s="3"/>
      <c r="M296" s="3"/>
      <c r="N296" s="3"/>
      <c r="O296" s="3"/>
      <c r="P296" s="3"/>
      <c r="Q296" s="3"/>
      <c r="R296" s="3"/>
      <c r="S296" s="3"/>
      <c r="T296" s="3"/>
      <c r="U296" s="3"/>
      <c r="V296" s="47"/>
      <c r="W296" s="47"/>
      <c r="X296" s="47"/>
      <c r="Y296" s="47"/>
      <c r="Z296" s="47"/>
      <c r="AA296" s="198"/>
      <c r="AB296" s="198"/>
      <c r="AC296" s="198"/>
      <c r="AD296" s="198"/>
      <c r="AE296" s="198"/>
      <c r="AF296" s="198"/>
      <c r="AG296" s="198"/>
      <c r="AH296" s="198"/>
      <c r="AI296" s="198"/>
      <c r="AJ296" s="198"/>
      <c r="AK296" s="198"/>
      <c r="AL296" s="198"/>
      <c r="AM296" s="52"/>
      <c r="AN296" s="52"/>
      <c r="AO296" s="52"/>
      <c r="AP296" s="52"/>
      <c r="AQ296" s="52"/>
    </row>
    <row r="297" spans="1:43">
      <c r="A297" s="331">
        <v>44890</v>
      </c>
      <c r="B297" s="332">
        <v>4026.12</v>
      </c>
      <c r="C297" s="30">
        <v>351.29</v>
      </c>
      <c r="D297" s="22">
        <f t="shared" si="8"/>
        <v>1.5686413013314995E-2</v>
      </c>
      <c r="E297" s="22">
        <f t="shared" si="9"/>
        <v>1.9443396500188764E-2</v>
      </c>
      <c r="F297" s="12"/>
      <c r="G297" s="12"/>
      <c r="H297" s="3"/>
      <c r="I297" s="3"/>
      <c r="J297" s="3"/>
      <c r="K297" s="3"/>
      <c r="L297" s="3"/>
      <c r="M297" s="3"/>
      <c r="N297" s="3"/>
      <c r="O297" s="3"/>
      <c r="P297" s="3"/>
      <c r="Q297" s="3"/>
      <c r="R297" s="3"/>
      <c r="S297" s="3"/>
      <c r="T297" s="3"/>
      <c r="U297" s="3"/>
      <c r="V297" s="47"/>
      <c r="W297" s="47"/>
      <c r="X297" s="47"/>
      <c r="Y297" s="47"/>
      <c r="Z297" s="47"/>
      <c r="AA297" s="198"/>
      <c r="AB297" s="198"/>
      <c r="AC297" s="198"/>
      <c r="AD297" s="198"/>
      <c r="AE297" s="198"/>
      <c r="AF297" s="198"/>
      <c r="AG297" s="198"/>
      <c r="AH297" s="198"/>
      <c r="AI297" s="198"/>
      <c r="AJ297" s="198"/>
      <c r="AK297" s="198"/>
      <c r="AL297" s="198"/>
      <c r="AM297" s="52"/>
      <c r="AN297" s="52"/>
      <c r="AO297" s="52"/>
      <c r="AP297" s="52"/>
      <c r="AQ297" s="52"/>
    </row>
    <row r="298" spans="1:43">
      <c r="A298" s="331">
        <v>44888</v>
      </c>
      <c r="B298" s="332">
        <v>4027.26</v>
      </c>
      <c r="C298" s="30">
        <v>348.64</v>
      </c>
      <c r="D298" s="22">
        <f t="shared" si="8"/>
        <v>2.831510238145727E-4</v>
      </c>
      <c r="E298" s="22">
        <f t="shared" si="9"/>
        <v>-7.5436249252755104E-3</v>
      </c>
      <c r="F298" s="12"/>
      <c r="G298" s="12"/>
      <c r="H298" s="3"/>
      <c r="I298" s="3"/>
      <c r="J298" s="3"/>
      <c r="K298" s="3"/>
      <c r="L298" s="3"/>
      <c r="M298" s="3"/>
      <c r="N298" s="3"/>
      <c r="O298" s="3"/>
      <c r="P298" s="3"/>
      <c r="Q298" s="3"/>
      <c r="R298" s="3"/>
      <c r="S298" s="3"/>
      <c r="T298" s="3"/>
      <c r="U298" s="3"/>
      <c r="V298" s="47"/>
      <c r="W298" s="47"/>
      <c r="X298" s="47"/>
      <c r="Y298" s="47"/>
      <c r="Z298" s="47"/>
      <c r="AA298" s="198"/>
      <c r="AB298" s="198"/>
      <c r="AC298" s="198"/>
      <c r="AD298" s="198"/>
      <c r="AE298" s="198"/>
      <c r="AF298" s="198"/>
      <c r="AG298" s="198"/>
      <c r="AH298" s="198"/>
      <c r="AI298" s="198"/>
      <c r="AJ298" s="198"/>
      <c r="AK298" s="198"/>
      <c r="AL298" s="198"/>
      <c r="AM298" s="52"/>
      <c r="AN298" s="52"/>
      <c r="AO298" s="52"/>
      <c r="AP298" s="52"/>
      <c r="AQ298" s="52"/>
    </row>
    <row r="299" spans="1:43">
      <c r="A299" s="331">
        <v>44887</v>
      </c>
      <c r="B299" s="332">
        <v>4003.58</v>
      </c>
      <c r="C299" s="30">
        <v>344.96</v>
      </c>
      <c r="D299" s="22">
        <f t="shared" si="8"/>
        <v>-5.879928288712497E-3</v>
      </c>
      <c r="E299" s="22">
        <f t="shared" si="9"/>
        <v>-1.0555300596603966E-2</v>
      </c>
      <c r="F299" s="12"/>
      <c r="G299" s="12"/>
      <c r="H299" s="3"/>
      <c r="I299" s="3"/>
      <c r="J299" s="3"/>
      <c r="K299" s="3"/>
      <c r="L299" s="3"/>
      <c r="M299" s="3"/>
      <c r="N299" s="3"/>
      <c r="O299" s="3"/>
      <c r="P299" s="3"/>
      <c r="Q299" s="3"/>
      <c r="R299" s="3"/>
      <c r="S299" s="3"/>
      <c r="T299" s="3"/>
      <c r="U299" s="3"/>
      <c r="V299" s="47"/>
      <c r="W299" s="47"/>
      <c r="X299" s="47"/>
      <c r="Y299" s="47"/>
      <c r="Z299" s="47"/>
      <c r="AA299" s="198"/>
      <c r="AB299" s="198"/>
      <c r="AC299" s="198"/>
      <c r="AD299" s="198"/>
      <c r="AE299" s="198"/>
      <c r="AF299" s="198"/>
      <c r="AG299" s="198"/>
      <c r="AH299" s="198"/>
      <c r="AI299" s="198"/>
      <c r="AJ299" s="198"/>
      <c r="AK299" s="198"/>
      <c r="AL299" s="198"/>
      <c r="AM299" s="52"/>
      <c r="AN299" s="52"/>
      <c r="AO299" s="52"/>
      <c r="AP299" s="52"/>
      <c r="AQ299" s="52"/>
    </row>
    <row r="300" spans="1:43">
      <c r="A300" s="331">
        <v>44886</v>
      </c>
      <c r="B300" s="332">
        <v>3949.94</v>
      </c>
      <c r="C300" s="30">
        <v>338.25</v>
      </c>
      <c r="D300" s="22">
        <f t="shared" si="8"/>
        <v>-1.3398008782139953E-2</v>
      </c>
      <c r="E300" s="22">
        <f t="shared" si="9"/>
        <v>-1.945153061224484E-2</v>
      </c>
      <c r="F300" s="12"/>
      <c r="G300" s="12"/>
      <c r="H300" s="3"/>
      <c r="I300" s="3"/>
      <c r="J300" s="3"/>
      <c r="K300" s="3"/>
      <c r="L300" s="3"/>
      <c r="M300" s="3"/>
      <c r="N300" s="3"/>
      <c r="O300" s="3"/>
      <c r="P300" s="3"/>
      <c r="Q300" s="3"/>
      <c r="R300" s="3"/>
      <c r="S300" s="3"/>
      <c r="T300" s="3"/>
      <c r="U300" s="3"/>
      <c r="V300" s="47"/>
      <c r="W300" s="47"/>
      <c r="X300" s="47"/>
      <c r="Y300" s="47"/>
      <c r="Z300" s="47"/>
      <c r="AA300" s="198"/>
      <c r="AB300" s="198"/>
      <c r="AC300" s="198"/>
      <c r="AD300" s="198"/>
      <c r="AE300" s="198"/>
      <c r="AF300" s="198"/>
      <c r="AG300" s="198"/>
      <c r="AH300" s="198"/>
      <c r="AI300" s="198"/>
      <c r="AJ300" s="198"/>
      <c r="AK300" s="198"/>
      <c r="AL300" s="198"/>
      <c r="AM300" s="52"/>
      <c r="AN300" s="52"/>
      <c r="AO300" s="52"/>
      <c r="AP300" s="52"/>
      <c r="AQ300" s="52"/>
    </row>
    <row r="301" spans="1:43">
      <c r="A301" s="331">
        <v>44883</v>
      </c>
      <c r="B301" s="332">
        <v>3965.34</v>
      </c>
      <c r="C301" s="30">
        <v>343.69</v>
      </c>
      <c r="D301" s="22">
        <f t="shared" si="8"/>
        <v>3.8987933993934313E-3</v>
      </c>
      <c r="E301" s="22">
        <f t="shared" si="9"/>
        <v>1.6082779009608271E-2</v>
      </c>
      <c r="F301" s="12"/>
      <c r="G301" s="12"/>
      <c r="H301" s="3"/>
      <c r="I301" s="3"/>
      <c r="J301" s="3"/>
      <c r="K301" s="3"/>
      <c r="L301" s="3"/>
      <c r="M301" s="3"/>
      <c r="N301" s="3"/>
      <c r="O301" s="3"/>
      <c r="P301" s="3"/>
      <c r="Q301" s="3"/>
      <c r="R301" s="3"/>
      <c r="S301" s="3"/>
      <c r="T301" s="3"/>
      <c r="U301" s="3"/>
      <c r="V301" s="47"/>
      <c r="W301" s="47"/>
      <c r="X301" s="47"/>
      <c r="Y301" s="47"/>
      <c r="Z301" s="47"/>
      <c r="AA301" s="198"/>
      <c r="AB301" s="198"/>
      <c r="AC301" s="198"/>
      <c r="AD301" s="198"/>
      <c r="AE301" s="198"/>
      <c r="AF301" s="198"/>
      <c r="AG301" s="198"/>
      <c r="AH301" s="198"/>
      <c r="AI301" s="198"/>
      <c r="AJ301" s="198"/>
      <c r="AK301" s="198"/>
      <c r="AL301" s="198"/>
      <c r="AM301" s="52"/>
      <c r="AN301" s="52"/>
      <c r="AO301" s="52"/>
      <c r="AP301" s="52"/>
      <c r="AQ301" s="52"/>
    </row>
    <row r="302" spans="1:43">
      <c r="A302" s="331">
        <v>44882</v>
      </c>
      <c r="B302" s="332">
        <v>3946.56</v>
      </c>
      <c r="C302" s="30">
        <v>341.27</v>
      </c>
      <c r="D302" s="22">
        <f t="shared" si="8"/>
        <v>-4.7360377672532993E-3</v>
      </c>
      <c r="E302" s="22">
        <f t="shared" si="9"/>
        <v>-7.0412290145189446E-3</v>
      </c>
      <c r="F302" s="12"/>
      <c r="G302" s="12"/>
      <c r="H302" s="3"/>
      <c r="I302" s="3"/>
      <c r="J302" s="3"/>
      <c r="K302" s="3"/>
      <c r="L302" s="3"/>
      <c r="M302" s="3"/>
      <c r="N302" s="3"/>
      <c r="O302" s="3"/>
      <c r="P302" s="3"/>
      <c r="Q302" s="3"/>
      <c r="R302" s="3"/>
      <c r="S302" s="3"/>
      <c r="T302" s="3"/>
      <c r="U302" s="3"/>
      <c r="V302" s="47"/>
      <c r="W302" s="47"/>
      <c r="X302" s="47"/>
      <c r="Y302" s="47"/>
      <c r="Z302" s="47"/>
      <c r="AA302" s="198"/>
      <c r="AB302" s="198"/>
      <c r="AC302" s="198"/>
      <c r="AD302" s="198"/>
      <c r="AE302" s="198"/>
      <c r="AF302" s="198"/>
      <c r="AG302" s="198"/>
      <c r="AH302" s="198"/>
      <c r="AI302" s="198"/>
      <c r="AJ302" s="198"/>
      <c r="AK302" s="198"/>
      <c r="AL302" s="198"/>
      <c r="AM302" s="52"/>
      <c r="AN302" s="52"/>
      <c r="AO302" s="52"/>
      <c r="AP302" s="52"/>
      <c r="AQ302" s="52"/>
    </row>
    <row r="303" spans="1:43">
      <c r="A303" s="331">
        <v>44881</v>
      </c>
      <c r="B303" s="332">
        <v>3958.79</v>
      </c>
      <c r="C303" s="30">
        <v>342.76</v>
      </c>
      <c r="D303" s="22">
        <f t="shared" si="8"/>
        <v>3.0989013216573469E-3</v>
      </c>
      <c r="E303" s="22">
        <f t="shared" si="9"/>
        <v>4.3660444809095703E-3</v>
      </c>
      <c r="F303" s="12"/>
      <c r="G303" s="12"/>
      <c r="H303" s="3"/>
      <c r="I303" s="3"/>
      <c r="J303" s="3"/>
      <c r="K303" s="3"/>
      <c r="L303" s="3"/>
      <c r="M303" s="3"/>
      <c r="N303" s="3"/>
      <c r="O303" s="3"/>
      <c r="P303" s="3"/>
      <c r="Q303" s="3"/>
      <c r="R303" s="3"/>
      <c r="S303" s="3"/>
      <c r="T303" s="3"/>
      <c r="U303" s="3"/>
      <c r="V303" s="47"/>
      <c r="W303" s="47"/>
      <c r="X303" s="47"/>
      <c r="Y303" s="47"/>
      <c r="Z303" s="47"/>
      <c r="AA303" s="198"/>
      <c r="AB303" s="198"/>
      <c r="AC303" s="198"/>
      <c r="AD303" s="198"/>
      <c r="AE303" s="198"/>
      <c r="AF303" s="198"/>
      <c r="AG303" s="198"/>
      <c r="AH303" s="198"/>
      <c r="AI303" s="198"/>
      <c r="AJ303" s="198"/>
      <c r="AK303" s="198"/>
      <c r="AL303" s="198"/>
      <c r="AM303" s="52"/>
      <c r="AN303" s="52"/>
      <c r="AO303" s="52"/>
      <c r="AP303" s="52"/>
      <c r="AQ303" s="52"/>
    </row>
    <row r="304" spans="1:43">
      <c r="A304" s="331">
        <v>44880</v>
      </c>
      <c r="B304" s="332">
        <v>3991.73</v>
      </c>
      <c r="C304" s="30">
        <v>343.51</v>
      </c>
      <c r="D304" s="22">
        <f t="shared" si="8"/>
        <v>8.3207242617062416E-3</v>
      </c>
      <c r="E304" s="22">
        <f t="shared" si="9"/>
        <v>2.1881199673240751E-3</v>
      </c>
      <c r="F304" s="12"/>
      <c r="G304" s="12"/>
      <c r="H304" s="3"/>
      <c r="I304" s="3"/>
      <c r="J304" s="3"/>
      <c r="K304" s="3"/>
      <c r="L304" s="3"/>
      <c r="M304" s="3"/>
      <c r="N304" s="3"/>
      <c r="O304" s="3"/>
      <c r="P304" s="3"/>
      <c r="Q304" s="3"/>
      <c r="R304" s="3"/>
      <c r="S304" s="3"/>
      <c r="T304" s="3"/>
      <c r="U304" s="3"/>
      <c r="V304" s="47"/>
      <c r="W304" s="47"/>
      <c r="X304" s="47"/>
      <c r="Y304" s="47"/>
      <c r="Z304" s="47"/>
      <c r="AA304" s="198"/>
      <c r="AB304" s="198"/>
      <c r="AC304" s="198"/>
      <c r="AD304" s="198"/>
      <c r="AE304" s="198"/>
      <c r="AF304" s="198"/>
      <c r="AG304" s="198"/>
      <c r="AH304" s="198"/>
      <c r="AI304" s="198"/>
      <c r="AJ304" s="198"/>
      <c r="AK304" s="198"/>
      <c r="AL304" s="198"/>
      <c r="AM304" s="52"/>
      <c r="AN304" s="52"/>
      <c r="AO304" s="52"/>
      <c r="AP304" s="52"/>
      <c r="AQ304" s="52"/>
    </row>
    <row r="305" spans="1:43">
      <c r="A305" s="331">
        <v>44879</v>
      </c>
      <c r="B305" s="332">
        <v>3957.25</v>
      </c>
      <c r="C305" s="30">
        <v>339.37</v>
      </c>
      <c r="D305" s="22">
        <f t="shared" si="8"/>
        <v>-8.637858773013209E-3</v>
      </c>
      <c r="E305" s="22">
        <f t="shared" si="9"/>
        <v>-1.2052050886437037E-2</v>
      </c>
      <c r="F305" s="12"/>
      <c r="G305" s="12"/>
      <c r="H305" s="3"/>
      <c r="I305" s="3"/>
      <c r="J305" s="3"/>
      <c r="K305" s="3"/>
      <c r="L305" s="3"/>
      <c r="M305" s="3"/>
      <c r="N305" s="3"/>
      <c r="O305" s="3"/>
      <c r="P305" s="3"/>
      <c r="Q305" s="3"/>
      <c r="R305" s="3"/>
      <c r="S305" s="3"/>
      <c r="T305" s="3"/>
      <c r="U305" s="3"/>
      <c r="V305" s="47"/>
      <c r="W305" s="47"/>
      <c r="X305" s="47"/>
      <c r="Y305" s="47"/>
      <c r="Z305" s="47"/>
      <c r="AA305" s="198"/>
      <c r="AB305" s="198"/>
      <c r="AC305" s="198"/>
      <c r="AD305" s="198"/>
      <c r="AE305" s="198"/>
      <c r="AF305" s="198"/>
      <c r="AG305" s="198"/>
      <c r="AH305" s="198"/>
      <c r="AI305" s="198"/>
      <c r="AJ305" s="198"/>
      <c r="AK305" s="198"/>
      <c r="AL305" s="198"/>
      <c r="AM305" s="52"/>
      <c r="AN305" s="52"/>
      <c r="AO305" s="52"/>
      <c r="AP305" s="52"/>
      <c r="AQ305" s="52"/>
    </row>
    <row r="306" spans="1:43">
      <c r="A306" s="331">
        <v>44876</v>
      </c>
      <c r="B306" s="332">
        <v>3992.93</v>
      </c>
      <c r="C306" s="30">
        <v>339.29</v>
      </c>
      <c r="D306" s="22">
        <f t="shared" si="8"/>
        <v>9.0163623728598992E-3</v>
      </c>
      <c r="E306" s="22">
        <f t="shared" si="9"/>
        <v>-2.3573091316257796E-4</v>
      </c>
      <c r="F306" s="12"/>
      <c r="G306" s="12"/>
      <c r="H306" s="3"/>
      <c r="I306" s="3"/>
      <c r="J306" s="3"/>
      <c r="K306" s="3"/>
      <c r="L306" s="3"/>
      <c r="M306" s="3"/>
      <c r="N306" s="3"/>
      <c r="O306" s="3"/>
      <c r="P306" s="3"/>
      <c r="Q306" s="3"/>
      <c r="R306" s="3"/>
      <c r="S306" s="3"/>
      <c r="T306" s="3"/>
      <c r="U306" s="3"/>
      <c r="V306" s="47"/>
      <c r="W306" s="47"/>
      <c r="X306" s="47"/>
      <c r="Y306" s="47"/>
      <c r="Z306" s="47"/>
      <c r="AA306" s="198"/>
      <c r="AB306" s="198"/>
      <c r="AC306" s="198"/>
      <c r="AD306" s="198"/>
      <c r="AE306" s="198"/>
      <c r="AF306" s="198"/>
      <c r="AG306" s="198"/>
      <c r="AH306" s="198"/>
      <c r="AI306" s="198"/>
      <c r="AJ306" s="198"/>
      <c r="AK306" s="198"/>
      <c r="AL306" s="198"/>
      <c r="AM306" s="52"/>
      <c r="AN306" s="52"/>
      <c r="AO306" s="52"/>
      <c r="AP306" s="52"/>
      <c r="AQ306" s="52"/>
    </row>
    <row r="307" spans="1:43">
      <c r="A307" s="331">
        <v>44875</v>
      </c>
      <c r="B307" s="332">
        <v>3956.37</v>
      </c>
      <c r="C307" s="30">
        <v>337.27</v>
      </c>
      <c r="D307" s="22">
        <f t="shared" si="8"/>
        <v>-9.1561835544324462E-3</v>
      </c>
      <c r="E307" s="22">
        <f t="shared" si="9"/>
        <v>-5.9536090070442353E-3</v>
      </c>
      <c r="F307" s="12"/>
      <c r="G307" s="12"/>
      <c r="H307" s="3"/>
      <c r="I307" s="3"/>
      <c r="J307" s="3"/>
      <c r="K307" s="3"/>
      <c r="L307" s="3"/>
      <c r="M307" s="3"/>
      <c r="N307" s="3"/>
      <c r="O307" s="3"/>
      <c r="P307" s="3"/>
      <c r="Q307" s="3"/>
      <c r="R307" s="3"/>
      <c r="S307" s="3"/>
      <c r="T307" s="3"/>
      <c r="U307" s="3"/>
      <c r="V307" s="47"/>
      <c r="W307" s="47"/>
      <c r="X307" s="47"/>
      <c r="Y307" s="47"/>
      <c r="Z307" s="47"/>
      <c r="AA307" s="198"/>
      <c r="AB307" s="198"/>
      <c r="AC307" s="198"/>
      <c r="AD307" s="198"/>
      <c r="AE307" s="198"/>
      <c r="AF307" s="198"/>
      <c r="AG307" s="198"/>
      <c r="AH307" s="198"/>
      <c r="AI307" s="198"/>
      <c r="AJ307" s="198"/>
      <c r="AK307" s="198"/>
      <c r="AL307" s="198"/>
      <c r="AM307" s="52"/>
      <c r="AN307" s="52"/>
      <c r="AO307" s="52"/>
      <c r="AP307" s="52"/>
      <c r="AQ307" s="52"/>
    </row>
    <row r="308" spans="1:43">
      <c r="A308" s="331">
        <v>44874</v>
      </c>
      <c r="B308" s="332">
        <v>3748.57</v>
      </c>
      <c r="C308" s="30">
        <v>315.64</v>
      </c>
      <c r="D308" s="22">
        <f t="shared" si="8"/>
        <v>-5.2522893460419461E-2</v>
      </c>
      <c r="E308" s="22">
        <f t="shared" si="9"/>
        <v>-6.4132594064102932E-2</v>
      </c>
      <c r="F308" s="12"/>
      <c r="G308" s="12"/>
      <c r="H308" s="3"/>
      <c r="I308" s="3"/>
      <c r="J308" s="3"/>
      <c r="K308" s="3"/>
      <c r="L308" s="3"/>
      <c r="M308" s="3"/>
      <c r="N308" s="3"/>
      <c r="O308" s="3"/>
      <c r="P308" s="3"/>
      <c r="Q308" s="3"/>
      <c r="R308" s="3"/>
      <c r="S308" s="3"/>
      <c r="T308" s="3"/>
      <c r="U308" s="3"/>
      <c r="V308" s="47"/>
      <c r="W308" s="47"/>
      <c r="X308" s="47"/>
      <c r="Y308" s="47"/>
      <c r="Z308" s="47"/>
      <c r="AA308" s="198"/>
      <c r="AB308" s="198"/>
      <c r="AC308" s="198"/>
      <c r="AD308" s="198"/>
      <c r="AE308" s="198"/>
      <c r="AF308" s="198"/>
      <c r="AG308" s="198"/>
      <c r="AH308" s="198"/>
      <c r="AI308" s="198"/>
      <c r="AJ308" s="198"/>
      <c r="AK308" s="198"/>
      <c r="AL308" s="198"/>
      <c r="AM308" s="52"/>
      <c r="AN308" s="52"/>
      <c r="AO308" s="52"/>
      <c r="AP308" s="52"/>
      <c r="AQ308" s="52"/>
    </row>
    <row r="309" spans="1:43">
      <c r="A309" s="331">
        <v>44873</v>
      </c>
      <c r="B309" s="332">
        <v>3828.11</v>
      </c>
      <c r="C309" s="30">
        <v>325.75</v>
      </c>
      <c r="D309" s="22">
        <f t="shared" si="8"/>
        <v>2.1218758086416944E-2</v>
      </c>
      <c r="E309" s="22">
        <f t="shared" si="9"/>
        <v>3.2030160942846324E-2</v>
      </c>
      <c r="F309" s="12"/>
      <c r="G309" s="12"/>
      <c r="H309" s="3"/>
      <c r="I309" s="3"/>
      <c r="J309" s="3"/>
      <c r="K309" s="3"/>
      <c r="L309" s="3"/>
      <c r="M309" s="3"/>
      <c r="N309" s="3"/>
      <c r="O309" s="3"/>
      <c r="P309" s="3"/>
      <c r="Q309" s="3"/>
      <c r="R309" s="3"/>
      <c r="S309" s="3"/>
      <c r="T309" s="3"/>
      <c r="U309" s="3"/>
      <c r="V309" s="47"/>
      <c r="W309" s="47"/>
      <c r="X309" s="47"/>
      <c r="Y309" s="47"/>
      <c r="Z309" s="47"/>
      <c r="AA309" s="198"/>
      <c r="AB309" s="198"/>
      <c r="AC309" s="198"/>
      <c r="AD309" s="198"/>
      <c r="AE309" s="198"/>
      <c r="AF309" s="198"/>
      <c r="AG309" s="198"/>
      <c r="AH309" s="198"/>
      <c r="AI309" s="198"/>
      <c r="AJ309" s="198"/>
      <c r="AK309" s="198"/>
      <c r="AL309" s="198"/>
      <c r="AM309" s="52"/>
      <c r="AN309" s="52"/>
      <c r="AO309" s="52"/>
      <c r="AP309" s="52"/>
      <c r="AQ309" s="52"/>
    </row>
    <row r="310" spans="1:43">
      <c r="A310" s="331">
        <v>44872</v>
      </c>
      <c r="B310" s="332">
        <v>3806.8</v>
      </c>
      <c r="C310" s="30">
        <v>325.13</v>
      </c>
      <c r="D310" s="22">
        <f t="shared" si="8"/>
        <v>-5.5667156899879954E-3</v>
      </c>
      <c r="E310" s="22">
        <f t="shared" si="9"/>
        <v>-1.9033000767459847E-3</v>
      </c>
      <c r="F310" s="12"/>
      <c r="G310" s="12"/>
      <c r="H310" s="3"/>
      <c r="I310" s="3"/>
      <c r="J310" s="3"/>
      <c r="K310" s="3"/>
      <c r="L310" s="3"/>
      <c r="M310" s="3"/>
      <c r="N310" s="3"/>
      <c r="O310" s="3"/>
      <c r="P310" s="3"/>
      <c r="Q310" s="3"/>
      <c r="R310" s="3"/>
      <c r="S310" s="3"/>
      <c r="T310" s="3"/>
      <c r="U310" s="3"/>
      <c r="V310" s="47"/>
      <c r="W310" s="47"/>
      <c r="X310" s="47"/>
      <c r="Y310" s="47"/>
      <c r="Z310" s="47"/>
      <c r="AA310" s="198"/>
      <c r="AB310" s="198"/>
      <c r="AC310" s="198"/>
      <c r="AD310" s="198"/>
      <c r="AE310" s="198"/>
      <c r="AF310" s="198"/>
      <c r="AG310" s="198"/>
      <c r="AH310" s="198"/>
      <c r="AI310" s="198"/>
      <c r="AJ310" s="198"/>
      <c r="AK310" s="198"/>
      <c r="AL310" s="198"/>
      <c r="AM310" s="52"/>
      <c r="AN310" s="52"/>
      <c r="AO310" s="52"/>
      <c r="AP310" s="52"/>
      <c r="AQ310" s="52"/>
    </row>
    <row r="311" spans="1:43">
      <c r="A311" s="331">
        <v>44869</v>
      </c>
      <c r="B311" s="332">
        <v>3770.55</v>
      </c>
      <c r="C311" s="30">
        <v>318.37</v>
      </c>
      <c r="D311" s="22">
        <f t="shared" si="8"/>
        <v>-9.5224335399810862E-3</v>
      </c>
      <c r="E311" s="22">
        <f t="shared" si="9"/>
        <v>-2.0791683326669304E-2</v>
      </c>
      <c r="F311" s="12"/>
      <c r="G311" s="12"/>
      <c r="H311" s="3"/>
      <c r="I311" s="3"/>
      <c r="J311" s="3"/>
      <c r="K311" s="3"/>
      <c r="L311" s="3"/>
      <c r="M311" s="3"/>
      <c r="N311" s="3"/>
      <c r="O311" s="3"/>
      <c r="P311" s="3"/>
      <c r="Q311" s="3"/>
      <c r="R311" s="3"/>
      <c r="S311" s="3"/>
      <c r="T311" s="3"/>
      <c r="U311" s="3"/>
      <c r="V311" s="47"/>
      <c r="W311" s="47"/>
      <c r="X311" s="47"/>
      <c r="Y311" s="47"/>
      <c r="Z311" s="47"/>
      <c r="AA311" s="198"/>
      <c r="AB311" s="198"/>
      <c r="AC311" s="198"/>
      <c r="AD311" s="198"/>
      <c r="AE311" s="198"/>
      <c r="AF311" s="198"/>
      <c r="AG311" s="198"/>
      <c r="AH311" s="198"/>
      <c r="AI311" s="198"/>
      <c r="AJ311" s="198"/>
      <c r="AK311" s="198"/>
      <c r="AL311" s="198"/>
      <c r="AM311" s="52"/>
      <c r="AN311" s="52"/>
      <c r="AO311" s="52"/>
      <c r="AP311" s="52"/>
      <c r="AQ311" s="52"/>
    </row>
    <row r="312" spans="1:43">
      <c r="A312" s="331">
        <v>44868</v>
      </c>
      <c r="B312" s="332">
        <v>3719.89</v>
      </c>
      <c r="C312" s="30">
        <v>309.17</v>
      </c>
      <c r="D312" s="22">
        <f t="shared" si="8"/>
        <v>-1.3435705666282188E-2</v>
      </c>
      <c r="E312" s="22">
        <f t="shared" si="9"/>
        <v>-2.8897195087476801E-2</v>
      </c>
      <c r="F312" s="12"/>
      <c r="G312" s="12"/>
      <c r="H312" s="3"/>
      <c r="I312" s="3"/>
      <c r="J312" s="3"/>
      <c r="K312" s="3"/>
      <c r="L312" s="3"/>
      <c r="M312" s="3"/>
      <c r="N312" s="3"/>
      <c r="O312" s="3"/>
      <c r="P312" s="3"/>
      <c r="Q312" s="3"/>
      <c r="R312" s="3"/>
      <c r="S312" s="3"/>
      <c r="T312" s="3"/>
      <c r="U312" s="3"/>
      <c r="V312" s="47"/>
      <c r="W312" s="47"/>
      <c r="X312" s="47"/>
      <c r="Y312" s="47"/>
      <c r="Z312" s="47"/>
      <c r="AA312" s="198"/>
      <c r="AB312" s="198"/>
      <c r="AC312" s="198"/>
      <c r="AD312" s="198"/>
      <c r="AE312" s="198"/>
      <c r="AF312" s="198"/>
      <c r="AG312" s="198"/>
      <c r="AH312" s="198"/>
      <c r="AI312" s="198"/>
      <c r="AJ312" s="198"/>
      <c r="AK312" s="198"/>
      <c r="AL312" s="198"/>
      <c r="AM312" s="52"/>
      <c r="AN312" s="52"/>
      <c r="AO312" s="52"/>
      <c r="AP312" s="52"/>
      <c r="AQ312" s="52"/>
    </row>
    <row r="313" spans="1:43">
      <c r="A313" s="331">
        <v>44867</v>
      </c>
      <c r="B313" s="332">
        <v>3759.69</v>
      </c>
      <c r="C313" s="30">
        <v>319.82</v>
      </c>
      <c r="D313" s="22">
        <f t="shared" si="8"/>
        <v>1.0699241106591911E-2</v>
      </c>
      <c r="E313" s="22">
        <f t="shared" si="9"/>
        <v>3.444706795614056E-2</v>
      </c>
      <c r="F313" s="12"/>
      <c r="G313" s="12"/>
      <c r="H313" s="3"/>
      <c r="I313" s="3"/>
      <c r="J313" s="3"/>
      <c r="K313" s="3"/>
      <c r="L313" s="3"/>
      <c r="M313" s="3"/>
      <c r="N313" s="3"/>
      <c r="O313" s="3"/>
      <c r="P313" s="3"/>
      <c r="Q313" s="3"/>
      <c r="R313" s="3"/>
      <c r="S313" s="3"/>
      <c r="T313" s="3"/>
      <c r="U313" s="3"/>
      <c r="V313" s="47"/>
      <c r="W313" s="47"/>
      <c r="X313" s="47"/>
      <c r="Y313" s="47"/>
      <c r="Z313" s="47"/>
      <c r="AA313" s="198"/>
      <c r="AB313" s="198"/>
      <c r="AC313" s="198"/>
      <c r="AD313" s="198"/>
      <c r="AE313" s="198"/>
      <c r="AF313" s="198"/>
      <c r="AG313" s="198"/>
      <c r="AH313" s="198"/>
      <c r="AI313" s="198"/>
      <c r="AJ313" s="198"/>
      <c r="AK313" s="198"/>
      <c r="AL313" s="198"/>
      <c r="AM313" s="52"/>
      <c r="AN313" s="52"/>
      <c r="AO313" s="52"/>
      <c r="AP313" s="52"/>
      <c r="AQ313" s="52"/>
    </row>
    <row r="314" spans="1:43">
      <c r="A314" s="331">
        <v>44866</v>
      </c>
      <c r="B314" s="332">
        <v>3856.1</v>
      </c>
      <c r="C314" s="30">
        <v>333.19</v>
      </c>
      <c r="D314" s="22">
        <f t="shared" si="8"/>
        <v>2.5643071636225288E-2</v>
      </c>
      <c r="E314" s="22">
        <f t="shared" si="9"/>
        <v>4.1804765180413997E-2</v>
      </c>
      <c r="F314" s="12"/>
      <c r="G314" s="12"/>
      <c r="H314" s="3"/>
      <c r="I314" s="3"/>
      <c r="J314" s="3"/>
      <c r="K314" s="3"/>
      <c r="L314" s="3"/>
      <c r="M314" s="3"/>
      <c r="N314" s="3"/>
      <c r="O314" s="3"/>
      <c r="P314" s="3"/>
      <c r="Q314" s="3"/>
      <c r="R314" s="3"/>
      <c r="S314" s="3"/>
      <c r="T314" s="3"/>
      <c r="U314" s="3"/>
      <c r="V314" s="47"/>
      <c r="W314" s="47"/>
      <c r="X314" s="47"/>
      <c r="Y314" s="47"/>
      <c r="Z314" s="47"/>
      <c r="AA314" s="198"/>
      <c r="AB314" s="198"/>
      <c r="AC314" s="198"/>
      <c r="AD314" s="198"/>
      <c r="AE314" s="198"/>
      <c r="AF314" s="198"/>
      <c r="AG314" s="198"/>
      <c r="AH314" s="198"/>
      <c r="AI314" s="198"/>
      <c r="AJ314" s="198"/>
      <c r="AK314" s="198"/>
      <c r="AL314" s="198"/>
      <c r="AM314" s="52"/>
      <c r="AN314" s="52"/>
      <c r="AO314" s="52"/>
      <c r="AP314" s="52"/>
      <c r="AQ314" s="52"/>
    </row>
    <row r="315" spans="1:43">
      <c r="A315" s="331">
        <v>44865</v>
      </c>
      <c r="B315" s="332">
        <v>3871.98</v>
      </c>
      <c r="C315" s="30">
        <v>328.18</v>
      </c>
      <c r="D315" s="22">
        <f t="shared" si="8"/>
        <v>4.1181504629029617E-3</v>
      </c>
      <c r="E315" s="22">
        <f t="shared" si="9"/>
        <v>-1.5036465680242478E-2</v>
      </c>
      <c r="F315" s="12"/>
      <c r="G315" s="12"/>
      <c r="H315" s="3"/>
      <c r="I315" s="3"/>
      <c r="J315" s="3"/>
      <c r="K315" s="3"/>
      <c r="L315" s="3"/>
      <c r="M315" s="3"/>
      <c r="N315" s="3"/>
      <c r="O315" s="3"/>
      <c r="P315" s="3"/>
      <c r="Q315" s="3"/>
      <c r="R315" s="3"/>
      <c r="S315" s="3"/>
      <c r="T315" s="3"/>
      <c r="U315" s="3"/>
      <c r="V315" s="47"/>
      <c r="W315" s="47"/>
      <c r="X315" s="47"/>
      <c r="Y315" s="47"/>
      <c r="Z315" s="47"/>
      <c r="AA315" s="198"/>
      <c r="AB315" s="198"/>
      <c r="AC315" s="198"/>
      <c r="AD315" s="198"/>
      <c r="AE315" s="198"/>
      <c r="AF315" s="198"/>
      <c r="AG315" s="198"/>
      <c r="AH315" s="198"/>
      <c r="AI315" s="198"/>
      <c r="AJ315" s="198"/>
      <c r="AK315" s="198"/>
      <c r="AL315" s="198"/>
      <c r="AM315" s="52"/>
      <c r="AN315" s="52"/>
      <c r="AO315" s="52"/>
      <c r="AP315" s="52"/>
      <c r="AQ315" s="52"/>
    </row>
    <row r="316" spans="1:43">
      <c r="A316" s="331">
        <v>44862</v>
      </c>
      <c r="B316" s="332">
        <v>3901.06</v>
      </c>
      <c r="C316" s="30">
        <v>329.47</v>
      </c>
      <c r="D316" s="22">
        <f t="shared" si="8"/>
        <v>7.510369371742604E-3</v>
      </c>
      <c r="E316" s="22">
        <f t="shared" si="9"/>
        <v>3.9307696995551844E-3</v>
      </c>
      <c r="F316" s="12"/>
      <c r="G316" s="12"/>
      <c r="H316" s="3"/>
      <c r="I316" s="3"/>
      <c r="J316" s="3"/>
      <c r="K316" s="3"/>
      <c r="L316" s="3"/>
      <c r="M316" s="3"/>
      <c r="N316" s="3"/>
      <c r="O316" s="3"/>
      <c r="P316" s="3"/>
      <c r="Q316" s="3"/>
      <c r="R316" s="3"/>
      <c r="S316" s="3"/>
      <c r="T316" s="3"/>
      <c r="U316" s="3"/>
      <c r="V316" s="47"/>
      <c r="W316" s="47"/>
      <c r="X316" s="47"/>
      <c r="Y316" s="47"/>
      <c r="Z316" s="47"/>
      <c r="AA316" s="198"/>
      <c r="AB316" s="198"/>
      <c r="AC316" s="198"/>
      <c r="AD316" s="198"/>
      <c r="AE316" s="198"/>
      <c r="AF316" s="198"/>
      <c r="AG316" s="198"/>
      <c r="AH316" s="198"/>
      <c r="AI316" s="198"/>
      <c r="AJ316" s="198"/>
      <c r="AK316" s="198"/>
      <c r="AL316" s="198"/>
      <c r="AM316" s="52"/>
      <c r="AN316" s="52"/>
      <c r="AO316" s="52"/>
      <c r="AP316" s="52"/>
      <c r="AQ316" s="52"/>
    </row>
    <row r="317" spans="1:43">
      <c r="A317" s="331">
        <v>44861</v>
      </c>
      <c r="B317" s="332">
        <v>3807.3</v>
      </c>
      <c r="C317" s="30">
        <v>319.37</v>
      </c>
      <c r="D317" s="22">
        <f t="shared" si="8"/>
        <v>-2.4034493189030615E-2</v>
      </c>
      <c r="E317" s="22">
        <f t="shared" si="9"/>
        <v>-3.065529486751456E-2</v>
      </c>
      <c r="F317" s="12"/>
      <c r="G317" s="12"/>
      <c r="H317" s="3"/>
      <c r="I317" s="3"/>
      <c r="J317" s="3"/>
      <c r="K317" s="3"/>
      <c r="L317" s="3"/>
      <c r="M317" s="3"/>
      <c r="N317" s="3"/>
      <c r="O317" s="3"/>
      <c r="P317" s="3"/>
      <c r="Q317" s="3"/>
      <c r="R317" s="3"/>
      <c r="S317" s="3"/>
      <c r="T317" s="3"/>
      <c r="U317" s="3"/>
      <c r="V317" s="47"/>
      <c r="W317" s="47"/>
      <c r="X317" s="47"/>
      <c r="Y317" s="47"/>
      <c r="Z317" s="47"/>
      <c r="AA317" s="198"/>
      <c r="AB317" s="198"/>
      <c r="AC317" s="198"/>
      <c r="AD317" s="198"/>
      <c r="AE317" s="198"/>
      <c r="AF317" s="198"/>
      <c r="AG317" s="198"/>
      <c r="AH317" s="198"/>
      <c r="AI317" s="198"/>
      <c r="AJ317" s="198"/>
      <c r="AK317" s="198"/>
      <c r="AL317" s="198"/>
      <c r="AM317" s="52"/>
      <c r="AN317" s="52"/>
      <c r="AO317" s="52"/>
      <c r="AP317" s="52"/>
      <c r="AQ317" s="52"/>
    </row>
    <row r="318" spans="1:43">
      <c r="A318" s="331">
        <v>44860</v>
      </c>
      <c r="B318" s="332">
        <v>3830.6</v>
      </c>
      <c r="C318" s="30">
        <v>319.51</v>
      </c>
      <c r="D318" s="22">
        <f t="shared" si="8"/>
        <v>6.1198224463529863E-3</v>
      </c>
      <c r="E318" s="22">
        <f t="shared" si="9"/>
        <v>4.3836302720977663E-4</v>
      </c>
      <c r="F318" s="12"/>
      <c r="G318" s="12"/>
      <c r="H318" s="3"/>
      <c r="I318" s="3"/>
      <c r="J318" s="3"/>
      <c r="K318" s="3"/>
      <c r="L318" s="3"/>
      <c r="M318" s="3"/>
      <c r="N318" s="3"/>
      <c r="O318" s="3"/>
      <c r="P318" s="3"/>
      <c r="Q318" s="3"/>
      <c r="R318" s="3"/>
      <c r="S318" s="3"/>
      <c r="T318" s="3"/>
      <c r="U318" s="3"/>
      <c r="V318" s="47"/>
      <c r="W318" s="47"/>
      <c r="X318" s="47"/>
      <c r="Y318" s="47"/>
      <c r="Z318" s="47"/>
      <c r="AA318" s="198"/>
      <c r="AB318" s="198"/>
      <c r="AC318" s="198"/>
      <c r="AD318" s="198"/>
      <c r="AE318" s="198"/>
      <c r="AF318" s="198"/>
      <c r="AG318" s="198"/>
      <c r="AH318" s="198"/>
      <c r="AI318" s="198"/>
      <c r="AJ318" s="198"/>
      <c r="AK318" s="198"/>
      <c r="AL318" s="198"/>
      <c r="AM318" s="52"/>
      <c r="AN318" s="52"/>
      <c r="AO318" s="52"/>
      <c r="AP318" s="52"/>
      <c r="AQ318" s="52"/>
    </row>
    <row r="319" spans="1:43">
      <c r="A319" s="331">
        <v>44859</v>
      </c>
      <c r="B319" s="332">
        <v>3859.11</v>
      </c>
      <c r="C319" s="30">
        <v>311.41000000000003</v>
      </c>
      <c r="D319" s="22">
        <f t="shared" si="8"/>
        <v>7.4426982718112621E-3</v>
      </c>
      <c r="E319" s="22">
        <f t="shared" si="9"/>
        <v>-2.5351319207536433E-2</v>
      </c>
      <c r="F319" s="12"/>
      <c r="G319" s="12"/>
      <c r="H319" s="3"/>
      <c r="I319" s="3"/>
      <c r="J319" s="3"/>
      <c r="K319" s="3"/>
      <c r="L319" s="3"/>
      <c r="M319" s="3"/>
      <c r="N319" s="3"/>
      <c r="O319" s="3"/>
      <c r="P319" s="3"/>
      <c r="Q319" s="3"/>
      <c r="R319" s="3"/>
      <c r="S319" s="3"/>
      <c r="T319" s="3"/>
      <c r="U319" s="3"/>
      <c r="V319" s="47"/>
      <c r="W319" s="47"/>
      <c r="X319" s="47"/>
      <c r="Y319" s="47"/>
      <c r="Z319" s="47"/>
      <c r="AA319" s="198"/>
      <c r="AB319" s="198"/>
      <c r="AC319" s="198"/>
      <c r="AD319" s="198"/>
      <c r="AE319" s="198"/>
      <c r="AF319" s="198"/>
      <c r="AG319" s="198"/>
      <c r="AH319" s="198"/>
      <c r="AI319" s="198"/>
      <c r="AJ319" s="198"/>
      <c r="AK319" s="198"/>
      <c r="AL319" s="198"/>
      <c r="AM319" s="52"/>
      <c r="AN319" s="52"/>
      <c r="AO319" s="52"/>
      <c r="AP319" s="52"/>
      <c r="AQ319" s="52"/>
    </row>
    <row r="320" spans="1:43">
      <c r="A320" s="331">
        <v>44858</v>
      </c>
      <c r="B320" s="332">
        <v>3797.34</v>
      </c>
      <c r="C320" s="30">
        <v>305.60000000000002</v>
      </c>
      <c r="D320" s="22">
        <f t="shared" si="8"/>
        <v>-1.6006281241011524E-2</v>
      </c>
      <c r="E320" s="22">
        <f t="shared" si="9"/>
        <v>-1.8657075880671788E-2</v>
      </c>
      <c r="F320" s="12"/>
      <c r="G320" s="12"/>
      <c r="H320" s="3"/>
      <c r="I320" s="3"/>
      <c r="J320" s="3"/>
      <c r="K320" s="3"/>
      <c r="L320" s="3"/>
      <c r="M320" s="3"/>
      <c r="N320" s="3"/>
      <c r="O320" s="3"/>
      <c r="P320" s="3"/>
      <c r="Q320" s="3"/>
      <c r="R320" s="3"/>
      <c r="S320" s="3"/>
      <c r="T320" s="3"/>
      <c r="U320" s="3"/>
      <c r="V320" s="47"/>
      <c r="W320" s="47"/>
      <c r="X320" s="47"/>
      <c r="Y320" s="47"/>
      <c r="Z320" s="47"/>
      <c r="AA320" s="198"/>
      <c r="AB320" s="198"/>
      <c r="AC320" s="198"/>
      <c r="AD320" s="198"/>
      <c r="AE320" s="198"/>
      <c r="AF320" s="198"/>
      <c r="AG320" s="198"/>
      <c r="AH320" s="198"/>
      <c r="AI320" s="198"/>
      <c r="AJ320" s="198"/>
      <c r="AK320" s="198"/>
      <c r="AL320" s="198"/>
      <c r="AM320" s="52"/>
      <c r="AN320" s="52"/>
      <c r="AO320" s="52"/>
      <c r="AP320" s="52"/>
      <c r="AQ320" s="52"/>
    </row>
    <row r="321" spans="1:43">
      <c r="A321" s="331">
        <v>44855</v>
      </c>
      <c r="B321" s="332">
        <v>3752.75</v>
      </c>
      <c r="C321" s="30">
        <v>302.37</v>
      </c>
      <c r="D321" s="22">
        <f t="shared" si="8"/>
        <v>-1.174243022747506E-2</v>
      </c>
      <c r="E321" s="22">
        <f t="shared" si="9"/>
        <v>-1.0569371727748749E-2</v>
      </c>
      <c r="F321" s="12"/>
      <c r="G321" s="12"/>
      <c r="H321" s="3"/>
      <c r="I321" s="3"/>
      <c r="J321" s="3"/>
      <c r="K321" s="3"/>
      <c r="L321" s="3"/>
      <c r="M321" s="3"/>
      <c r="N321" s="3"/>
      <c r="O321" s="3"/>
      <c r="P321" s="3"/>
      <c r="Q321" s="3"/>
      <c r="R321" s="3"/>
      <c r="S321" s="3"/>
      <c r="T321" s="3"/>
      <c r="U321" s="3"/>
      <c r="V321" s="47"/>
      <c r="W321" s="47"/>
      <c r="X321" s="47"/>
      <c r="Y321" s="47"/>
      <c r="Z321" s="47"/>
      <c r="AA321" s="198"/>
      <c r="AB321" s="198"/>
      <c r="AC321" s="198"/>
      <c r="AD321" s="198"/>
      <c r="AE321" s="198"/>
      <c r="AF321" s="198"/>
      <c r="AG321" s="198"/>
      <c r="AH321" s="198"/>
      <c r="AI321" s="198"/>
      <c r="AJ321" s="198"/>
      <c r="AK321" s="198"/>
      <c r="AL321" s="198"/>
      <c r="AM321" s="52"/>
      <c r="AN321" s="52"/>
      <c r="AO321" s="52"/>
      <c r="AP321" s="52"/>
      <c r="AQ321" s="52"/>
    </row>
    <row r="322" spans="1:43">
      <c r="A322" s="331">
        <v>44854</v>
      </c>
      <c r="B322" s="332">
        <v>3665.78</v>
      </c>
      <c r="C322" s="30">
        <v>296.27999999999997</v>
      </c>
      <c r="D322" s="22">
        <f t="shared" si="8"/>
        <v>-2.3175004996335968E-2</v>
      </c>
      <c r="E322" s="22">
        <f t="shared" si="9"/>
        <v>-2.0140886992757324E-2</v>
      </c>
      <c r="F322" s="12"/>
      <c r="G322" s="12"/>
      <c r="H322" s="3"/>
      <c r="I322" s="3"/>
      <c r="J322" s="3"/>
      <c r="K322" s="3"/>
      <c r="L322" s="3"/>
      <c r="M322" s="3"/>
      <c r="N322" s="3"/>
      <c r="O322" s="3"/>
      <c r="P322" s="3"/>
      <c r="Q322" s="3"/>
      <c r="R322" s="3"/>
      <c r="S322" s="3"/>
      <c r="T322" s="3"/>
      <c r="U322" s="3"/>
      <c r="V322" s="47"/>
      <c r="W322" s="47"/>
      <c r="X322" s="47"/>
      <c r="Y322" s="47"/>
      <c r="Z322" s="47"/>
      <c r="AA322" s="198"/>
      <c r="AB322" s="198"/>
      <c r="AC322" s="198"/>
      <c r="AD322" s="198"/>
      <c r="AE322" s="198"/>
      <c r="AF322" s="198"/>
      <c r="AG322" s="198"/>
      <c r="AH322" s="198"/>
      <c r="AI322" s="198"/>
      <c r="AJ322" s="198"/>
      <c r="AK322" s="198"/>
      <c r="AL322" s="198"/>
      <c r="AM322" s="52"/>
      <c r="AN322" s="52"/>
      <c r="AO322" s="52"/>
      <c r="AP322" s="52"/>
      <c r="AQ322" s="52"/>
    </row>
    <row r="323" spans="1:43">
      <c r="A323" s="331">
        <v>44853</v>
      </c>
      <c r="B323" s="332">
        <v>3695.16</v>
      </c>
      <c r="C323" s="30">
        <v>297.76</v>
      </c>
      <c r="D323" s="22">
        <f t="shared" si="8"/>
        <v>8.01466536453351E-3</v>
      </c>
      <c r="E323" s="22">
        <f t="shared" si="9"/>
        <v>4.9952747401107679E-3</v>
      </c>
      <c r="F323" s="12"/>
      <c r="G323" s="12"/>
      <c r="H323" s="3"/>
      <c r="I323" s="3"/>
      <c r="J323" s="3"/>
      <c r="K323" s="3"/>
      <c r="L323" s="3"/>
      <c r="M323" s="3"/>
      <c r="N323" s="3"/>
      <c r="O323" s="3"/>
      <c r="P323" s="3"/>
      <c r="Q323" s="3"/>
      <c r="R323" s="3"/>
      <c r="S323" s="3"/>
      <c r="T323" s="3"/>
      <c r="U323" s="3"/>
      <c r="V323" s="47"/>
      <c r="W323" s="47"/>
      <c r="X323" s="47"/>
      <c r="Y323" s="47"/>
      <c r="Z323" s="47"/>
      <c r="AA323" s="198"/>
      <c r="AB323" s="198"/>
      <c r="AC323" s="198"/>
      <c r="AD323" s="198"/>
      <c r="AE323" s="198"/>
      <c r="AF323" s="198"/>
      <c r="AG323" s="198"/>
      <c r="AH323" s="198"/>
      <c r="AI323" s="198"/>
      <c r="AJ323" s="198"/>
      <c r="AK323" s="198"/>
      <c r="AL323" s="198"/>
      <c r="AM323" s="52"/>
      <c r="AN323" s="52"/>
      <c r="AO323" s="52"/>
      <c r="AP323" s="52"/>
      <c r="AQ323" s="52"/>
    </row>
    <row r="324" spans="1:43">
      <c r="A324" s="331">
        <v>44852</v>
      </c>
      <c r="B324" s="332">
        <v>3719.98</v>
      </c>
      <c r="C324" s="30">
        <v>300.38</v>
      </c>
      <c r="D324" s="22">
        <f t="shared" ref="D324:D387" si="10">(B324-B323)/B323</f>
        <v>6.7168945323071707E-3</v>
      </c>
      <c r="E324" s="22">
        <f t="shared" si="9"/>
        <v>8.7990327780763187E-3</v>
      </c>
      <c r="F324" s="12"/>
      <c r="G324" s="12"/>
      <c r="H324" s="3"/>
      <c r="I324" s="3"/>
      <c r="J324" s="3"/>
      <c r="K324" s="3"/>
      <c r="L324" s="3"/>
      <c r="M324" s="3"/>
      <c r="N324" s="3"/>
      <c r="O324" s="3"/>
      <c r="P324" s="3"/>
      <c r="Q324" s="3"/>
      <c r="R324" s="3"/>
      <c r="S324" s="3"/>
      <c r="T324" s="3"/>
      <c r="U324" s="3"/>
      <c r="V324" s="47"/>
      <c r="W324" s="47"/>
      <c r="X324" s="47"/>
      <c r="Y324" s="47"/>
      <c r="Z324" s="47"/>
      <c r="AA324" s="198"/>
      <c r="AB324" s="198"/>
      <c r="AC324" s="198"/>
      <c r="AD324" s="198"/>
      <c r="AE324" s="198"/>
      <c r="AF324" s="198"/>
      <c r="AG324" s="198"/>
      <c r="AH324" s="198"/>
      <c r="AI324" s="198"/>
      <c r="AJ324" s="198"/>
      <c r="AK324" s="198"/>
      <c r="AL324" s="198"/>
      <c r="AM324" s="52"/>
      <c r="AN324" s="52"/>
      <c r="AO324" s="52"/>
      <c r="AP324" s="52"/>
      <c r="AQ324" s="52"/>
    </row>
    <row r="325" spans="1:43">
      <c r="A325" s="331">
        <v>44851</v>
      </c>
      <c r="B325" s="332">
        <v>3677.95</v>
      </c>
      <c r="C325" s="30">
        <v>295.04000000000002</v>
      </c>
      <c r="D325" s="22">
        <f t="shared" si="10"/>
        <v>-1.1298447841117479E-2</v>
      </c>
      <c r="E325" s="22">
        <f t="shared" ref="E325:E388" si="11">(C325-C324)/C324</f>
        <v>-1.7777481856315253E-2</v>
      </c>
      <c r="F325" s="12"/>
      <c r="G325" s="12"/>
      <c r="H325" s="3"/>
      <c r="I325" s="3"/>
      <c r="J325" s="3"/>
      <c r="K325" s="3"/>
      <c r="L325" s="3"/>
      <c r="M325" s="3"/>
      <c r="N325" s="3"/>
      <c r="O325" s="3"/>
      <c r="P325" s="3"/>
      <c r="Q325" s="3"/>
      <c r="R325" s="3"/>
      <c r="S325" s="3"/>
      <c r="T325" s="3"/>
      <c r="U325" s="3"/>
      <c r="V325" s="47"/>
      <c r="W325" s="47"/>
      <c r="X325" s="47"/>
      <c r="Y325" s="47"/>
      <c r="Z325" s="47"/>
      <c r="AA325" s="198"/>
      <c r="AB325" s="198"/>
      <c r="AC325" s="198"/>
      <c r="AD325" s="198"/>
      <c r="AE325" s="198"/>
      <c r="AF325" s="198"/>
      <c r="AG325" s="198"/>
      <c r="AH325" s="198"/>
      <c r="AI325" s="198"/>
      <c r="AJ325" s="198"/>
      <c r="AK325" s="198"/>
      <c r="AL325" s="198"/>
      <c r="AM325" s="52"/>
      <c r="AN325" s="52"/>
      <c r="AO325" s="52"/>
      <c r="AP325" s="52"/>
      <c r="AQ325" s="52"/>
    </row>
    <row r="326" spans="1:43">
      <c r="A326" s="331">
        <v>44848</v>
      </c>
      <c r="B326" s="332">
        <v>3583.07</v>
      </c>
      <c r="C326" s="30">
        <v>288.69</v>
      </c>
      <c r="D326" s="22">
        <f t="shared" si="10"/>
        <v>-2.5796979295531385E-2</v>
      </c>
      <c r="E326" s="22">
        <f t="shared" si="11"/>
        <v>-2.1522505422993568E-2</v>
      </c>
      <c r="F326" s="12"/>
      <c r="G326" s="12"/>
      <c r="H326" s="3"/>
      <c r="I326" s="3"/>
      <c r="J326" s="3"/>
      <c r="K326" s="3"/>
      <c r="L326" s="3"/>
      <c r="M326" s="3"/>
      <c r="N326" s="3"/>
      <c r="O326" s="3"/>
      <c r="P326" s="3"/>
      <c r="Q326" s="3"/>
      <c r="R326" s="3"/>
      <c r="S326" s="3"/>
      <c r="T326" s="3"/>
      <c r="U326" s="3"/>
      <c r="V326" s="47"/>
      <c r="W326" s="47"/>
      <c r="X326" s="47"/>
      <c r="Y326" s="47"/>
      <c r="Z326" s="47"/>
      <c r="AA326" s="198"/>
      <c r="AB326" s="198"/>
      <c r="AC326" s="198"/>
      <c r="AD326" s="198"/>
      <c r="AE326" s="198"/>
      <c r="AF326" s="198"/>
      <c r="AG326" s="198"/>
      <c r="AH326" s="198"/>
      <c r="AI326" s="198"/>
      <c r="AJ326" s="198"/>
      <c r="AK326" s="198"/>
      <c r="AL326" s="198"/>
      <c r="AM326" s="52"/>
      <c r="AN326" s="52"/>
      <c r="AO326" s="52"/>
      <c r="AP326" s="52"/>
      <c r="AQ326" s="52"/>
    </row>
    <row r="327" spans="1:43">
      <c r="A327" s="331">
        <v>44847</v>
      </c>
      <c r="B327" s="332">
        <v>3669.91</v>
      </c>
      <c r="C327" s="30">
        <v>293.95999999999998</v>
      </c>
      <c r="D327" s="22">
        <f t="shared" si="10"/>
        <v>2.4236199683511539E-2</v>
      </c>
      <c r="E327" s="22">
        <f t="shared" si="11"/>
        <v>1.8254875471959479E-2</v>
      </c>
      <c r="F327" s="12"/>
      <c r="G327" s="12"/>
      <c r="H327" s="3"/>
      <c r="I327" s="3"/>
      <c r="J327" s="3"/>
      <c r="K327" s="3"/>
      <c r="L327" s="3"/>
      <c r="M327" s="3"/>
      <c r="N327" s="3"/>
      <c r="O327" s="3"/>
      <c r="P327" s="3"/>
      <c r="Q327" s="3"/>
      <c r="R327" s="3"/>
      <c r="S327" s="3"/>
      <c r="T327" s="3"/>
      <c r="U327" s="3"/>
      <c r="V327" s="47"/>
      <c r="W327" s="47"/>
      <c r="X327" s="47"/>
      <c r="Y327" s="47"/>
      <c r="Z327" s="47"/>
      <c r="AA327" s="198"/>
      <c r="AB327" s="198"/>
      <c r="AC327" s="198"/>
      <c r="AD327" s="198"/>
      <c r="AE327" s="198"/>
      <c r="AF327" s="198"/>
      <c r="AG327" s="198"/>
      <c r="AH327" s="198"/>
      <c r="AI327" s="198"/>
      <c r="AJ327" s="198"/>
      <c r="AK327" s="198"/>
      <c r="AL327" s="198"/>
      <c r="AM327" s="52"/>
      <c r="AN327" s="52"/>
      <c r="AO327" s="52"/>
      <c r="AP327" s="52"/>
      <c r="AQ327" s="52"/>
    </row>
    <row r="328" spans="1:43">
      <c r="A328" s="331">
        <v>44846</v>
      </c>
      <c r="B328" s="332">
        <v>3577.03</v>
      </c>
      <c r="C328" s="30">
        <v>283.38</v>
      </c>
      <c r="D328" s="22">
        <f t="shared" si="10"/>
        <v>-2.5308522552324079E-2</v>
      </c>
      <c r="E328" s="22">
        <f t="shared" si="11"/>
        <v>-3.599129133215398E-2</v>
      </c>
      <c r="F328" s="12"/>
      <c r="G328" s="12"/>
      <c r="H328" s="3"/>
      <c r="I328" s="3"/>
      <c r="J328" s="3"/>
      <c r="K328" s="3"/>
      <c r="L328" s="3"/>
      <c r="M328" s="3"/>
      <c r="N328" s="3"/>
      <c r="O328" s="3"/>
      <c r="P328" s="3"/>
      <c r="Q328" s="3"/>
      <c r="R328" s="3"/>
      <c r="S328" s="3"/>
      <c r="T328" s="3"/>
      <c r="U328" s="3"/>
      <c r="V328" s="47"/>
      <c r="W328" s="47"/>
      <c r="X328" s="47"/>
      <c r="Y328" s="47"/>
      <c r="Z328" s="47"/>
      <c r="AA328" s="198"/>
      <c r="AB328" s="198"/>
      <c r="AC328" s="198"/>
      <c r="AD328" s="198"/>
      <c r="AE328" s="198"/>
      <c r="AF328" s="198"/>
      <c r="AG328" s="198"/>
      <c r="AH328" s="198"/>
      <c r="AI328" s="198"/>
      <c r="AJ328" s="198"/>
      <c r="AK328" s="198"/>
      <c r="AL328" s="198"/>
      <c r="AM328" s="52"/>
      <c r="AN328" s="52"/>
      <c r="AO328" s="52"/>
      <c r="AP328" s="52"/>
      <c r="AQ328" s="52"/>
    </row>
    <row r="329" spans="1:43">
      <c r="A329" s="331">
        <v>44845</v>
      </c>
      <c r="B329" s="332">
        <v>3588.84</v>
      </c>
      <c r="C329" s="30">
        <v>286.05</v>
      </c>
      <c r="D329" s="22">
        <f t="shared" si="10"/>
        <v>3.3016217364685075E-3</v>
      </c>
      <c r="E329" s="22">
        <f t="shared" si="11"/>
        <v>9.421977556637786E-3</v>
      </c>
      <c r="F329" s="12"/>
      <c r="G329" s="12"/>
      <c r="H329" s="3"/>
      <c r="I329" s="3"/>
      <c r="J329" s="3"/>
      <c r="K329" s="3"/>
      <c r="L329" s="3"/>
      <c r="M329" s="3"/>
      <c r="N329" s="3"/>
      <c r="O329" s="3"/>
      <c r="P329" s="3"/>
      <c r="Q329" s="3"/>
      <c r="R329" s="3"/>
      <c r="S329" s="3"/>
      <c r="T329" s="3"/>
      <c r="U329" s="3"/>
      <c r="V329" s="47"/>
      <c r="W329" s="47"/>
      <c r="X329" s="47"/>
      <c r="Y329" s="47"/>
      <c r="Z329" s="47"/>
      <c r="AA329" s="198"/>
      <c r="AB329" s="198"/>
      <c r="AC329" s="198"/>
      <c r="AD329" s="198"/>
      <c r="AE329" s="198"/>
      <c r="AF329" s="198"/>
      <c r="AG329" s="198"/>
      <c r="AH329" s="198"/>
      <c r="AI329" s="198"/>
      <c r="AJ329" s="198"/>
      <c r="AK329" s="198"/>
      <c r="AL329" s="198"/>
      <c r="AM329" s="52"/>
      <c r="AN329" s="52"/>
      <c r="AO329" s="52"/>
      <c r="AP329" s="52"/>
      <c r="AQ329" s="52"/>
    </row>
    <row r="330" spans="1:43">
      <c r="A330" s="331">
        <v>44844</v>
      </c>
      <c r="B330" s="332">
        <v>3612.39</v>
      </c>
      <c r="C330" s="30">
        <v>291.77999999999997</v>
      </c>
      <c r="D330" s="22">
        <f t="shared" si="10"/>
        <v>6.5620088942387311E-3</v>
      </c>
      <c r="E330" s="22">
        <f t="shared" si="11"/>
        <v>2.0031463030938512E-2</v>
      </c>
      <c r="F330" s="12"/>
      <c r="G330" s="12"/>
      <c r="H330" s="3"/>
      <c r="I330" s="3"/>
      <c r="J330" s="3"/>
      <c r="K330" s="3"/>
      <c r="L330" s="3"/>
      <c r="M330" s="3"/>
      <c r="N330" s="3"/>
      <c r="O330" s="3"/>
      <c r="P330" s="3"/>
      <c r="Q330" s="3"/>
      <c r="R330" s="3"/>
      <c r="S330" s="3"/>
      <c r="T330" s="3"/>
      <c r="U330" s="3"/>
      <c r="V330" s="47"/>
      <c r="W330" s="47"/>
      <c r="X330" s="47"/>
      <c r="Y330" s="47"/>
      <c r="Z330" s="47"/>
      <c r="AA330" s="198"/>
      <c r="AB330" s="198"/>
      <c r="AC330" s="198"/>
      <c r="AD330" s="198"/>
      <c r="AE330" s="198"/>
      <c r="AF330" s="198"/>
      <c r="AG330" s="198"/>
      <c r="AH330" s="198"/>
      <c r="AI330" s="198"/>
      <c r="AJ330" s="198"/>
      <c r="AK330" s="198"/>
      <c r="AL330" s="198"/>
      <c r="AM330" s="52"/>
      <c r="AN330" s="52"/>
      <c r="AO330" s="52"/>
      <c r="AP330" s="52"/>
      <c r="AQ330" s="52"/>
    </row>
    <row r="331" spans="1:43">
      <c r="A331" s="331">
        <v>44841</v>
      </c>
      <c r="B331" s="332">
        <v>3639.66</v>
      </c>
      <c r="C331" s="30">
        <v>294.97000000000003</v>
      </c>
      <c r="D331" s="22">
        <f t="shared" si="10"/>
        <v>7.5490187936518433E-3</v>
      </c>
      <c r="E331" s="22">
        <f t="shared" si="11"/>
        <v>1.0932894646651774E-2</v>
      </c>
      <c r="F331" s="12"/>
      <c r="G331" s="12"/>
      <c r="H331" s="3"/>
      <c r="I331" s="3"/>
      <c r="J331" s="3"/>
      <c r="K331" s="3"/>
      <c r="L331" s="3"/>
      <c r="M331" s="3"/>
      <c r="N331" s="3"/>
      <c r="O331" s="3"/>
      <c r="P331" s="3"/>
      <c r="Q331" s="3"/>
      <c r="R331" s="3"/>
      <c r="S331" s="3"/>
      <c r="T331" s="3"/>
      <c r="U331" s="3"/>
      <c r="V331" s="47"/>
      <c r="W331" s="47"/>
      <c r="X331" s="47"/>
      <c r="Y331" s="47"/>
      <c r="Z331" s="47"/>
      <c r="AA331" s="198"/>
      <c r="AB331" s="198"/>
      <c r="AC331" s="198"/>
      <c r="AD331" s="198"/>
      <c r="AE331" s="198"/>
      <c r="AF331" s="198"/>
      <c r="AG331" s="198"/>
      <c r="AH331" s="198"/>
      <c r="AI331" s="198"/>
      <c r="AJ331" s="198"/>
      <c r="AK331" s="198"/>
      <c r="AL331" s="198"/>
      <c r="AM331" s="52"/>
      <c r="AN331" s="52"/>
      <c r="AO331" s="52"/>
      <c r="AP331" s="52"/>
      <c r="AQ331" s="52"/>
    </row>
    <row r="332" spans="1:43">
      <c r="A332" s="331">
        <v>44840</v>
      </c>
      <c r="B332" s="332">
        <v>3744.52</v>
      </c>
      <c r="C332" s="30">
        <v>299.23</v>
      </c>
      <c r="D332" s="22">
        <f t="shared" si="10"/>
        <v>2.8810383387459303E-2</v>
      </c>
      <c r="E332" s="22">
        <f t="shared" si="11"/>
        <v>1.4442146658982238E-2</v>
      </c>
      <c r="F332" s="12"/>
      <c r="G332" s="12"/>
      <c r="H332" s="3"/>
      <c r="I332" s="3"/>
      <c r="J332" s="3"/>
      <c r="K332" s="3"/>
      <c r="L332" s="3"/>
      <c r="M332" s="3"/>
      <c r="N332" s="3"/>
      <c r="O332" s="3"/>
      <c r="P332" s="3"/>
      <c r="Q332" s="3"/>
      <c r="R332" s="3"/>
      <c r="S332" s="3"/>
      <c r="T332" s="3"/>
      <c r="U332" s="3"/>
      <c r="V332" s="47"/>
      <c r="W332" s="47"/>
      <c r="X332" s="47"/>
      <c r="Y332" s="47"/>
      <c r="Z332" s="47"/>
      <c r="AA332" s="198"/>
      <c r="AB332" s="198"/>
      <c r="AC332" s="198"/>
      <c r="AD332" s="198"/>
      <c r="AE332" s="198"/>
      <c r="AF332" s="198"/>
      <c r="AG332" s="198"/>
      <c r="AH332" s="198"/>
      <c r="AI332" s="198"/>
      <c r="AJ332" s="198"/>
      <c r="AK332" s="198"/>
      <c r="AL332" s="198"/>
      <c r="AM332" s="52"/>
      <c r="AN332" s="52"/>
      <c r="AO332" s="52"/>
      <c r="AP332" s="52"/>
      <c r="AQ332" s="52"/>
    </row>
    <row r="333" spans="1:43">
      <c r="A333" s="331">
        <v>44839</v>
      </c>
      <c r="B333" s="332">
        <v>3783.28</v>
      </c>
      <c r="C333" s="30">
        <v>304.2</v>
      </c>
      <c r="D333" s="22">
        <f t="shared" si="10"/>
        <v>1.0351126446113312E-2</v>
      </c>
      <c r="E333" s="22">
        <f t="shared" si="11"/>
        <v>1.6609297196136651E-2</v>
      </c>
      <c r="F333" s="12"/>
      <c r="G333" s="12"/>
      <c r="H333" s="3"/>
      <c r="I333" s="3"/>
      <c r="J333" s="3"/>
      <c r="K333" s="3"/>
      <c r="L333" s="3"/>
      <c r="M333" s="3"/>
      <c r="N333" s="3"/>
      <c r="O333" s="3"/>
      <c r="P333" s="3"/>
      <c r="Q333" s="3"/>
      <c r="R333" s="3"/>
      <c r="S333" s="3"/>
      <c r="T333" s="3"/>
      <c r="U333" s="3"/>
      <c r="V333" s="47"/>
      <c r="W333" s="47"/>
      <c r="X333" s="47"/>
      <c r="Y333" s="47"/>
      <c r="Z333" s="47"/>
      <c r="AA333" s="198"/>
      <c r="AB333" s="198"/>
      <c r="AC333" s="198"/>
      <c r="AD333" s="198"/>
      <c r="AE333" s="198"/>
      <c r="AF333" s="198"/>
      <c r="AG333" s="198"/>
      <c r="AH333" s="198"/>
      <c r="AI333" s="198"/>
      <c r="AJ333" s="198"/>
      <c r="AK333" s="198"/>
      <c r="AL333" s="198"/>
      <c r="AM333" s="52"/>
      <c r="AN333" s="52"/>
      <c r="AO333" s="52"/>
      <c r="AP333" s="52"/>
      <c r="AQ333" s="52"/>
    </row>
    <row r="334" spans="1:43">
      <c r="A334" s="331">
        <v>44838</v>
      </c>
      <c r="B334" s="332">
        <v>3790.93</v>
      </c>
      <c r="C334" s="30">
        <v>301.27</v>
      </c>
      <c r="D334" s="22">
        <f t="shared" si="10"/>
        <v>2.0220549364571576E-3</v>
      </c>
      <c r="E334" s="22">
        <f t="shared" si="11"/>
        <v>-9.6318211702827311E-3</v>
      </c>
      <c r="F334" s="12"/>
      <c r="G334" s="12"/>
      <c r="H334" s="3"/>
      <c r="I334" s="3"/>
      <c r="J334" s="3"/>
      <c r="K334" s="3"/>
      <c r="L334" s="3"/>
      <c r="M334" s="3"/>
      <c r="N334" s="3"/>
      <c r="O334" s="3"/>
      <c r="P334" s="3"/>
      <c r="Q334" s="3"/>
      <c r="R334" s="3"/>
      <c r="S334" s="3"/>
      <c r="T334" s="3"/>
      <c r="U334" s="3"/>
      <c r="V334" s="47"/>
      <c r="W334" s="47"/>
      <c r="X334" s="47"/>
      <c r="Y334" s="47"/>
      <c r="Z334" s="47"/>
      <c r="AA334" s="198"/>
      <c r="AB334" s="198"/>
      <c r="AC334" s="198"/>
      <c r="AD334" s="198"/>
      <c r="AE334" s="198"/>
      <c r="AF334" s="198"/>
      <c r="AG334" s="198"/>
      <c r="AH334" s="198"/>
      <c r="AI334" s="198"/>
      <c r="AJ334" s="198"/>
      <c r="AK334" s="198"/>
      <c r="AL334" s="198"/>
      <c r="AM334" s="52"/>
      <c r="AN334" s="52"/>
      <c r="AO334" s="52"/>
      <c r="AP334" s="52"/>
      <c r="AQ334" s="52"/>
    </row>
    <row r="335" spans="1:43">
      <c r="A335" s="331">
        <v>44837</v>
      </c>
      <c r="B335" s="332">
        <v>3678.43</v>
      </c>
      <c r="C335" s="30">
        <v>290.48</v>
      </c>
      <c r="D335" s="22">
        <f t="shared" si="10"/>
        <v>-2.9676095311704516E-2</v>
      </c>
      <c r="E335" s="22">
        <f t="shared" si="11"/>
        <v>-3.5815049623261409E-2</v>
      </c>
      <c r="F335" s="12"/>
      <c r="G335" s="12"/>
      <c r="H335" s="3"/>
      <c r="I335" s="3"/>
      <c r="J335" s="3"/>
      <c r="K335" s="3"/>
      <c r="L335" s="3"/>
      <c r="M335" s="3"/>
      <c r="N335" s="3"/>
      <c r="O335" s="3"/>
      <c r="P335" s="3"/>
      <c r="Q335" s="3"/>
      <c r="R335" s="3"/>
      <c r="S335" s="3"/>
      <c r="T335" s="3"/>
      <c r="U335" s="3"/>
      <c r="V335" s="47"/>
      <c r="W335" s="47"/>
      <c r="X335" s="47"/>
      <c r="Y335" s="47"/>
      <c r="Z335" s="47"/>
      <c r="AA335" s="198"/>
      <c r="AB335" s="198"/>
      <c r="AC335" s="198"/>
      <c r="AD335" s="198"/>
      <c r="AE335" s="198"/>
      <c r="AF335" s="198"/>
      <c r="AG335" s="198"/>
      <c r="AH335" s="198"/>
      <c r="AI335" s="198"/>
      <c r="AJ335" s="198"/>
      <c r="AK335" s="198"/>
      <c r="AL335" s="198"/>
      <c r="AM335" s="52"/>
      <c r="AN335" s="52"/>
      <c r="AO335" s="52"/>
      <c r="AP335" s="52"/>
      <c r="AQ335" s="52"/>
    </row>
    <row r="336" spans="1:43">
      <c r="A336" s="331">
        <v>44834</v>
      </c>
      <c r="B336" s="332">
        <v>3585.62</v>
      </c>
      <c r="C336" s="30">
        <v>284.33999999999997</v>
      </c>
      <c r="D336" s="22">
        <f t="shared" si="10"/>
        <v>-2.5230872953950448E-2</v>
      </c>
      <c r="E336" s="22">
        <f t="shared" si="11"/>
        <v>-2.11374277058663E-2</v>
      </c>
      <c r="F336" s="12"/>
      <c r="G336" s="12"/>
      <c r="H336" s="3"/>
      <c r="I336" s="3"/>
      <c r="J336" s="3"/>
      <c r="K336" s="3"/>
      <c r="L336" s="3"/>
      <c r="M336" s="3"/>
      <c r="N336" s="3"/>
      <c r="O336" s="3"/>
      <c r="P336" s="3"/>
      <c r="Q336" s="3"/>
      <c r="R336" s="3"/>
      <c r="S336" s="3"/>
      <c r="T336" s="3"/>
      <c r="U336" s="3"/>
      <c r="V336" s="47"/>
      <c r="W336" s="47"/>
      <c r="X336" s="47"/>
      <c r="Y336" s="47"/>
      <c r="Z336" s="47"/>
      <c r="AA336" s="198"/>
      <c r="AB336" s="198"/>
      <c r="AC336" s="198"/>
      <c r="AD336" s="198"/>
      <c r="AE336" s="198"/>
      <c r="AF336" s="198"/>
      <c r="AG336" s="198"/>
      <c r="AH336" s="198"/>
      <c r="AI336" s="198"/>
      <c r="AJ336" s="198"/>
      <c r="AK336" s="198"/>
      <c r="AL336" s="198"/>
      <c r="AM336" s="52"/>
      <c r="AN336" s="52"/>
      <c r="AO336" s="52"/>
      <c r="AP336" s="52"/>
      <c r="AQ336" s="52"/>
    </row>
    <row r="337" spans="1:43">
      <c r="A337" s="331">
        <v>44833</v>
      </c>
      <c r="B337" s="332">
        <v>3640.47</v>
      </c>
      <c r="C337" s="30">
        <v>286.77</v>
      </c>
      <c r="D337" s="22">
        <f t="shared" si="10"/>
        <v>1.5297214986529502E-2</v>
      </c>
      <c r="E337" s="22">
        <f t="shared" si="11"/>
        <v>8.5461067735809488E-3</v>
      </c>
      <c r="F337" s="12"/>
      <c r="G337" s="12"/>
      <c r="H337" s="3"/>
      <c r="I337" s="3"/>
      <c r="J337" s="3"/>
      <c r="K337" s="3"/>
      <c r="L337" s="3"/>
      <c r="M337" s="3"/>
      <c r="N337" s="3"/>
      <c r="O337" s="3"/>
      <c r="P337" s="3"/>
      <c r="Q337" s="3"/>
      <c r="R337" s="3"/>
      <c r="S337" s="3"/>
      <c r="T337" s="3"/>
      <c r="U337" s="3"/>
      <c r="V337" s="47"/>
      <c r="W337" s="47"/>
      <c r="X337" s="47"/>
      <c r="Y337" s="47"/>
      <c r="Z337" s="47"/>
      <c r="AA337" s="198"/>
      <c r="AB337" s="198"/>
      <c r="AC337" s="198"/>
      <c r="AD337" s="198"/>
      <c r="AE337" s="198"/>
      <c r="AF337" s="198"/>
      <c r="AG337" s="198"/>
      <c r="AH337" s="198"/>
      <c r="AI337" s="198"/>
      <c r="AJ337" s="198"/>
      <c r="AK337" s="198"/>
      <c r="AL337" s="198"/>
      <c r="AM337" s="52"/>
      <c r="AN337" s="52"/>
      <c r="AO337" s="52"/>
      <c r="AP337" s="52"/>
      <c r="AQ337" s="52"/>
    </row>
    <row r="338" spans="1:43">
      <c r="A338" s="331">
        <v>44832</v>
      </c>
      <c r="B338" s="332">
        <v>3719.04</v>
      </c>
      <c r="C338" s="30">
        <v>290.18</v>
      </c>
      <c r="D338" s="22">
        <f t="shared" si="10"/>
        <v>2.158237809953115E-2</v>
      </c>
      <c r="E338" s="22">
        <f t="shared" si="11"/>
        <v>1.1891062523974004E-2</v>
      </c>
      <c r="F338" s="12"/>
      <c r="G338" s="12"/>
      <c r="H338" s="3"/>
      <c r="I338" s="3"/>
      <c r="J338" s="3"/>
      <c r="K338" s="3"/>
      <c r="L338" s="3"/>
      <c r="M338" s="3"/>
      <c r="N338" s="3"/>
      <c r="O338" s="3"/>
      <c r="P338" s="3"/>
      <c r="Q338" s="3"/>
      <c r="R338" s="3"/>
      <c r="S338" s="3"/>
      <c r="T338" s="3"/>
      <c r="U338" s="3"/>
      <c r="V338" s="47"/>
      <c r="W338" s="47"/>
      <c r="X338" s="47"/>
      <c r="Y338" s="47"/>
      <c r="Z338" s="47"/>
      <c r="AA338" s="198"/>
      <c r="AB338" s="198"/>
      <c r="AC338" s="198"/>
      <c r="AD338" s="198"/>
      <c r="AE338" s="198"/>
      <c r="AF338" s="198"/>
      <c r="AG338" s="198"/>
      <c r="AH338" s="198"/>
      <c r="AI338" s="198"/>
      <c r="AJ338" s="198"/>
      <c r="AK338" s="198"/>
      <c r="AL338" s="198"/>
      <c r="AM338" s="52"/>
      <c r="AN338" s="52"/>
      <c r="AO338" s="52"/>
      <c r="AP338" s="52"/>
      <c r="AQ338" s="52"/>
    </row>
    <row r="339" spans="1:43">
      <c r="A339" s="331">
        <v>44831</v>
      </c>
      <c r="B339" s="332">
        <v>3647.29</v>
      </c>
      <c r="C339" s="30">
        <v>286.48</v>
      </c>
      <c r="D339" s="22">
        <f t="shared" si="10"/>
        <v>-1.9292613147478918E-2</v>
      </c>
      <c r="E339" s="22">
        <f t="shared" si="11"/>
        <v>-1.2750706458060476E-2</v>
      </c>
      <c r="F339" s="12"/>
      <c r="G339" s="12"/>
      <c r="H339" s="3"/>
      <c r="I339" s="3"/>
      <c r="J339" s="3"/>
      <c r="K339" s="3"/>
      <c r="L339" s="3"/>
      <c r="M339" s="3"/>
      <c r="N339" s="3"/>
      <c r="O339" s="3"/>
      <c r="P339" s="3"/>
      <c r="Q339" s="3"/>
      <c r="R339" s="3"/>
      <c r="S339" s="3"/>
      <c r="T339" s="3"/>
      <c r="U339" s="3"/>
      <c r="V339" s="47"/>
      <c r="W339" s="47"/>
      <c r="X339" s="47"/>
      <c r="Y339" s="47"/>
      <c r="Z339" s="47"/>
      <c r="AA339" s="198"/>
      <c r="AB339" s="198"/>
      <c r="AC339" s="198"/>
      <c r="AD339" s="198"/>
      <c r="AE339" s="198"/>
      <c r="AF339" s="198"/>
      <c r="AG339" s="198"/>
      <c r="AH339" s="198"/>
      <c r="AI339" s="198"/>
      <c r="AJ339" s="198"/>
      <c r="AK339" s="198"/>
      <c r="AL339" s="198"/>
      <c r="AM339" s="52"/>
      <c r="AN339" s="52"/>
      <c r="AO339" s="52"/>
      <c r="AP339" s="52"/>
      <c r="AQ339" s="52"/>
    </row>
    <row r="340" spans="1:43">
      <c r="A340" s="331">
        <v>44830</v>
      </c>
      <c r="B340" s="332">
        <v>3655.04</v>
      </c>
      <c r="C340" s="30">
        <v>290.11</v>
      </c>
      <c r="D340" s="22">
        <f t="shared" si="10"/>
        <v>2.1248653109569022E-3</v>
      </c>
      <c r="E340" s="22">
        <f t="shared" si="11"/>
        <v>1.2671041608489232E-2</v>
      </c>
      <c r="F340" s="12"/>
      <c r="G340" s="12"/>
      <c r="H340" s="3"/>
      <c r="I340" s="3"/>
      <c r="J340" s="3"/>
      <c r="K340" s="3"/>
      <c r="L340" s="3"/>
      <c r="M340" s="3"/>
      <c r="N340" s="3"/>
      <c r="O340" s="3"/>
      <c r="P340" s="3"/>
      <c r="Q340" s="3"/>
      <c r="R340" s="3"/>
      <c r="S340" s="3"/>
      <c r="T340" s="3"/>
      <c r="U340" s="3"/>
      <c r="V340" s="47"/>
      <c r="W340" s="47"/>
      <c r="X340" s="47"/>
      <c r="Y340" s="47"/>
      <c r="Z340" s="47"/>
      <c r="AA340" s="198"/>
      <c r="AB340" s="198"/>
      <c r="AC340" s="198"/>
      <c r="AD340" s="198"/>
      <c r="AE340" s="198"/>
      <c r="AF340" s="198"/>
      <c r="AG340" s="198"/>
      <c r="AH340" s="198"/>
      <c r="AI340" s="198"/>
      <c r="AJ340" s="198"/>
      <c r="AK340" s="198"/>
      <c r="AL340" s="198"/>
      <c r="AM340" s="52"/>
      <c r="AN340" s="52"/>
      <c r="AO340" s="52"/>
      <c r="AP340" s="52"/>
      <c r="AQ340" s="52"/>
    </row>
    <row r="341" spans="1:43">
      <c r="A341" s="331">
        <v>44827</v>
      </c>
      <c r="B341" s="332">
        <v>3693.23</v>
      </c>
      <c r="C341" s="30">
        <v>293.58</v>
      </c>
      <c r="D341" s="22">
        <f t="shared" si="10"/>
        <v>1.0448586061985657E-2</v>
      </c>
      <c r="E341" s="22">
        <f t="shared" si="11"/>
        <v>1.1960980317810383E-2</v>
      </c>
      <c r="F341" s="12"/>
      <c r="G341" s="12"/>
      <c r="H341" s="3"/>
      <c r="I341" s="3"/>
      <c r="J341" s="3"/>
      <c r="K341" s="3"/>
      <c r="L341" s="3"/>
      <c r="M341" s="3"/>
      <c r="N341" s="3"/>
      <c r="O341" s="3"/>
      <c r="P341" s="3"/>
      <c r="Q341" s="3"/>
      <c r="R341" s="3"/>
      <c r="S341" s="3"/>
      <c r="T341" s="3"/>
      <c r="U341" s="3"/>
      <c r="V341" s="47"/>
      <c r="W341" s="47"/>
      <c r="X341" s="47"/>
      <c r="Y341" s="47"/>
      <c r="Z341" s="47"/>
      <c r="AA341" s="198"/>
      <c r="AB341" s="198"/>
      <c r="AC341" s="198"/>
      <c r="AD341" s="198"/>
      <c r="AE341" s="198"/>
      <c r="AF341" s="198"/>
      <c r="AG341" s="198"/>
      <c r="AH341" s="198"/>
      <c r="AI341" s="198"/>
      <c r="AJ341" s="198"/>
      <c r="AK341" s="198"/>
      <c r="AL341" s="198"/>
      <c r="AM341" s="52"/>
      <c r="AN341" s="52"/>
      <c r="AO341" s="52"/>
      <c r="AP341" s="52"/>
      <c r="AQ341" s="52"/>
    </row>
    <row r="342" spans="1:43">
      <c r="A342" s="331">
        <v>44826</v>
      </c>
      <c r="B342" s="332">
        <v>3757.99</v>
      </c>
      <c r="C342" s="30">
        <v>298.36</v>
      </c>
      <c r="D342" s="22">
        <f t="shared" si="10"/>
        <v>1.7534786623091377E-2</v>
      </c>
      <c r="E342" s="22">
        <f t="shared" si="11"/>
        <v>1.6281763062879043E-2</v>
      </c>
      <c r="F342" s="12"/>
      <c r="G342" s="12"/>
      <c r="H342" s="3"/>
      <c r="I342" s="3"/>
      <c r="J342" s="3"/>
      <c r="K342" s="3"/>
      <c r="L342" s="3"/>
      <c r="M342" s="3"/>
      <c r="N342" s="3"/>
      <c r="O342" s="3"/>
      <c r="P342" s="3"/>
      <c r="Q342" s="3"/>
      <c r="R342" s="3"/>
      <c r="S342" s="3"/>
      <c r="T342" s="3"/>
      <c r="U342" s="3"/>
      <c r="V342" s="47"/>
      <c r="W342" s="47"/>
      <c r="X342" s="47"/>
      <c r="Y342" s="47"/>
      <c r="Z342" s="47"/>
      <c r="AA342" s="198"/>
      <c r="AB342" s="198"/>
      <c r="AC342" s="198"/>
      <c r="AD342" s="198"/>
      <c r="AE342" s="198"/>
      <c r="AF342" s="198"/>
      <c r="AG342" s="198"/>
      <c r="AH342" s="198"/>
      <c r="AI342" s="198"/>
      <c r="AJ342" s="198"/>
      <c r="AK342" s="198"/>
      <c r="AL342" s="198"/>
      <c r="AM342" s="52"/>
      <c r="AN342" s="52"/>
      <c r="AO342" s="52"/>
      <c r="AP342" s="52"/>
      <c r="AQ342" s="52"/>
    </row>
    <row r="343" spans="1:43">
      <c r="A343" s="331">
        <v>44825</v>
      </c>
      <c r="B343" s="332">
        <v>3789.93</v>
      </c>
      <c r="C343" s="30">
        <v>304.5</v>
      </c>
      <c r="D343" s="22">
        <f t="shared" si="10"/>
        <v>8.4992243193835158E-3</v>
      </c>
      <c r="E343" s="22">
        <f t="shared" si="11"/>
        <v>2.0579166108057333E-2</v>
      </c>
      <c r="F343" s="12"/>
      <c r="G343" s="12"/>
      <c r="H343" s="3"/>
      <c r="I343" s="3"/>
      <c r="J343" s="3"/>
      <c r="K343" s="3"/>
      <c r="L343" s="3"/>
      <c r="M343" s="3"/>
      <c r="N343" s="3"/>
      <c r="O343" s="3"/>
      <c r="P343" s="3"/>
      <c r="Q343" s="3"/>
      <c r="R343" s="3"/>
      <c r="S343" s="3"/>
      <c r="T343" s="3"/>
      <c r="U343" s="3"/>
      <c r="V343" s="47"/>
      <c r="W343" s="47"/>
      <c r="X343" s="47"/>
      <c r="Y343" s="47"/>
      <c r="Z343" s="47"/>
      <c r="AA343" s="198"/>
      <c r="AB343" s="198"/>
      <c r="AC343" s="198"/>
      <c r="AD343" s="198"/>
      <c r="AE343" s="198"/>
      <c r="AF343" s="198"/>
      <c r="AG343" s="198"/>
      <c r="AH343" s="198"/>
      <c r="AI343" s="198"/>
      <c r="AJ343" s="198"/>
      <c r="AK343" s="198"/>
      <c r="AL343" s="198"/>
      <c r="AM343" s="52"/>
      <c r="AN343" s="52"/>
      <c r="AO343" s="52"/>
      <c r="AP343" s="52"/>
      <c r="AQ343" s="52"/>
    </row>
    <row r="344" spans="1:43">
      <c r="A344" s="331">
        <v>44824</v>
      </c>
      <c r="B344" s="332">
        <v>3855.93</v>
      </c>
      <c r="C344" s="30">
        <v>313.27</v>
      </c>
      <c r="D344" s="22">
        <f t="shared" si="10"/>
        <v>1.7414569662236506E-2</v>
      </c>
      <c r="E344" s="22">
        <f t="shared" si="11"/>
        <v>2.8801313628899775E-2</v>
      </c>
      <c r="F344" s="12"/>
      <c r="G344" s="12"/>
      <c r="H344" s="3"/>
      <c r="I344" s="3"/>
      <c r="J344" s="3"/>
      <c r="K344" s="3"/>
      <c r="L344" s="3"/>
      <c r="M344" s="3"/>
      <c r="N344" s="3"/>
      <c r="O344" s="3"/>
      <c r="P344" s="3"/>
      <c r="Q344" s="3"/>
      <c r="R344" s="3"/>
      <c r="S344" s="3"/>
      <c r="T344" s="3"/>
      <c r="U344" s="3"/>
      <c r="V344" s="47"/>
      <c r="W344" s="47"/>
      <c r="X344" s="47"/>
      <c r="Y344" s="47"/>
      <c r="Z344" s="47"/>
      <c r="AA344" s="198"/>
      <c r="AB344" s="198"/>
      <c r="AC344" s="198"/>
      <c r="AD344" s="198"/>
      <c r="AE344" s="198"/>
      <c r="AF344" s="198"/>
      <c r="AG344" s="198"/>
      <c r="AH344" s="198"/>
      <c r="AI344" s="198"/>
      <c r="AJ344" s="198"/>
      <c r="AK344" s="198"/>
      <c r="AL344" s="198"/>
      <c r="AM344" s="52"/>
      <c r="AN344" s="52"/>
      <c r="AO344" s="52"/>
      <c r="AP344" s="52"/>
      <c r="AQ344" s="52"/>
    </row>
    <row r="345" spans="1:43">
      <c r="A345" s="331">
        <v>44823</v>
      </c>
      <c r="B345" s="332">
        <v>3899.89</v>
      </c>
      <c r="C345" s="30">
        <v>314.02999999999997</v>
      </c>
      <c r="D345" s="22">
        <f t="shared" si="10"/>
        <v>1.140062189925648E-2</v>
      </c>
      <c r="E345" s="22">
        <f t="shared" si="11"/>
        <v>2.4260222810993421E-3</v>
      </c>
      <c r="F345" s="12"/>
      <c r="G345" s="12"/>
      <c r="H345" s="3"/>
      <c r="I345" s="3"/>
      <c r="J345" s="3"/>
      <c r="K345" s="3"/>
      <c r="L345" s="3"/>
      <c r="M345" s="3"/>
      <c r="N345" s="3"/>
      <c r="O345" s="3"/>
      <c r="P345" s="3"/>
      <c r="Q345" s="3"/>
      <c r="R345" s="3"/>
      <c r="S345" s="3"/>
      <c r="T345" s="3"/>
      <c r="U345" s="3"/>
      <c r="V345" s="47"/>
      <c r="W345" s="47"/>
      <c r="X345" s="47"/>
      <c r="Y345" s="47"/>
      <c r="Z345" s="47"/>
      <c r="AA345" s="198"/>
      <c r="AB345" s="198"/>
      <c r="AC345" s="198"/>
      <c r="AD345" s="198"/>
      <c r="AE345" s="198"/>
      <c r="AF345" s="198"/>
      <c r="AG345" s="198"/>
      <c r="AH345" s="198"/>
      <c r="AI345" s="198"/>
      <c r="AJ345" s="198"/>
      <c r="AK345" s="198"/>
      <c r="AL345" s="198"/>
      <c r="AM345" s="52"/>
      <c r="AN345" s="52"/>
      <c r="AO345" s="52"/>
      <c r="AP345" s="52"/>
      <c r="AQ345" s="52"/>
    </row>
    <row r="346" spans="1:43">
      <c r="A346" s="331">
        <v>44820</v>
      </c>
      <c r="B346" s="332">
        <v>3873.33</v>
      </c>
      <c r="C346" s="30">
        <v>315.13</v>
      </c>
      <c r="D346" s="22">
        <f t="shared" si="10"/>
        <v>-6.8104484998294688E-3</v>
      </c>
      <c r="E346" s="22">
        <f t="shared" si="11"/>
        <v>3.5028500461740052E-3</v>
      </c>
      <c r="F346" s="12"/>
      <c r="G346" s="12"/>
      <c r="H346" s="3"/>
      <c r="I346" s="3"/>
      <c r="J346" s="3"/>
      <c r="K346" s="3"/>
      <c r="L346" s="3"/>
      <c r="M346" s="3"/>
      <c r="N346" s="3"/>
      <c r="O346" s="3"/>
      <c r="P346" s="3"/>
      <c r="Q346" s="3"/>
      <c r="R346" s="3"/>
      <c r="S346" s="3"/>
      <c r="T346" s="3"/>
      <c r="U346" s="3"/>
      <c r="V346" s="47"/>
      <c r="W346" s="47"/>
      <c r="X346" s="47"/>
      <c r="Y346" s="47"/>
      <c r="Z346" s="47"/>
      <c r="AA346" s="198"/>
      <c r="AB346" s="198"/>
      <c r="AC346" s="198"/>
      <c r="AD346" s="198"/>
      <c r="AE346" s="198"/>
      <c r="AF346" s="198"/>
      <c r="AG346" s="198"/>
      <c r="AH346" s="198"/>
      <c r="AI346" s="198"/>
      <c r="AJ346" s="198"/>
      <c r="AK346" s="198"/>
      <c r="AL346" s="198"/>
      <c r="AM346" s="52"/>
      <c r="AN346" s="52"/>
      <c r="AO346" s="52"/>
      <c r="AP346" s="52"/>
      <c r="AQ346" s="52"/>
    </row>
    <row r="347" spans="1:43">
      <c r="A347" s="331">
        <v>44819</v>
      </c>
      <c r="B347" s="332">
        <v>3901.35</v>
      </c>
      <c r="C347" s="30">
        <v>316.95999999999998</v>
      </c>
      <c r="D347" s="22">
        <f t="shared" si="10"/>
        <v>7.2340853993850211E-3</v>
      </c>
      <c r="E347" s="22">
        <f t="shared" si="11"/>
        <v>5.8071272173388254E-3</v>
      </c>
      <c r="F347" s="12"/>
      <c r="G347" s="12"/>
      <c r="H347" s="3"/>
      <c r="I347" s="3"/>
      <c r="J347" s="3"/>
      <c r="K347" s="3"/>
      <c r="L347" s="3"/>
      <c r="M347" s="3"/>
      <c r="N347" s="3"/>
      <c r="O347" s="3"/>
      <c r="P347" s="3"/>
      <c r="Q347" s="3"/>
      <c r="R347" s="3"/>
      <c r="S347" s="3"/>
      <c r="T347" s="3"/>
      <c r="U347" s="3"/>
      <c r="V347" s="47"/>
      <c r="W347" s="47"/>
      <c r="X347" s="47"/>
      <c r="Y347" s="47"/>
      <c r="Z347" s="47"/>
      <c r="AA347" s="198"/>
      <c r="AB347" s="198"/>
      <c r="AC347" s="198"/>
      <c r="AD347" s="198"/>
      <c r="AE347" s="198"/>
      <c r="AF347" s="198"/>
      <c r="AG347" s="198"/>
      <c r="AH347" s="198"/>
      <c r="AI347" s="198"/>
      <c r="AJ347" s="198"/>
      <c r="AK347" s="198"/>
      <c r="AL347" s="198"/>
      <c r="AM347" s="52"/>
      <c r="AN347" s="52"/>
      <c r="AO347" s="52"/>
      <c r="AP347" s="52"/>
      <c r="AQ347" s="52"/>
    </row>
    <row r="348" spans="1:43">
      <c r="A348" s="331">
        <v>44818</v>
      </c>
      <c r="B348" s="332">
        <v>3946.01</v>
      </c>
      <c r="C348" s="30">
        <v>325.85000000000002</v>
      </c>
      <c r="D348" s="22">
        <f t="shared" si="10"/>
        <v>1.1447319517602961E-2</v>
      </c>
      <c r="E348" s="22">
        <f t="shared" si="11"/>
        <v>2.8047703180212151E-2</v>
      </c>
      <c r="F348" s="12"/>
      <c r="G348" s="12"/>
      <c r="H348" s="3"/>
      <c r="I348" s="3"/>
      <c r="J348" s="3"/>
      <c r="K348" s="3"/>
      <c r="L348" s="3"/>
      <c r="M348" s="3"/>
      <c r="N348" s="3"/>
      <c r="O348" s="3"/>
      <c r="P348" s="3"/>
      <c r="Q348" s="3"/>
      <c r="R348" s="3"/>
      <c r="S348" s="3"/>
      <c r="T348" s="3"/>
      <c r="U348" s="3"/>
      <c r="V348" s="47"/>
      <c r="W348" s="47"/>
      <c r="X348" s="47"/>
      <c r="Y348" s="47"/>
      <c r="Z348" s="47"/>
      <c r="AA348" s="198"/>
      <c r="AB348" s="198"/>
      <c r="AC348" s="198"/>
      <c r="AD348" s="198"/>
      <c r="AE348" s="198"/>
      <c r="AF348" s="198"/>
      <c r="AG348" s="198"/>
      <c r="AH348" s="198"/>
      <c r="AI348" s="198"/>
      <c r="AJ348" s="198"/>
      <c r="AK348" s="198"/>
      <c r="AL348" s="198"/>
      <c r="AM348" s="52"/>
      <c r="AN348" s="52"/>
      <c r="AO348" s="52"/>
      <c r="AP348" s="52"/>
      <c r="AQ348" s="52"/>
    </row>
    <row r="349" spans="1:43">
      <c r="A349" s="331">
        <v>44817</v>
      </c>
      <c r="B349" s="332">
        <v>3932.69</v>
      </c>
      <c r="C349" s="30">
        <v>325.44</v>
      </c>
      <c r="D349" s="22">
        <f t="shared" si="10"/>
        <v>-3.3755616432802156E-3</v>
      </c>
      <c r="E349" s="22">
        <f t="shared" si="11"/>
        <v>-1.2582476599663189E-3</v>
      </c>
      <c r="F349" s="12"/>
      <c r="G349" s="12"/>
      <c r="H349" s="3"/>
      <c r="I349" s="3"/>
      <c r="J349" s="3"/>
      <c r="K349" s="3"/>
      <c r="L349" s="3"/>
      <c r="M349" s="3"/>
      <c r="N349" s="3"/>
      <c r="O349" s="3"/>
      <c r="P349" s="3"/>
      <c r="Q349" s="3"/>
      <c r="R349" s="3"/>
      <c r="S349" s="3"/>
      <c r="T349" s="3"/>
      <c r="U349" s="3"/>
      <c r="V349" s="47"/>
      <c r="W349" s="47"/>
      <c r="X349" s="47"/>
      <c r="Y349" s="47"/>
      <c r="Z349" s="47"/>
      <c r="AA349" s="198"/>
      <c r="AB349" s="198"/>
      <c r="AC349" s="198"/>
      <c r="AD349" s="198"/>
      <c r="AE349" s="198"/>
      <c r="AF349" s="198"/>
      <c r="AG349" s="198"/>
      <c r="AH349" s="198"/>
      <c r="AI349" s="198"/>
      <c r="AJ349" s="198"/>
      <c r="AK349" s="198"/>
      <c r="AL349" s="198"/>
      <c r="AM349" s="52"/>
      <c r="AN349" s="52"/>
      <c r="AO349" s="52"/>
      <c r="AP349" s="52"/>
      <c r="AQ349" s="52"/>
    </row>
    <row r="350" spans="1:43">
      <c r="A350" s="331">
        <v>44816</v>
      </c>
      <c r="B350" s="332">
        <v>4110.41</v>
      </c>
      <c r="C350" s="30">
        <v>338.42</v>
      </c>
      <c r="D350" s="22">
        <f t="shared" si="10"/>
        <v>4.5190442165540586E-2</v>
      </c>
      <c r="E350" s="22">
        <f t="shared" si="11"/>
        <v>3.988446411012788E-2</v>
      </c>
      <c r="F350" s="12"/>
      <c r="G350" s="12"/>
      <c r="H350" s="3"/>
      <c r="I350" s="3"/>
      <c r="J350" s="3"/>
      <c r="K350" s="3"/>
      <c r="L350" s="3"/>
      <c r="M350" s="3"/>
      <c r="N350" s="3"/>
      <c r="O350" s="3"/>
      <c r="P350" s="3"/>
      <c r="Q350" s="3"/>
      <c r="R350" s="3"/>
      <c r="S350" s="3"/>
      <c r="T350" s="3"/>
      <c r="U350" s="3"/>
      <c r="V350" s="47"/>
      <c r="W350" s="47"/>
      <c r="X350" s="47"/>
      <c r="Y350" s="47"/>
      <c r="Z350" s="47"/>
      <c r="AA350" s="198"/>
      <c r="AB350" s="198"/>
      <c r="AC350" s="198"/>
      <c r="AD350" s="198"/>
      <c r="AE350" s="198"/>
      <c r="AF350" s="198"/>
      <c r="AG350" s="198"/>
      <c r="AH350" s="198"/>
      <c r="AI350" s="198"/>
      <c r="AJ350" s="198"/>
      <c r="AK350" s="198"/>
      <c r="AL350" s="198"/>
      <c r="AM350" s="52"/>
      <c r="AN350" s="52"/>
      <c r="AO350" s="52"/>
      <c r="AP350" s="52"/>
      <c r="AQ350" s="52"/>
    </row>
    <row r="351" spans="1:43">
      <c r="A351" s="331">
        <v>44813</v>
      </c>
      <c r="B351" s="332">
        <v>4067.36</v>
      </c>
      <c r="C351" s="30">
        <v>335.85</v>
      </c>
      <c r="D351" s="22">
        <f t="shared" si="10"/>
        <v>-1.0473407762242631E-2</v>
      </c>
      <c r="E351" s="22">
        <f t="shared" si="11"/>
        <v>-7.5941138230600823E-3</v>
      </c>
      <c r="F351" s="12"/>
      <c r="G351" s="12"/>
      <c r="H351" s="3"/>
      <c r="I351" s="3"/>
      <c r="J351" s="3"/>
      <c r="K351" s="3"/>
      <c r="L351" s="3"/>
      <c r="M351" s="3"/>
      <c r="N351" s="3"/>
      <c r="O351" s="3"/>
      <c r="P351" s="3"/>
      <c r="Q351" s="3"/>
      <c r="R351" s="3"/>
      <c r="S351" s="3"/>
      <c r="T351" s="3"/>
      <c r="U351" s="3"/>
      <c r="V351" s="47"/>
      <c r="W351" s="47"/>
      <c r="X351" s="47"/>
      <c r="Y351" s="47"/>
      <c r="Z351" s="47"/>
      <c r="AA351" s="198"/>
      <c r="AB351" s="198"/>
      <c r="AC351" s="198"/>
      <c r="AD351" s="198"/>
      <c r="AE351" s="198"/>
      <c r="AF351" s="198"/>
      <c r="AG351" s="198"/>
      <c r="AH351" s="198"/>
      <c r="AI351" s="198"/>
      <c r="AJ351" s="198"/>
      <c r="AK351" s="198"/>
      <c r="AL351" s="198"/>
      <c r="AM351" s="52"/>
      <c r="AN351" s="52"/>
      <c r="AO351" s="52"/>
      <c r="AP351" s="52"/>
      <c r="AQ351" s="52"/>
    </row>
    <row r="352" spans="1:43">
      <c r="A352" s="331">
        <v>44812</v>
      </c>
      <c r="B352" s="332">
        <v>4006.18</v>
      </c>
      <c r="C352" s="30">
        <v>330.07</v>
      </c>
      <c r="D352" s="22">
        <f t="shared" si="10"/>
        <v>-1.5041697808898226E-2</v>
      </c>
      <c r="E352" s="22">
        <f t="shared" si="11"/>
        <v>-1.7210064016674197E-2</v>
      </c>
      <c r="F352" s="12"/>
      <c r="G352" s="12"/>
      <c r="H352" s="3"/>
      <c r="I352" s="3"/>
      <c r="J352" s="3"/>
      <c r="K352" s="3"/>
      <c r="L352" s="3"/>
      <c r="M352" s="3"/>
      <c r="N352" s="3"/>
      <c r="O352" s="3"/>
      <c r="P352" s="3"/>
      <c r="Q352" s="3"/>
      <c r="R352" s="3"/>
      <c r="S352" s="3"/>
      <c r="T352" s="3"/>
      <c r="U352" s="3"/>
      <c r="V352" s="47"/>
      <c r="W352" s="47"/>
      <c r="X352" s="47"/>
      <c r="Y352" s="47"/>
      <c r="Z352" s="47"/>
      <c r="AA352" s="198"/>
      <c r="AB352" s="198"/>
      <c r="AC352" s="198"/>
      <c r="AD352" s="198"/>
      <c r="AE352" s="198"/>
      <c r="AF352" s="198"/>
      <c r="AG352" s="198"/>
      <c r="AH352" s="198"/>
      <c r="AI352" s="198"/>
      <c r="AJ352" s="198"/>
      <c r="AK352" s="198"/>
      <c r="AL352" s="198"/>
      <c r="AM352" s="52"/>
      <c r="AN352" s="52"/>
      <c r="AO352" s="52"/>
      <c r="AP352" s="52"/>
      <c r="AQ352" s="52"/>
    </row>
    <row r="353" spans="1:43">
      <c r="A353" s="331">
        <v>44811</v>
      </c>
      <c r="B353" s="332">
        <v>3979.87</v>
      </c>
      <c r="C353" s="30">
        <v>328.62</v>
      </c>
      <c r="D353" s="22">
        <f t="shared" si="10"/>
        <v>-6.5673534389368293E-3</v>
      </c>
      <c r="E353" s="22">
        <f t="shared" si="11"/>
        <v>-4.3930075438542993E-3</v>
      </c>
      <c r="F353" s="12"/>
      <c r="G353" s="12"/>
      <c r="H353" s="3"/>
      <c r="I353" s="3"/>
      <c r="J353" s="3"/>
      <c r="K353" s="3"/>
      <c r="L353" s="3"/>
      <c r="M353" s="3"/>
      <c r="N353" s="3"/>
      <c r="O353" s="3"/>
      <c r="P353" s="3"/>
      <c r="Q353" s="3"/>
      <c r="R353" s="3"/>
      <c r="S353" s="3"/>
      <c r="T353" s="3"/>
      <c r="U353" s="3"/>
      <c r="V353" s="47"/>
      <c r="W353" s="47"/>
      <c r="X353" s="47"/>
      <c r="Y353" s="47"/>
      <c r="Z353" s="47"/>
      <c r="AA353" s="198"/>
      <c r="AB353" s="198"/>
      <c r="AC353" s="198"/>
      <c r="AD353" s="198"/>
      <c r="AE353" s="198"/>
      <c r="AF353" s="198"/>
      <c r="AG353" s="198"/>
      <c r="AH353" s="198"/>
      <c r="AI353" s="198"/>
      <c r="AJ353" s="198"/>
      <c r="AK353" s="198"/>
      <c r="AL353" s="198"/>
      <c r="AM353" s="52"/>
      <c r="AN353" s="52"/>
      <c r="AO353" s="52"/>
      <c r="AP353" s="52"/>
      <c r="AQ353" s="52"/>
    </row>
    <row r="354" spans="1:43">
      <c r="A354" s="331">
        <v>44810</v>
      </c>
      <c r="B354" s="332">
        <v>3908.19</v>
      </c>
      <c r="C354" s="30">
        <v>324.08</v>
      </c>
      <c r="D354" s="22">
        <f t="shared" si="10"/>
        <v>-1.8010638538444684E-2</v>
      </c>
      <c r="E354" s="22">
        <f t="shared" si="11"/>
        <v>-1.3815349035360053E-2</v>
      </c>
      <c r="F354" s="12"/>
      <c r="G354" s="12"/>
      <c r="H354" s="3"/>
      <c r="I354" s="3"/>
      <c r="J354" s="3"/>
      <c r="K354" s="3"/>
      <c r="L354" s="3"/>
      <c r="M354" s="3"/>
      <c r="N354" s="3"/>
      <c r="O354" s="3"/>
      <c r="P354" s="3"/>
      <c r="Q354" s="3"/>
      <c r="R354" s="3"/>
      <c r="S354" s="3"/>
      <c r="T354" s="3"/>
      <c r="U354" s="3"/>
      <c r="V354" s="47"/>
      <c r="W354" s="47"/>
      <c r="X354" s="47"/>
      <c r="Y354" s="47"/>
      <c r="Z354" s="47"/>
      <c r="AA354" s="198"/>
      <c r="AB354" s="198"/>
      <c r="AC354" s="198"/>
      <c r="AD354" s="198"/>
      <c r="AE354" s="198"/>
      <c r="AF354" s="198"/>
      <c r="AG354" s="198"/>
      <c r="AH354" s="198"/>
      <c r="AI354" s="198"/>
      <c r="AJ354" s="198"/>
      <c r="AK354" s="198"/>
      <c r="AL354" s="198"/>
      <c r="AM354" s="52"/>
      <c r="AN354" s="52"/>
      <c r="AO354" s="52"/>
      <c r="AP354" s="52"/>
      <c r="AQ354" s="52"/>
    </row>
    <row r="355" spans="1:43">
      <c r="A355" s="331">
        <v>44806</v>
      </c>
      <c r="B355" s="332">
        <v>3924.26</v>
      </c>
      <c r="C355" s="30">
        <v>322.56</v>
      </c>
      <c r="D355" s="22">
        <f t="shared" si="10"/>
        <v>4.111877876971223E-3</v>
      </c>
      <c r="E355" s="22">
        <f t="shared" si="11"/>
        <v>-4.690199950629418E-3</v>
      </c>
      <c r="F355" s="12"/>
      <c r="G355" s="12"/>
      <c r="H355" s="3"/>
      <c r="I355" s="3"/>
      <c r="J355" s="3"/>
      <c r="K355" s="3"/>
      <c r="L355" s="3"/>
      <c r="M355" s="3"/>
      <c r="N355" s="3"/>
      <c r="O355" s="3"/>
      <c r="P355" s="3"/>
      <c r="Q355" s="3"/>
      <c r="R355" s="3"/>
      <c r="S355" s="3"/>
      <c r="T355" s="3"/>
      <c r="U355" s="3"/>
      <c r="V355" s="47"/>
      <c r="W355" s="47"/>
      <c r="X355" s="47"/>
      <c r="Y355" s="47"/>
      <c r="Z355" s="47"/>
      <c r="AA355" s="198"/>
      <c r="AB355" s="198"/>
      <c r="AC355" s="198"/>
      <c r="AD355" s="198"/>
      <c r="AE355" s="198"/>
      <c r="AF355" s="198"/>
      <c r="AG355" s="198"/>
      <c r="AH355" s="198"/>
      <c r="AI355" s="198"/>
      <c r="AJ355" s="198"/>
      <c r="AK355" s="198"/>
      <c r="AL355" s="198"/>
      <c r="AM355" s="52"/>
      <c r="AN355" s="52"/>
      <c r="AO355" s="52"/>
      <c r="AP355" s="52"/>
      <c r="AQ355" s="52"/>
    </row>
    <row r="356" spans="1:43">
      <c r="A356" s="331">
        <v>44805</v>
      </c>
      <c r="B356" s="332">
        <v>3966.85</v>
      </c>
      <c r="C356" s="30">
        <v>325.25</v>
      </c>
      <c r="D356" s="22">
        <f t="shared" si="10"/>
        <v>1.0853001585012127E-2</v>
      </c>
      <c r="E356" s="22">
        <f t="shared" si="11"/>
        <v>8.3395337301587231E-3</v>
      </c>
      <c r="F356" s="12"/>
      <c r="G356" s="12"/>
      <c r="H356" s="3"/>
      <c r="I356" s="3"/>
      <c r="J356" s="3"/>
      <c r="K356" s="3"/>
      <c r="L356" s="3"/>
      <c r="M356" s="3"/>
      <c r="N356" s="3"/>
      <c r="O356" s="3"/>
      <c r="P356" s="3"/>
      <c r="Q356" s="3"/>
      <c r="R356" s="3"/>
      <c r="S356" s="3"/>
      <c r="T356" s="3"/>
      <c r="U356" s="3"/>
      <c r="V356" s="47"/>
      <c r="W356" s="47"/>
      <c r="X356" s="47"/>
      <c r="Y356" s="47"/>
      <c r="Z356" s="47"/>
      <c r="AA356" s="198"/>
      <c r="AB356" s="198"/>
      <c r="AC356" s="198"/>
      <c r="AD356" s="198"/>
      <c r="AE356" s="198"/>
      <c r="AF356" s="198"/>
      <c r="AG356" s="198"/>
      <c r="AH356" s="198"/>
      <c r="AI356" s="198"/>
      <c r="AJ356" s="198"/>
      <c r="AK356" s="198"/>
      <c r="AL356" s="198"/>
      <c r="AM356" s="52"/>
      <c r="AN356" s="52"/>
      <c r="AO356" s="52"/>
      <c r="AP356" s="52"/>
      <c r="AQ356" s="52"/>
    </row>
    <row r="357" spans="1:43">
      <c r="A357" s="331">
        <v>44804</v>
      </c>
      <c r="B357" s="332">
        <v>3955</v>
      </c>
      <c r="C357" s="30">
        <v>324.37</v>
      </c>
      <c r="D357" s="22">
        <f t="shared" si="10"/>
        <v>-2.9872568914881856E-3</v>
      </c>
      <c r="E357" s="22">
        <f t="shared" si="11"/>
        <v>-2.7056110684089024E-3</v>
      </c>
      <c r="F357" s="12"/>
      <c r="G357" s="12"/>
      <c r="H357" s="3"/>
      <c r="I357" s="3"/>
      <c r="J357" s="3"/>
      <c r="K357" s="3"/>
      <c r="L357" s="3"/>
      <c r="M357" s="3"/>
      <c r="N357" s="3"/>
      <c r="O357" s="3"/>
      <c r="P357" s="3"/>
      <c r="Q357" s="3"/>
      <c r="R357" s="3"/>
      <c r="S357" s="3"/>
      <c r="T357" s="3"/>
      <c r="U357" s="3"/>
      <c r="V357" s="47"/>
      <c r="W357" s="47"/>
      <c r="X357" s="47"/>
      <c r="Y357" s="47"/>
      <c r="Z357" s="47"/>
      <c r="AA357" s="198"/>
      <c r="AB357" s="198"/>
      <c r="AC357" s="198"/>
      <c r="AD357" s="198"/>
      <c r="AE357" s="198"/>
      <c r="AF357" s="198"/>
      <c r="AG357" s="198"/>
      <c r="AH357" s="198"/>
      <c r="AI357" s="198"/>
      <c r="AJ357" s="198"/>
      <c r="AK357" s="198"/>
      <c r="AL357" s="198"/>
      <c r="AM357" s="52"/>
      <c r="AN357" s="52"/>
      <c r="AO357" s="52"/>
      <c r="AP357" s="52"/>
      <c r="AQ357" s="52"/>
    </row>
    <row r="358" spans="1:43">
      <c r="A358" s="331">
        <v>44803</v>
      </c>
      <c r="B358" s="332">
        <v>3986.16</v>
      </c>
      <c r="C358" s="30">
        <v>327.81</v>
      </c>
      <c r="D358" s="22">
        <f t="shared" si="10"/>
        <v>7.8786346396965499E-3</v>
      </c>
      <c r="E358" s="22">
        <f t="shared" si="11"/>
        <v>1.0605173104787735E-2</v>
      </c>
      <c r="F358" s="12"/>
      <c r="G358" s="12"/>
      <c r="H358" s="3"/>
      <c r="I358" s="3"/>
      <c r="J358" s="3"/>
      <c r="K358" s="3"/>
      <c r="L358" s="3"/>
      <c r="M358" s="3"/>
      <c r="N358" s="3"/>
      <c r="O358" s="3"/>
      <c r="P358" s="3"/>
      <c r="Q358" s="3"/>
      <c r="R358" s="3"/>
      <c r="S358" s="3"/>
      <c r="T358" s="3"/>
      <c r="U358" s="3"/>
      <c r="V358" s="47"/>
      <c r="W358" s="47"/>
      <c r="X358" s="47"/>
      <c r="Y358" s="47"/>
      <c r="Z358" s="47"/>
      <c r="AA358" s="198"/>
      <c r="AB358" s="198"/>
      <c r="AC358" s="198"/>
      <c r="AD358" s="198"/>
      <c r="AE358" s="198"/>
      <c r="AF358" s="198"/>
      <c r="AG358" s="198"/>
      <c r="AH358" s="198"/>
      <c r="AI358" s="198"/>
      <c r="AJ358" s="198"/>
      <c r="AK358" s="198"/>
      <c r="AL358" s="198"/>
      <c r="AM358" s="52"/>
      <c r="AN358" s="52"/>
      <c r="AO358" s="52"/>
      <c r="AP358" s="52"/>
      <c r="AQ358" s="52"/>
    </row>
    <row r="359" spans="1:43">
      <c r="A359" s="331">
        <v>44802</v>
      </c>
      <c r="B359" s="332">
        <v>4030.61</v>
      </c>
      <c r="C359" s="30">
        <v>329.35</v>
      </c>
      <c r="D359" s="22">
        <f t="shared" si="10"/>
        <v>1.1151082746302275E-2</v>
      </c>
      <c r="E359" s="22">
        <f t="shared" si="11"/>
        <v>4.6978432628657467E-3</v>
      </c>
      <c r="F359" s="12"/>
      <c r="G359" s="12"/>
      <c r="H359" s="3"/>
      <c r="I359" s="3"/>
      <c r="J359" s="3"/>
      <c r="K359" s="3"/>
      <c r="L359" s="3"/>
      <c r="M359" s="3"/>
      <c r="N359" s="3"/>
      <c r="O359" s="3"/>
      <c r="P359" s="3"/>
      <c r="Q359" s="3"/>
      <c r="R359" s="3"/>
      <c r="S359" s="3"/>
      <c r="T359" s="3"/>
      <c r="U359" s="3"/>
      <c r="V359" s="47"/>
      <c r="W359" s="47"/>
      <c r="X359" s="47"/>
      <c r="Y359" s="47"/>
      <c r="Z359" s="47"/>
      <c r="AA359" s="198"/>
      <c r="AB359" s="198"/>
      <c r="AC359" s="198"/>
      <c r="AD359" s="198"/>
      <c r="AE359" s="198"/>
      <c r="AF359" s="198"/>
      <c r="AG359" s="198"/>
      <c r="AH359" s="198"/>
      <c r="AI359" s="198"/>
      <c r="AJ359" s="198"/>
      <c r="AK359" s="198"/>
      <c r="AL359" s="198"/>
      <c r="AM359" s="52"/>
      <c r="AN359" s="52"/>
      <c r="AO359" s="52"/>
      <c r="AP359" s="52"/>
      <c r="AQ359" s="52"/>
    </row>
    <row r="360" spans="1:43">
      <c r="A360" s="331">
        <v>44799</v>
      </c>
      <c r="B360" s="332">
        <v>4057.66</v>
      </c>
      <c r="C360" s="30">
        <v>331.96</v>
      </c>
      <c r="D360" s="22">
        <f t="shared" si="10"/>
        <v>6.7111429783580463E-3</v>
      </c>
      <c r="E360" s="22">
        <f t="shared" si="11"/>
        <v>7.9247001669954659E-3</v>
      </c>
      <c r="F360" s="12"/>
      <c r="G360" s="12"/>
      <c r="H360" s="3"/>
      <c r="I360" s="3"/>
      <c r="J360" s="3"/>
      <c r="K360" s="3"/>
      <c r="L360" s="3"/>
      <c r="M360" s="3"/>
      <c r="N360" s="3"/>
      <c r="O360" s="3"/>
      <c r="P360" s="3"/>
      <c r="Q360" s="3"/>
      <c r="R360" s="3"/>
      <c r="S360" s="3"/>
      <c r="T360" s="3"/>
      <c r="U360" s="3"/>
      <c r="V360" s="47"/>
      <c r="W360" s="47"/>
      <c r="X360" s="47"/>
      <c r="Y360" s="47"/>
      <c r="Z360" s="47"/>
      <c r="AA360" s="198"/>
      <c r="AB360" s="198"/>
      <c r="AC360" s="198"/>
      <c r="AD360" s="198"/>
      <c r="AE360" s="198"/>
      <c r="AF360" s="198"/>
      <c r="AG360" s="198"/>
      <c r="AH360" s="198"/>
      <c r="AI360" s="198"/>
      <c r="AJ360" s="198"/>
      <c r="AK360" s="198"/>
      <c r="AL360" s="198"/>
      <c r="AM360" s="52"/>
      <c r="AN360" s="52"/>
      <c r="AO360" s="52"/>
      <c r="AP360" s="52"/>
      <c r="AQ360" s="52"/>
    </row>
    <row r="361" spans="1:43">
      <c r="A361" s="331">
        <v>44798</v>
      </c>
      <c r="B361" s="332">
        <v>4199.12</v>
      </c>
      <c r="C361" s="30">
        <v>344.67</v>
      </c>
      <c r="D361" s="22">
        <f t="shared" si="10"/>
        <v>3.4862457672648776E-2</v>
      </c>
      <c r="E361" s="22">
        <f t="shared" si="11"/>
        <v>3.8287745511507522E-2</v>
      </c>
      <c r="F361" s="12"/>
      <c r="G361" s="12"/>
      <c r="H361" s="3"/>
      <c r="I361" s="3"/>
      <c r="J361" s="3"/>
      <c r="K361" s="3"/>
      <c r="L361" s="3"/>
      <c r="M361" s="3"/>
      <c r="N361" s="3"/>
      <c r="O361" s="3"/>
      <c r="P361" s="3"/>
      <c r="Q361" s="3"/>
      <c r="R361" s="3"/>
      <c r="S361" s="3"/>
      <c r="T361" s="3"/>
      <c r="U361" s="3"/>
      <c r="V361" s="47"/>
      <c r="W361" s="47"/>
      <c r="X361" s="47"/>
      <c r="Y361" s="47"/>
      <c r="Z361" s="47"/>
      <c r="AA361" s="198"/>
      <c r="AB361" s="198"/>
      <c r="AC361" s="198"/>
      <c r="AD361" s="198"/>
      <c r="AE361" s="198"/>
      <c r="AF361" s="198"/>
      <c r="AG361" s="198"/>
      <c r="AH361" s="198"/>
      <c r="AI361" s="198"/>
      <c r="AJ361" s="198"/>
      <c r="AK361" s="198"/>
      <c r="AL361" s="198"/>
      <c r="AM361" s="52"/>
      <c r="AN361" s="52"/>
      <c r="AO361" s="52"/>
      <c r="AP361" s="52"/>
      <c r="AQ361" s="52"/>
    </row>
    <row r="362" spans="1:43">
      <c r="A362" s="331">
        <v>44797</v>
      </c>
      <c r="B362" s="332">
        <v>4140.7700000000004</v>
      </c>
      <c r="C362" s="30">
        <v>339.71</v>
      </c>
      <c r="D362" s="22">
        <f t="shared" si="10"/>
        <v>-1.3895768637238149E-2</v>
      </c>
      <c r="E362" s="22">
        <f t="shared" si="11"/>
        <v>-1.4390576493457615E-2</v>
      </c>
      <c r="F362" s="12"/>
      <c r="G362" s="12"/>
      <c r="H362" s="3"/>
      <c r="I362" s="3"/>
      <c r="J362" s="3"/>
      <c r="K362" s="3"/>
      <c r="L362" s="3"/>
      <c r="M362" s="3"/>
      <c r="N362" s="3"/>
      <c r="O362" s="3"/>
      <c r="P362" s="3"/>
      <c r="Q362" s="3"/>
      <c r="R362" s="3"/>
      <c r="S362" s="3"/>
      <c r="T362" s="3"/>
      <c r="U362" s="3"/>
      <c r="V362" s="47"/>
      <c r="W362" s="47"/>
      <c r="X362" s="47"/>
      <c r="Y362" s="47"/>
      <c r="Z362" s="47"/>
      <c r="AA362" s="198"/>
      <c r="AB362" s="198"/>
      <c r="AC362" s="198"/>
      <c r="AD362" s="198"/>
      <c r="AE362" s="198"/>
      <c r="AF362" s="198"/>
      <c r="AG362" s="198"/>
      <c r="AH362" s="198"/>
      <c r="AI362" s="198"/>
      <c r="AJ362" s="198"/>
      <c r="AK362" s="198"/>
      <c r="AL362" s="198"/>
      <c r="AM362" s="52"/>
      <c r="AN362" s="52"/>
      <c r="AO362" s="52"/>
      <c r="AP362" s="52"/>
      <c r="AQ362" s="52"/>
    </row>
    <row r="363" spans="1:43">
      <c r="A363" s="331">
        <v>44796</v>
      </c>
      <c r="B363" s="332">
        <v>4128.7299999999996</v>
      </c>
      <c r="C363" s="30">
        <v>340.89</v>
      </c>
      <c r="D363" s="22">
        <f t="shared" si="10"/>
        <v>-2.9076717615324861E-3</v>
      </c>
      <c r="E363" s="22">
        <f t="shared" si="11"/>
        <v>3.4735509699449735E-3</v>
      </c>
      <c r="F363" s="12"/>
      <c r="G363" s="12"/>
      <c r="H363" s="3"/>
      <c r="I363" s="3"/>
      <c r="J363" s="3"/>
      <c r="K363" s="3"/>
      <c r="L363" s="3"/>
      <c r="M363" s="3"/>
      <c r="N363" s="3"/>
      <c r="O363" s="3"/>
      <c r="P363" s="3"/>
      <c r="Q363" s="3"/>
      <c r="R363" s="3"/>
      <c r="S363" s="3"/>
      <c r="T363" s="3"/>
      <c r="U363" s="3"/>
      <c r="V363" s="47"/>
      <c r="W363" s="47"/>
      <c r="X363" s="47"/>
      <c r="Y363" s="47"/>
      <c r="Z363" s="47"/>
      <c r="AA363" s="198"/>
      <c r="AB363" s="198"/>
      <c r="AC363" s="198"/>
      <c r="AD363" s="198"/>
      <c r="AE363" s="198"/>
      <c r="AF363" s="198"/>
      <c r="AG363" s="198"/>
      <c r="AH363" s="198"/>
      <c r="AI363" s="198"/>
      <c r="AJ363" s="198"/>
      <c r="AK363" s="198"/>
      <c r="AL363" s="198"/>
      <c r="AM363" s="52"/>
      <c r="AN363" s="52"/>
      <c r="AO363" s="52"/>
      <c r="AP363" s="52"/>
      <c r="AQ363" s="52"/>
    </row>
    <row r="364" spans="1:43">
      <c r="A364" s="331">
        <v>44795</v>
      </c>
      <c r="B364" s="332">
        <v>4137.99</v>
      </c>
      <c r="C364" s="30">
        <v>345.51</v>
      </c>
      <c r="D364" s="22">
        <f t="shared" si="10"/>
        <v>2.2428204314644501E-3</v>
      </c>
      <c r="E364" s="22">
        <f t="shared" si="11"/>
        <v>1.3552758954501466E-2</v>
      </c>
      <c r="F364" s="12"/>
      <c r="G364" s="12"/>
      <c r="H364" s="3"/>
      <c r="I364" s="3"/>
      <c r="J364" s="3"/>
      <c r="K364" s="3"/>
      <c r="L364" s="3"/>
      <c r="M364" s="3"/>
      <c r="N364" s="3"/>
      <c r="O364" s="3"/>
      <c r="P364" s="3"/>
      <c r="Q364" s="3"/>
      <c r="R364" s="3"/>
      <c r="S364" s="3"/>
      <c r="T364" s="3"/>
      <c r="U364" s="3"/>
      <c r="V364" s="47"/>
      <c r="W364" s="47"/>
      <c r="X364" s="47"/>
      <c r="Y364" s="47"/>
      <c r="Z364" s="47"/>
      <c r="AA364" s="198"/>
      <c r="AB364" s="198"/>
      <c r="AC364" s="198"/>
      <c r="AD364" s="198"/>
      <c r="AE364" s="198"/>
      <c r="AF364" s="198"/>
      <c r="AG364" s="198"/>
      <c r="AH364" s="198"/>
      <c r="AI364" s="198"/>
      <c r="AJ364" s="198"/>
      <c r="AK364" s="198"/>
      <c r="AL364" s="198"/>
      <c r="AM364" s="52"/>
      <c r="AN364" s="52"/>
      <c r="AO364" s="52"/>
      <c r="AP364" s="52"/>
      <c r="AQ364" s="52"/>
    </row>
    <row r="365" spans="1:43">
      <c r="A365" s="331">
        <v>44792</v>
      </c>
      <c r="B365" s="332">
        <v>4228.4799999999996</v>
      </c>
      <c r="C365" s="30">
        <v>354.28</v>
      </c>
      <c r="D365" s="22">
        <f t="shared" si="10"/>
        <v>2.1868105046169706E-2</v>
      </c>
      <c r="E365" s="22">
        <f t="shared" si="11"/>
        <v>2.5382767503111289E-2</v>
      </c>
      <c r="F365" s="12"/>
      <c r="G365" s="12"/>
      <c r="H365" s="3"/>
      <c r="I365" s="3"/>
      <c r="J365" s="3"/>
      <c r="K365" s="3"/>
      <c r="L365" s="3"/>
      <c r="M365" s="3"/>
      <c r="N365" s="3"/>
      <c r="O365" s="3"/>
      <c r="P365" s="3"/>
      <c r="Q365" s="3"/>
      <c r="R365" s="3"/>
      <c r="S365" s="3"/>
      <c r="T365" s="3"/>
      <c r="U365" s="3"/>
      <c r="V365" s="47"/>
      <c r="W365" s="47"/>
      <c r="X365" s="47"/>
      <c r="Y365" s="47"/>
      <c r="Z365" s="47"/>
      <c r="AA365" s="198"/>
      <c r="AB365" s="198"/>
      <c r="AC365" s="198"/>
      <c r="AD365" s="198"/>
      <c r="AE365" s="198"/>
      <c r="AF365" s="198"/>
      <c r="AG365" s="198"/>
      <c r="AH365" s="198"/>
      <c r="AI365" s="198"/>
      <c r="AJ365" s="198"/>
      <c r="AK365" s="198"/>
      <c r="AL365" s="198"/>
      <c r="AM365" s="52"/>
      <c r="AN365" s="52"/>
      <c r="AO365" s="52"/>
      <c r="AP365" s="52"/>
      <c r="AQ365" s="52"/>
    </row>
    <row r="366" spans="1:43">
      <c r="A366" s="331">
        <v>44791</v>
      </c>
      <c r="B366" s="332">
        <v>4283.74</v>
      </c>
      <c r="C366" s="30">
        <v>357.36</v>
      </c>
      <c r="D366" s="22">
        <f t="shared" si="10"/>
        <v>1.3068525805963425E-2</v>
      </c>
      <c r="E366" s="22">
        <f t="shared" si="11"/>
        <v>8.6936886078808878E-3</v>
      </c>
      <c r="F366" s="12"/>
      <c r="G366" s="12"/>
      <c r="H366" s="3"/>
      <c r="I366" s="3"/>
      <c r="J366" s="3"/>
      <c r="K366" s="3"/>
      <c r="L366" s="3"/>
      <c r="M366" s="3"/>
      <c r="N366" s="3"/>
      <c r="O366" s="3"/>
      <c r="P366" s="3"/>
      <c r="Q366" s="3"/>
      <c r="R366" s="3"/>
      <c r="S366" s="3"/>
      <c r="T366" s="3"/>
      <c r="U366" s="3"/>
      <c r="V366" s="47"/>
      <c r="W366" s="47"/>
      <c r="X366" s="47"/>
      <c r="Y366" s="47"/>
      <c r="Z366" s="47"/>
      <c r="AA366" s="198"/>
      <c r="AB366" s="198"/>
      <c r="AC366" s="198"/>
      <c r="AD366" s="198"/>
      <c r="AE366" s="198"/>
      <c r="AF366" s="198"/>
      <c r="AG366" s="198"/>
      <c r="AH366" s="198"/>
      <c r="AI366" s="198"/>
      <c r="AJ366" s="198"/>
      <c r="AK366" s="198"/>
      <c r="AL366" s="198"/>
      <c r="AM366" s="52"/>
      <c r="AN366" s="52"/>
      <c r="AO366" s="52"/>
      <c r="AP366" s="52"/>
      <c r="AQ366" s="52"/>
    </row>
    <row r="367" spans="1:43">
      <c r="A367" s="331">
        <v>44790</v>
      </c>
      <c r="B367" s="332">
        <v>4274.04</v>
      </c>
      <c r="C367" s="30">
        <v>355.33</v>
      </c>
      <c r="D367" s="22">
        <f t="shared" si="10"/>
        <v>-2.2643764560873951E-3</v>
      </c>
      <c r="E367" s="22">
        <f t="shared" si="11"/>
        <v>-5.6805462278935234E-3</v>
      </c>
      <c r="F367" s="12"/>
      <c r="G367" s="12"/>
      <c r="H367" s="3"/>
      <c r="I367" s="3"/>
      <c r="J367" s="3"/>
      <c r="K367" s="3"/>
      <c r="L367" s="3"/>
      <c r="M367" s="3"/>
      <c r="N367" s="3"/>
      <c r="O367" s="3"/>
      <c r="P367" s="3"/>
      <c r="Q367" s="3"/>
      <c r="R367" s="3"/>
      <c r="S367" s="3"/>
      <c r="T367" s="3"/>
      <c r="U367" s="3"/>
      <c r="V367" s="47"/>
      <c r="W367" s="47"/>
      <c r="X367" s="47"/>
      <c r="Y367" s="47"/>
      <c r="Z367" s="47"/>
      <c r="AA367" s="198"/>
      <c r="AB367" s="198"/>
      <c r="AC367" s="198"/>
      <c r="AD367" s="198"/>
      <c r="AE367" s="198"/>
      <c r="AF367" s="198"/>
      <c r="AG367" s="198"/>
      <c r="AH367" s="198"/>
      <c r="AI367" s="198"/>
      <c r="AJ367" s="198"/>
      <c r="AK367" s="198"/>
      <c r="AL367" s="198"/>
      <c r="AM367" s="52"/>
      <c r="AN367" s="52"/>
      <c r="AO367" s="52"/>
      <c r="AP367" s="52"/>
      <c r="AQ367" s="52"/>
    </row>
    <row r="368" spans="1:43">
      <c r="A368" s="331">
        <v>44789</v>
      </c>
      <c r="B368" s="332">
        <v>4305.2</v>
      </c>
      <c r="C368" s="30">
        <v>359.25</v>
      </c>
      <c r="D368" s="22">
        <f t="shared" si="10"/>
        <v>7.2905260596531282E-3</v>
      </c>
      <c r="E368" s="22">
        <f t="shared" si="11"/>
        <v>1.103199842400027E-2</v>
      </c>
      <c r="F368" s="12"/>
      <c r="G368" s="12"/>
      <c r="H368" s="3"/>
      <c r="I368" s="3"/>
      <c r="J368" s="3"/>
      <c r="K368" s="3"/>
      <c r="L368" s="3"/>
      <c r="M368" s="3"/>
      <c r="N368" s="3"/>
      <c r="O368" s="3"/>
      <c r="P368" s="3"/>
      <c r="Q368" s="3"/>
      <c r="R368" s="3"/>
      <c r="S368" s="3"/>
      <c r="T368" s="3"/>
      <c r="U368" s="3"/>
      <c r="V368" s="47"/>
      <c r="W368" s="47"/>
      <c r="X368" s="47"/>
      <c r="Y368" s="47"/>
      <c r="Z368" s="47"/>
      <c r="AA368" s="198"/>
      <c r="AB368" s="198"/>
      <c r="AC368" s="198"/>
      <c r="AD368" s="198"/>
      <c r="AE368" s="198"/>
      <c r="AF368" s="198"/>
      <c r="AG368" s="198"/>
      <c r="AH368" s="198"/>
      <c r="AI368" s="198"/>
      <c r="AJ368" s="198"/>
      <c r="AK368" s="198"/>
      <c r="AL368" s="198"/>
      <c r="AM368" s="52"/>
      <c r="AN368" s="52"/>
      <c r="AO368" s="52"/>
      <c r="AP368" s="52"/>
      <c r="AQ368" s="52"/>
    </row>
    <row r="369" spans="1:43">
      <c r="A369" s="331">
        <v>44788</v>
      </c>
      <c r="B369" s="332">
        <v>4297.1400000000003</v>
      </c>
      <c r="C369" s="30">
        <v>359.95</v>
      </c>
      <c r="D369" s="22">
        <f t="shared" si="10"/>
        <v>-1.8721546037349E-3</v>
      </c>
      <c r="E369" s="22">
        <f t="shared" si="11"/>
        <v>1.9485038274182009E-3</v>
      </c>
      <c r="F369" s="12"/>
      <c r="G369" s="12"/>
      <c r="H369" s="3"/>
      <c r="I369" s="3"/>
      <c r="J369" s="3"/>
      <c r="K369" s="3"/>
      <c r="L369" s="3"/>
      <c r="M369" s="3"/>
      <c r="N369" s="3"/>
      <c r="O369" s="3"/>
      <c r="P369" s="3"/>
      <c r="Q369" s="3"/>
      <c r="R369" s="3"/>
      <c r="S369" s="3"/>
      <c r="T369" s="3"/>
      <c r="U369" s="3"/>
      <c r="V369" s="47"/>
      <c r="W369" s="47"/>
      <c r="X369" s="47"/>
      <c r="Y369" s="47"/>
      <c r="Z369" s="47"/>
      <c r="AA369" s="198"/>
      <c r="AB369" s="198"/>
      <c r="AC369" s="198"/>
      <c r="AD369" s="198"/>
      <c r="AE369" s="198"/>
      <c r="AF369" s="198"/>
      <c r="AG369" s="198"/>
      <c r="AH369" s="198"/>
      <c r="AI369" s="198"/>
      <c r="AJ369" s="198"/>
      <c r="AK369" s="198"/>
      <c r="AL369" s="198"/>
      <c r="AM369" s="52"/>
      <c r="AN369" s="52"/>
      <c r="AO369" s="52"/>
      <c r="AP369" s="52"/>
      <c r="AQ369" s="52"/>
    </row>
    <row r="370" spans="1:43">
      <c r="A370" s="331">
        <v>44785</v>
      </c>
      <c r="B370" s="332">
        <v>4280.1499999999996</v>
      </c>
      <c r="C370" s="30">
        <v>354.27</v>
      </c>
      <c r="D370" s="22">
        <f t="shared" si="10"/>
        <v>-3.9537925224685929E-3</v>
      </c>
      <c r="E370" s="22">
        <f t="shared" si="11"/>
        <v>-1.5779969440200048E-2</v>
      </c>
      <c r="F370" s="12"/>
      <c r="G370" s="12"/>
      <c r="H370" s="3"/>
      <c r="I370" s="3"/>
      <c r="J370" s="3"/>
      <c r="K370" s="3"/>
      <c r="L370" s="3"/>
      <c r="M370" s="3"/>
      <c r="N370" s="3"/>
      <c r="O370" s="3"/>
      <c r="P370" s="3"/>
      <c r="Q370" s="3"/>
      <c r="R370" s="3"/>
      <c r="S370" s="3"/>
      <c r="T370" s="3"/>
      <c r="U370" s="3"/>
      <c r="V370" s="47"/>
      <c r="W370" s="47"/>
      <c r="X370" s="47"/>
      <c r="Y370" s="47"/>
      <c r="Z370" s="47"/>
      <c r="AA370" s="198"/>
      <c r="AB370" s="198"/>
      <c r="AC370" s="198"/>
      <c r="AD370" s="198"/>
      <c r="AE370" s="198"/>
      <c r="AF370" s="198"/>
      <c r="AG370" s="198"/>
      <c r="AH370" s="198"/>
      <c r="AI370" s="198"/>
      <c r="AJ370" s="198"/>
      <c r="AK370" s="198"/>
      <c r="AL370" s="198"/>
      <c r="AM370" s="52"/>
      <c r="AN370" s="52"/>
      <c r="AO370" s="52"/>
      <c r="AP370" s="52"/>
      <c r="AQ370" s="52"/>
    </row>
    <row r="371" spans="1:43">
      <c r="A371" s="331">
        <v>44784</v>
      </c>
      <c r="B371" s="332">
        <v>4207.2700000000004</v>
      </c>
      <c r="C371" s="30">
        <v>350.58</v>
      </c>
      <c r="D371" s="22">
        <f t="shared" si="10"/>
        <v>-1.7027440627080642E-2</v>
      </c>
      <c r="E371" s="22">
        <f t="shared" si="11"/>
        <v>-1.0415784571089841E-2</v>
      </c>
      <c r="F371" s="12"/>
      <c r="G371" s="12"/>
      <c r="H371" s="3"/>
      <c r="I371" s="3"/>
      <c r="J371" s="3"/>
      <c r="K371" s="3"/>
      <c r="L371" s="3"/>
      <c r="M371" s="3"/>
      <c r="N371" s="3"/>
      <c r="O371" s="3"/>
      <c r="P371" s="3"/>
      <c r="Q371" s="3"/>
      <c r="R371" s="3"/>
      <c r="S371" s="3"/>
      <c r="T371" s="3"/>
      <c r="U371" s="3"/>
      <c r="V371" s="47"/>
      <c r="W371" s="47"/>
      <c r="X371" s="47"/>
      <c r="Y371" s="47"/>
      <c r="Z371" s="47"/>
      <c r="AA371" s="198"/>
      <c r="AB371" s="198"/>
      <c r="AC371" s="198"/>
      <c r="AD371" s="198"/>
      <c r="AE371" s="198"/>
      <c r="AF371" s="198"/>
      <c r="AG371" s="198"/>
      <c r="AH371" s="198"/>
      <c r="AI371" s="198"/>
      <c r="AJ371" s="198"/>
      <c r="AK371" s="198"/>
      <c r="AL371" s="198"/>
      <c r="AM371" s="52"/>
      <c r="AN371" s="52"/>
      <c r="AO371" s="52"/>
      <c r="AP371" s="52"/>
      <c r="AQ371" s="52"/>
    </row>
    <row r="372" spans="1:43">
      <c r="A372" s="331">
        <v>44783</v>
      </c>
      <c r="B372" s="332">
        <v>4210.24</v>
      </c>
      <c r="C372" s="30">
        <v>353.38</v>
      </c>
      <c r="D372" s="22">
        <f t="shared" si="10"/>
        <v>7.0592094160806058E-4</v>
      </c>
      <c r="E372" s="22">
        <f t="shared" si="11"/>
        <v>7.9867647897769734E-3</v>
      </c>
      <c r="F372" s="12"/>
      <c r="G372" s="12"/>
      <c r="H372" s="3"/>
      <c r="I372" s="3"/>
      <c r="J372" s="3"/>
      <c r="K372" s="3"/>
      <c r="L372" s="3"/>
      <c r="M372" s="3"/>
      <c r="N372" s="3"/>
      <c r="O372" s="3"/>
      <c r="P372" s="3"/>
      <c r="Q372" s="3"/>
      <c r="R372" s="3"/>
      <c r="S372" s="3"/>
      <c r="T372" s="3"/>
      <c r="U372" s="3"/>
      <c r="V372" s="47"/>
      <c r="W372" s="47"/>
      <c r="X372" s="47"/>
      <c r="Y372" s="47"/>
      <c r="Z372" s="47"/>
      <c r="AA372" s="198"/>
      <c r="AB372" s="198"/>
      <c r="AC372" s="198"/>
      <c r="AD372" s="198"/>
      <c r="AE372" s="198"/>
      <c r="AF372" s="198"/>
      <c r="AG372" s="198"/>
      <c r="AH372" s="198"/>
      <c r="AI372" s="198"/>
      <c r="AJ372" s="198"/>
      <c r="AK372" s="198"/>
      <c r="AL372" s="198"/>
      <c r="AM372" s="52"/>
      <c r="AN372" s="52"/>
      <c r="AO372" s="52"/>
      <c r="AP372" s="52"/>
      <c r="AQ372" s="52"/>
    </row>
    <row r="373" spans="1:43">
      <c r="A373" s="331">
        <v>44782</v>
      </c>
      <c r="B373" s="332">
        <v>4122.47</v>
      </c>
      <c r="C373" s="30">
        <v>346.54</v>
      </c>
      <c r="D373" s="22">
        <f t="shared" si="10"/>
        <v>-2.0846792581895458E-2</v>
      </c>
      <c r="E373" s="22">
        <f t="shared" si="11"/>
        <v>-1.9355934121908357E-2</v>
      </c>
      <c r="F373" s="12"/>
      <c r="G373" s="12"/>
      <c r="H373" s="3"/>
      <c r="I373" s="3"/>
      <c r="J373" s="3"/>
      <c r="K373" s="3"/>
      <c r="L373" s="3"/>
      <c r="M373" s="3"/>
      <c r="N373" s="3"/>
      <c r="O373" s="3"/>
      <c r="P373" s="3"/>
      <c r="Q373" s="3"/>
      <c r="R373" s="3"/>
      <c r="S373" s="3"/>
      <c r="T373" s="3"/>
      <c r="U373" s="3"/>
      <c r="V373" s="47"/>
      <c r="W373" s="47"/>
      <c r="X373" s="47"/>
      <c r="Y373" s="47"/>
      <c r="Z373" s="47"/>
      <c r="AA373" s="198"/>
      <c r="AB373" s="198"/>
      <c r="AC373" s="198"/>
      <c r="AD373" s="198"/>
      <c r="AE373" s="198"/>
      <c r="AF373" s="198"/>
      <c r="AG373" s="198"/>
      <c r="AH373" s="198"/>
      <c r="AI373" s="198"/>
      <c r="AJ373" s="198"/>
      <c r="AK373" s="198"/>
      <c r="AL373" s="198"/>
      <c r="AM373" s="52"/>
      <c r="AN373" s="52"/>
      <c r="AO373" s="52"/>
      <c r="AP373" s="52"/>
      <c r="AQ373" s="52"/>
    </row>
    <row r="374" spans="1:43">
      <c r="A374" s="331">
        <v>44781</v>
      </c>
      <c r="B374" s="332">
        <v>4140.0600000000004</v>
      </c>
      <c r="C374" s="30">
        <v>352.16</v>
      </c>
      <c r="D374" s="22">
        <f t="shared" si="10"/>
        <v>4.2668594313603602E-3</v>
      </c>
      <c r="E374" s="22">
        <f t="shared" si="11"/>
        <v>1.6217464073411451E-2</v>
      </c>
      <c r="F374" s="12"/>
      <c r="G374" s="12"/>
      <c r="H374" s="3"/>
      <c r="I374" s="3"/>
      <c r="J374" s="3"/>
      <c r="K374" s="3"/>
      <c r="L374" s="3"/>
      <c r="M374" s="3"/>
      <c r="N374" s="3"/>
      <c r="O374" s="3"/>
      <c r="P374" s="3"/>
      <c r="Q374" s="3"/>
      <c r="R374" s="3"/>
      <c r="S374" s="3"/>
      <c r="T374" s="3"/>
      <c r="U374" s="3"/>
      <c r="V374" s="47"/>
      <c r="W374" s="47"/>
      <c r="X374" s="47"/>
      <c r="Y374" s="47"/>
      <c r="Z374" s="47"/>
      <c r="AA374" s="198"/>
      <c r="AB374" s="198"/>
      <c r="AC374" s="198"/>
      <c r="AD374" s="198"/>
      <c r="AE374" s="198"/>
      <c r="AF374" s="198"/>
      <c r="AG374" s="198"/>
      <c r="AH374" s="198"/>
      <c r="AI374" s="198"/>
      <c r="AJ374" s="198"/>
      <c r="AK374" s="198"/>
      <c r="AL374" s="198"/>
      <c r="AM374" s="52"/>
      <c r="AN374" s="52"/>
      <c r="AO374" s="52"/>
      <c r="AP374" s="52"/>
      <c r="AQ374" s="52"/>
    </row>
    <row r="375" spans="1:43">
      <c r="A375" s="331">
        <v>44778</v>
      </c>
      <c r="B375" s="332">
        <v>4145.1899999999996</v>
      </c>
      <c r="C375" s="30">
        <v>357.51</v>
      </c>
      <c r="D375" s="22">
        <f t="shared" si="10"/>
        <v>1.23911247663058E-3</v>
      </c>
      <c r="E375" s="22">
        <f t="shared" si="11"/>
        <v>1.5191958200817712E-2</v>
      </c>
      <c r="F375" s="12"/>
      <c r="G375" s="12"/>
      <c r="H375" s="3"/>
      <c r="I375" s="3"/>
      <c r="J375" s="3"/>
      <c r="K375" s="3"/>
      <c r="L375" s="3"/>
      <c r="M375" s="3"/>
      <c r="N375" s="3"/>
      <c r="O375" s="3"/>
      <c r="P375" s="3"/>
      <c r="Q375" s="3"/>
      <c r="R375" s="3"/>
      <c r="S375" s="3"/>
      <c r="T375" s="3"/>
      <c r="U375" s="3"/>
      <c r="V375" s="47"/>
      <c r="W375" s="47"/>
      <c r="X375" s="47"/>
      <c r="Y375" s="47"/>
      <c r="Z375" s="47"/>
      <c r="AA375" s="198"/>
      <c r="AB375" s="198"/>
      <c r="AC375" s="198"/>
      <c r="AD375" s="198"/>
      <c r="AE375" s="198"/>
      <c r="AF375" s="198"/>
      <c r="AG375" s="198"/>
      <c r="AH375" s="198"/>
      <c r="AI375" s="198"/>
      <c r="AJ375" s="198"/>
      <c r="AK375" s="198"/>
      <c r="AL375" s="198"/>
      <c r="AM375" s="52"/>
      <c r="AN375" s="52"/>
      <c r="AO375" s="52"/>
      <c r="AP375" s="52"/>
      <c r="AQ375" s="52"/>
    </row>
    <row r="376" spans="1:43">
      <c r="A376" s="331">
        <v>44777</v>
      </c>
      <c r="B376" s="332">
        <v>4151.9399999999996</v>
      </c>
      <c r="C376" s="30">
        <v>356.07</v>
      </c>
      <c r="D376" s="22">
        <f t="shared" si="10"/>
        <v>1.6283933908940243E-3</v>
      </c>
      <c r="E376" s="22">
        <f t="shared" si="11"/>
        <v>-4.0278593605773206E-3</v>
      </c>
      <c r="F376" s="12"/>
      <c r="G376" s="12"/>
      <c r="H376" s="3"/>
      <c r="I376" s="3"/>
      <c r="J376" s="3"/>
      <c r="K376" s="3"/>
      <c r="L376" s="3"/>
      <c r="M376" s="3"/>
      <c r="N376" s="3"/>
      <c r="O376" s="3"/>
      <c r="P376" s="3"/>
      <c r="Q376" s="3"/>
      <c r="R376" s="3"/>
      <c r="S376" s="3"/>
      <c r="T376" s="3"/>
      <c r="U376" s="3"/>
      <c r="V376" s="47"/>
      <c r="W376" s="47"/>
      <c r="X376" s="47"/>
      <c r="Y376" s="47"/>
      <c r="Z376" s="47"/>
      <c r="AA376" s="198"/>
      <c r="AB376" s="198"/>
      <c r="AC376" s="198"/>
      <c r="AD376" s="198"/>
      <c r="AE376" s="198"/>
      <c r="AF376" s="198"/>
      <c r="AG376" s="198"/>
      <c r="AH376" s="198"/>
      <c r="AI376" s="198"/>
      <c r="AJ376" s="198"/>
      <c r="AK376" s="198"/>
      <c r="AL376" s="198"/>
      <c r="AM376" s="52"/>
      <c r="AN376" s="52"/>
      <c r="AO376" s="52"/>
      <c r="AP376" s="52"/>
      <c r="AQ376" s="52"/>
    </row>
    <row r="377" spans="1:43">
      <c r="A377" s="331">
        <v>44776</v>
      </c>
      <c r="B377" s="332">
        <v>4155.17</v>
      </c>
      <c r="C377" s="30">
        <v>354.13</v>
      </c>
      <c r="D377" s="22">
        <f t="shared" si="10"/>
        <v>7.7794958501338485E-4</v>
      </c>
      <c r="E377" s="22">
        <f t="shared" si="11"/>
        <v>-5.4483668941500201E-3</v>
      </c>
      <c r="F377" s="12"/>
      <c r="G377" s="12"/>
      <c r="H377" s="3"/>
      <c r="I377" s="3"/>
      <c r="J377" s="3"/>
      <c r="K377" s="3"/>
      <c r="L377" s="3"/>
      <c r="M377" s="3"/>
      <c r="N377" s="3"/>
      <c r="O377" s="3"/>
      <c r="P377" s="3"/>
      <c r="Q377" s="3"/>
      <c r="R377" s="3"/>
      <c r="S377" s="3"/>
      <c r="T377" s="3"/>
      <c r="U377" s="3"/>
      <c r="V377" s="47"/>
      <c r="W377" s="47"/>
      <c r="X377" s="47"/>
      <c r="Y377" s="47"/>
      <c r="Z377" s="47"/>
      <c r="AA377" s="198"/>
      <c r="AB377" s="198"/>
      <c r="AC377" s="198"/>
      <c r="AD377" s="198"/>
      <c r="AE377" s="198"/>
      <c r="AF377" s="198"/>
      <c r="AG377" s="198"/>
      <c r="AH377" s="198"/>
      <c r="AI377" s="198"/>
      <c r="AJ377" s="198"/>
      <c r="AK377" s="198"/>
      <c r="AL377" s="198"/>
      <c r="AM377" s="52"/>
      <c r="AN377" s="52"/>
      <c r="AO377" s="52"/>
      <c r="AP377" s="52"/>
      <c r="AQ377" s="52"/>
    </row>
    <row r="378" spans="1:43">
      <c r="A378" s="331">
        <v>44775</v>
      </c>
      <c r="B378" s="332">
        <v>4091.19</v>
      </c>
      <c r="C378" s="30">
        <v>349.01</v>
      </c>
      <c r="D378" s="22">
        <f t="shared" si="10"/>
        <v>-1.539768529326117E-2</v>
      </c>
      <c r="E378" s="22">
        <f t="shared" si="11"/>
        <v>-1.4457967413096899E-2</v>
      </c>
      <c r="F378" s="12"/>
      <c r="G378" s="12"/>
      <c r="H378" s="3"/>
      <c r="I378" s="3"/>
      <c r="J378" s="3"/>
      <c r="K378" s="3"/>
      <c r="L378" s="3"/>
      <c r="M378" s="3"/>
      <c r="N378" s="3"/>
      <c r="O378" s="3"/>
      <c r="P378" s="3"/>
      <c r="Q378" s="3"/>
      <c r="R378" s="3"/>
      <c r="S378" s="3"/>
      <c r="T378" s="3"/>
      <c r="U378" s="3"/>
      <c r="V378" s="47"/>
      <c r="W378" s="47"/>
      <c r="X378" s="47"/>
      <c r="Y378" s="47"/>
      <c r="Z378" s="47"/>
      <c r="AA378" s="198"/>
      <c r="AB378" s="198"/>
      <c r="AC378" s="198"/>
      <c r="AD378" s="198"/>
      <c r="AE378" s="198"/>
      <c r="AF378" s="198"/>
      <c r="AG378" s="198"/>
      <c r="AH378" s="198"/>
      <c r="AI378" s="198"/>
      <c r="AJ378" s="198"/>
      <c r="AK378" s="198"/>
      <c r="AL378" s="198"/>
      <c r="AM378" s="52"/>
      <c r="AN378" s="52"/>
      <c r="AO378" s="52"/>
      <c r="AP378" s="52"/>
      <c r="AQ378" s="52"/>
    </row>
    <row r="379" spans="1:43">
      <c r="A379" s="331">
        <v>44774</v>
      </c>
      <c r="B379" s="332">
        <v>4118.63</v>
      </c>
      <c r="C379" s="30">
        <v>350.54</v>
      </c>
      <c r="D379" s="22">
        <f t="shared" si="10"/>
        <v>6.7070950016987858E-3</v>
      </c>
      <c r="E379" s="22">
        <f t="shared" si="11"/>
        <v>4.3838285435948239E-3</v>
      </c>
      <c r="F379" s="12"/>
      <c r="G379" s="12"/>
      <c r="H379" s="3"/>
      <c r="I379" s="3"/>
      <c r="J379" s="3"/>
      <c r="K379" s="3"/>
      <c r="L379" s="3"/>
      <c r="M379" s="3"/>
      <c r="N379" s="3"/>
      <c r="O379" s="3"/>
      <c r="P379" s="3"/>
      <c r="Q379" s="3"/>
      <c r="R379" s="3"/>
      <c r="S379" s="3"/>
      <c r="T379" s="3"/>
      <c r="U379" s="3"/>
      <c r="V379" s="47"/>
      <c r="W379" s="47"/>
      <c r="X379" s="47"/>
      <c r="Y379" s="47"/>
      <c r="Z379" s="47"/>
      <c r="AA379" s="198"/>
      <c r="AB379" s="198"/>
      <c r="AC379" s="198"/>
      <c r="AD379" s="198"/>
      <c r="AE379" s="198"/>
      <c r="AF379" s="198"/>
      <c r="AG379" s="198"/>
      <c r="AH379" s="198"/>
      <c r="AI379" s="198"/>
      <c r="AJ379" s="198"/>
      <c r="AK379" s="198"/>
      <c r="AL379" s="198"/>
      <c r="AM379" s="52"/>
      <c r="AN379" s="52"/>
      <c r="AO379" s="52"/>
      <c r="AP379" s="52"/>
      <c r="AQ379" s="52"/>
    </row>
    <row r="380" spans="1:43">
      <c r="A380" s="331">
        <v>44771</v>
      </c>
      <c r="B380" s="332">
        <v>4130.29</v>
      </c>
      <c r="C380" s="30">
        <v>353.79</v>
      </c>
      <c r="D380" s="22">
        <f t="shared" si="10"/>
        <v>2.8310384763865302E-3</v>
      </c>
      <c r="E380" s="22">
        <f t="shared" si="11"/>
        <v>9.2714098248416719E-3</v>
      </c>
      <c r="F380" s="12"/>
      <c r="G380" s="12"/>
      <c r="H380" s="3"/>
      <c r="I380" s="3"/>
      <c r="J380" s="3"/>
      <c r="K380" s="3"/>
      <c r="L380" s="3"/>
      <c r="M380" s="3"/>
      <c r="N380" s="3"/>
      <c r="O380" s="3"/>
      <c r="P380" s="3"/>
      <c r="Q380" s="3"/>
      <c r="R380" s="3"/>
      <c r="S380" s="3"/>
      <c r="T380" s="3"/>
      <c r="U380" s="3"/>
      <c r="V380" s="47"/>
      <c r="W380" s="47"/>
      <c r="X380" s="47"/>
      <c r="Y380" s="47"/>
      <c r="Z380" s="47"/>
      <c r="AA380" s="198"/>
      <c r="AB380" s="198"/>
      <c r="AC380" s="198"/>
      <c r="AD380" s="198"/>
      <c r="AE380" s="198"/>
      <c r="AF380" s="198"/>
      <c r="AG380" s="198"/>
      <c r="AH380" s="198"/>
      <c r="AI380" s="198"/>
      <c r="AJ380" s="198"/>
      <c r="AK380" s="198"/>
      <c r="AL380" s="198"/>
      <c r="AM380" s="52"/>
      <c r="AN380" s="52"/>
      <c r="AO380" s="52"/>
      <c r="AP380" s="52"/>
      <c r="AQ380" s="52"/>
    </row>
    <row r="381" spans="1:43">
      <c r="A381" s="331">
        <v>44770</v>
      </c>
      <c r="B381" s="332">
        <v>4072.43</v>
      </c>
      <c r="C381" s="30">
        <v>352.45</v>
      </c>
      <c r="D381" s="22">
        <f t="shared" si="10"/>
        <v>-1.4008701568170788E-2</v>
      </c>
      <c r="E381" s="22">
        <f t="shared" si="11"/>
        <v>-3.7875575906612165E-3</v>
      </c>
      <c r="F381" s="12"/>
      <c r="G381" s="12"/>
      <c r="H381" s="3"/>
      <c r="I381" s="3"/>
      <c r="J381" s="3"/>
      <c r="K381" s="3"/>
      <c r="L381" s="3"/>
      <c r="M381" s="3"/>
      <c r="N381" s="3"/>
      <c r="O381" s="3"/>
      <c r="P381" s="3"/>
      <c r="Q381" s="3"/>
      <c r="R381" s="3"/>
      <c r="S381" s="3"/>
      <c r="T381" s="3"/>
      <c r="U381" s="3"/>
      <c r="V381" s="47"/>
      <c r="W381" s="47"/>
      <c r="X381" s="47"/>
      <c r="Y381" s="47"/>
      <c r="Z381" s="47"/>
      <c r="AA381" s="198"/>
      <c r="AB381" s="198"/>
      <c r="AC381" s="198"/>
      <c r="AD381" s="198"/>
      <c r="AE381" s="198"/>
      <c r="AF381" s="198"/>
      <c r="AG381" s="198"/>
      <c r="AH381" s="198"/>
      <c r="AI381" s="198"/>
      <c r="AJ381" s="198"/>
      <c r="AK381" s="198"/>
      <c r="AL381" s="198"/>
      <c r="AM381" s="52"/>
      <c r="AN381" s="52"/>
      <c r="AO381" s="52"/>
      <c r="AP381" s="52"/>
      <c r="AQ381" s="52"/>
    </row>
    <row r="382" spans="1:43">
      <c r="A382" s="331">
        <v>44769</v>
      </c>
      <c r="B382" s="332">
        <v>4023.61</v>
      </c>
      <c r="C382" s="30">
        <v>343.27</v>
      </c>
      <c r="D382" s="22">
        <f t="shared" si="10"/>
        <v>-1.1987928583179996E-2</v>
      </c>
      <c r="E382" s="22">
        <f t="shared" si="11"/>
        <v>-2.604624769470849E-2</v>
      </c>
      <c r="F382" s="12"/>
      <c r="G382" s="12"/>
      <c r="H382" s="3"/>
      <c r="I382" s="3"/>
      <c r="J382" s="3"/>
      <c r="K382" s="3"/>
      <c r="L382" s="3"/>
      <c r="M382" s="3"/>
      <c r="N382" s="3"/>
      <c r="O382" s="3"/>
      <c r="P382" s="3"/>
      <c r="Q382" s="3"/>
      <c r="R382" s="3"/>
      <c r="S382" s="3"/>
      <c r="T382" s="3"/>
      <c r="U382" s="3"/>
      <c r="V382" s="47"/>
      <c r="W382" s="47"/>
      <c r="X382" s="47"/>
      <c r="Y382" s="47"/>
      <c r="Z382" s="47"/>
      <c r="AA382" s="198"/>
      <c r="AB382" s="198"/>
      <c r="AC382" s="198"/>
      <c r="AD382" s="198"/>
      <c r="AE382" s="198"/>
      <c r="AF382" s="198"/>
      <c r="AG382" s="198"/>
      <c r="AH382" s="198"/>
      <c r="AI382" s="198"/>
      <c r="AJ382" s="198"/>
      <c r="AK382" s="198"/>
      <c r="AL382" s="198"/>
      <c r="AM382" s="52"/>
      <c r="AN382" s="52"/>
      <c r="AO382" s="52"/>
      <c r="AP382" s="52"/>
      <c r="AQ382" s="52"/>
    </row>
    <row r="383" spans="1:43">
      <c r="A383" s="331">
        <v>44768</v>
      </c>
      <c r="B383" s="332">
        <v>3921.05</v>
      </c>
      <c r="C383" s="30">
        <v>341.28</v>
      </c>
      <c r="D383" s="22">
        <f t="shared" si="10"/>
        <v>-2.5489547943264863E-2</v>
      </c>
      <c r="E383" s="22">
        <f t="shared" si="11"/>
        <v>-5.7971858886591001E-3</v>
      </c>
      <c r="F383" s="12"/>
      <c r="G383" s="12"/>
      <c r="H383" s="3"/>
      <c r="I383" s="3"/>
      <c r="J383" s="3"/>
      <c r="K383" s="3"/>
      <c r="L383" s="3"/>
      <c r="M383" s="3"/>
      <c r="N383" s="3"/>
      <c r="O383" s="3"/>
      <c r="P383" s="3"/>
      <c r="Q383" s="3"/>
      <c r="R383" s="3"/>
      <c r="S383" s="3"/>
      <c r="T383" s="3"/>
      <c r="U383" s="3"/>
      <c r="V383" s="47"/>
      <c r="W383" s="47"/>
      <c r="X383" s="47"/>
      <c r="Y383" s="47"/>
      <c r="Z383" s="47"/>
      <c r="AA383" s="198"/>
      <c r="AB383" s="198"/>
      <c r="AC383" s="198"/>
      <c r="AD383" s="198"/>
      <c r="AE383" s="198"/>
      <c r="AF383" s="198"/>
      <c r="AG383" s="198"/>
      <c r="AH383" s="198"/>
      <c r="AI383" s="198"/>
      <c r="AJ383" s="198"/>
      <c r="AK383" s="198"/>
      <c r="AL383" s="198"/>
      <c r="AM383" s="52"/>
      <c r="AN383" s="52"/>
      <c r="AO383" s="52"/>
      <c r="AP383" s="52"/>
      <c r="AQ383" s="52"/>
    </row>
    <row r="384" spans="1:43">
      <c r="A384" s="331">
        <v>44767</v>
      </c>
      <c r="B384" s="332">
        <v>3966.84</v>
      </c>
      <c r="C384" s="30">
        <v>344.21</v>
      </c>
      <c r="D384" s="22">
        <f t="shared" si="10"/>
        <v>1.1677994414761342E-2</v>
      </c>
      <c r="E384" s="22">
        <f t="shared" si="11"/>
        <v>8.585325832161296E-3</v>
      </c>
      <c r="F384" s="12"/>
      <c r="G384" s="12"/>
      <c r="H384" s="3"/>
      <c r="I384" s="3"/>
      <c r="J384" s="3"/>
      <c r="K384" s="3"/>
      <c r="L384" s="3"/>
      <c r="M384" s="3"/>
      <c r="N384" s="3"/>
      <c r="O384" s="3"/>
      <c r="P384" s="3"/>
      <c r="Q384" s="3"/>
      <c r="R384" s="3"/>
      <c r="S384" s="3"/>
      <c r="T384" s="3"/>
      <c r="U384" s="3"/>
      <c r="V384" s="47"/>
      <c r="W384" s="47"/>
      <c r="X384" s="47"/>
      <c r="Y384" s="47"/>
      <c r="Z384" s="47"/>
      <c r="AA384" s="198"/>
      <c r="AB384" s="198"/>
      <c r="AC384" s="198"/>
      <c r="AD384" s="198"/>
      <c r="AE384" s="198"/>
      <c r="AF384" s="198"/>
      <c r="AG384" s="198"/>
      <c r="AH384" s="198"/>
      <c r="AI384" s="198"/>
      <c r="AJ384" s="198"/>
      <c r="AK384" s="198"/>
      <c r="AL384" s="198"/>
      <c r="AM384" s="52"/>
      <c r="AN384" s="52"/>
      <c r="AO384" s="52"/>
      <c r="AP384" s="52"/>
      <c r="AQ384" s="52"/>
    </row>
    <row r="385" spans="1:43">
      <c r="A385" s="331">
        <v>44764</v>
      </c>
      <c r="B385" s="332">
        <v>3961.63</v>
      </c>
      <c r="C385" s="30">
        <v>343.88</v>
      </c>
      <c r="D385" s="22">
        <f t="shared" si="10"/>
        <v>-1.3133879864073257E-3</v>
      </c>
      <c r="E385" s="22">
        <f t="shared" si="11"/>
        <v>-9.5871706225845879E-4</v>
      </c>
      <c r="F385" s="12"/>
      <c r="G385" s="12"/>
      <c r="H385" s="3"/>
      <c r="I385" s="3"/>
      <c r="J385" s="3"/>
      <c r="K385" s="3"/>
      <c r="L385" s="3"/>
      <c r="M385" s="3"/>
      <c r="N385" s="3"/>
      <c r="O385" s="3"/>
      <c r="P385" s="3"/>
      <c r="Q385" s="3"/>
      <c r="R385" s="3"/>
      <c r="S385" s="3"/>
      <c r="T385" s="3"/>
      <c r="U385" s="3"/>
      <c r="V385" s="47"/>
      <c r="W385" s="47"/>
      <c r="X385" s="47"/>
      <c r="Y385" s="47"/>
      <c r="Z385" s="47"/>
      <c r="AA385" s="198"/>
      <c r="AB385" s="198"/>
      <c r="AC385" s="198"/>
      <c r="AD385" s="198"/>
      <c r="AE385" s="198"/>
      <c r="AF385" s="198"/>
      <c r="AG385" s="198"/>
      <c r="AH385" s="198"/>
      <c r="AI385" s="198"/>
      <c r="AJ385" s="198"/>
      <c r="AK385" s="198"/>
      <c r="AL385" s="198"/>
      <c r="AM385" s="52"/>
      <c r="AN385" s="52"/>
      <c r="AO385" s="52"/>
      <c r="AP385" s="52"/>
      <c r="AQ385" s="52"/>
    </row>
    <row r="386" spans="1:43">
      <c r="A386" s="331">
        <v>44763</v>
      </c>
      <c r="B386" s="332">
        <v>3998.95</v>
      </c>
      <c r="C386" s="30">
        <v>346.92</v>
      </c>
      <c r="D386" s="22">
        <f t="shared" si="10"/>
        <v>9.4203648498218436E-3</v>
      </c>
      <c r="E386" s="22">
        <f t="shared" si="11"/>
        <v>8.8402931255089582E-3</v>
      </c>
      <c r="F386" s="12"/>
      <c r="G386" s="12"/>
      <c r="H386" s="3"/>
      <c r="I386" s="3"/>
      <c r="J386" s="3"/>
      <c r="K386" s="3"/>
      <c r="L386" s="3"/>
      <c r="M386" s="3"/>
      <c r="N386" s="3"/>
      <c r="O386" s="3"/>
      <c r="P386" s="3"/>
      <c r="Q386" s="3"/>
      <c r="R386" s="3"/>
      <c r="S386" s="3"/>
      <c r="T386" s="3"/>
      <c r="U386" s="3"/>
      <c r="V386" s="47"/>
      <c r="W386" s="47"/>
      <c r="X386" s="47"/>
      <c r="Y386" s="47"/>
      <c r="Z386" s="47"/>
      <c r="AA386" s="198"/>
      <c r="AB386" s="198"/>
      <c r="AC386" s="198"/>
      <c r="AD386" s="198"/>
      <c r="AE386" s="198"/>
      <c r="AF386" s="198"/>
      <c r="AG386" s="198"/>
      <c r="AH386" s="198"/>
      <c r="AI386" s="198"/>
      <c r="AJ386" s="198"/>
      <c r="AK386" s="198"/>
      <c r="AL386" s="198"/>
      <c r="AM386" s="52"/>
      <c r="AN386" s="52"/>
      <c r="AO386" s="52"/>
      <c r="AP386" s="52"/>
      <c r="AQ386" s="52"/>
    </row>
    <row r="387" spans="1:43">
      <c r="A387" s="331">
        <v>44762</v>
      </c>
      <c r="B387" s="332">
        <v>3959.9</v>
      </c>
      <c r="C387" s="30">
        <v>341.27</v>
      </c>
      <c r="D387" s="22">
        <f t="shared" si="10"/>
        <v>-9.7650633291238281E-3</v>
      </c>
      <c r="E387" s="22">
        <f t="shared" si="11"/>
        <v>-1.6286175487144106E-2</v>
      </c>
      <c r="F387" s="12"/>
      <c r="G387" s="12"/>
      <c r="H387" s="3"/>
      <c r="I387" s="3"/>
      <c r="J387" s="3"/>
      <c r="K387" s="3"/>
      <c r="L387" s="3"/>
      <c r="M387" s="3"/>
      <c r="N387" s="3"/>
      <c r="O387" s="3"/>
      <c r="P387" s="3"/>
      <c r="Q387" s="3"/>
      <c r="R387" s="3"/>
      <c r="S387" s="3"/>
      <c r="T387" s="3"/>
      <c r="U387" s="3"/>
      <c r="V387" s="47"/>
      <c r="W387" s="47"/>
      <c r="X387" s="47"/>
      <c r="Y387" s="47"/>
      <c r="Z387" s="47"/>
      <c r="AA387" s="198"/>
      <c r="AB387" s="198"/>
      <c r="AC387" s="198"/>
      <c r="AD387" s="198"/>
      <c r="AE387" s="198"/>
      <c r="AF387" s="198"/>
      <c r="AG387" s="198"/>
      <c r="AH387" s="198"/>
      <c r="AI387" s="198"/>
      <c r="AJ387" s="198"/>
      <c r="AK387" s="198"/>
      <c r="AL387" s="198"/>
      <c r="AM387" s="52"/>
      <c r="AN387" s="52"/>
      <c r="AO387" s="52"/>
      <c r="AP387" s="52"/>
      <c r="AQ387" s="52"/>
    </row>
    <row r="388" spans="1:43">
      <c r="A388" s="331">
        <v>44761</v>
      </c>
      <c r="B388" s="332">
        <v>3936.69</v>
      </c>
      <c r="C388" s="30">
        <v>340.38</v>
      </c>
      <c r="D388" s="22">
        <f t="shared" ref="D388:D451" si="12">(B388-B387)/B387</f>
        <v>-5.8612591227051279E-3</v>
      </c>
      <c r="E388" s="22">
        <f t="shared" si="11"/>
        <v>-2.6079057637647214E-3</v>
      </c>
      <c r="F388" s="12"/>
      <c r="G388" s="12"/>
      <c r="H388" s="3"/>
      <c r="I388" s="3"/>
      <c r="J388" s="3"/>
      <c r="K388" s="3"/>
      <c r="L388" s="3"/>
      <c r="M388" s="3"/>
      <c r="N388" s="3"/>
      <c r="O388" s="3"/>
      <c r="P388" s="3"/>
      <c r="Q388" s="3"/>
      <c r="R388" s="3"/>
      <c r="S388" s="3"/>
      <c r="T388" s="3"/>
      <c r="U388" s="3"/>
      <c r="V388" s="47"/>
      <c r="W388" s="47"/>
      <c r="X388" s="47"/>
      <c r="Y388" s="47"/>
      <c r="Z388" s="47"/>
      <c r="AA388" s="198"/>
      <c r="AB388" s="198"/>
      <c r="AC388" s="198"/>
      <c r="AD388" s="198"/>
      <c r="AE388" s="198"/>
      <c r="AF388" s="198"/>
      <c r="AG388" s="198"/>
      <c r="AH388" s="198"/>
      <c r="AI388" s="198"/>
      <c r="AJ388" s="198"/>
      <c r="AK388" s="198"/>
      <c r="AL388" s="198"/>
      <c r="AM388" s="52"/>
      <c r="AN388" s="52"/>
      <c r="AO388" s="52"/>
      <c r="AP388" s="52"/>
      <c r="AQ388" s="52"/>
    </row>
    <row r="389" spans="1:43">
      <c r="A389" s="331">
        <v>44760</v>
      </c>
      <c r="B389" s="332">
        <v>3830.85</v>
      </c>
      <c r="C389" s="30">
        <v>331.01</v>
      </c>
      <c r="D389" s="22">
        <f t="shared" si="12"/>
        <v>-2.6885530737751802E-2</v>
      </c>
      <c r="E389" s="22">
        <f t="shared" ref="E389:E452" si="13">(C389-C388)/C388</f>
        <v>-2.7528056877607395E-2</v>
      </c>
      <c r="F389" s="12"/>
      <c r="G389" s="12"/>
      <c r="H389" s="3"/>
      <c r="I389" s="3"/>
      <c r="J389" s="3"/>
      <c r="K389" s="3"/>
      <c r="L389" s="3"/>
      <c r="M389" s="3"/>
      <c r="N389" s="3"/>
      <c r="O389" s="3"/>
      <c r="P389" s="3"/>
      <c r="Q389" s="3"/>
      <c r="R389" s="3"/>
      <c r="S389" s="3"/>
      <c r="T389" s="3"/>
      <c r="U389" s="3"/>
      <c r="V389" s="47"/>
      <c r="W389" s="47"/>
      <c r="X389" s="47"/>
      <c r="Y389" s="47"/>
      <c r="Z389" s="47"/>
      <c r="AA389" s="198"/>
      <c r="AB389" s="198"/>
      <c r="AC389" s="198"/>
      <c r="AD389" s="198"/>
      <c r="AE389" s="198"/>
      <c r="AF389" s="198"/>
      <c r="AG389" s="198"/>
      <c r="AH389" s="198"/>
      <c r="AI389" s="198"/>
      <c r="AJ389" s="198"/>
      <c r="AK389" s="198"/>
      <c r="AL389" s="198"/>
      <c r="AM389" s="52"/>
      <c r="AN389" s="52"/>
      <c r="AO389" s="52"/>
      <c r="AP389" s="52"/>
      <c r="AQ389" s="52"/>
    </row>
    <row r="390" spans="1:43">
      <c r="A390" s="331">
        <v>44757</v>
      </c>
      <c r="B390" s="332">
        <v>3863.16</v>
      </c>
      <c r="C390" s="30">
        <v>332.57</v>
      </c>
      <c r="D390" s="22">
        <f t="shared" si="12"/>
        <v>8.4341595207329829E-3</v>
      </c>
      <c r="E390" s="22">
        <f t="shared" si="13"/>
        <v>4.7128485544243445E-3</v>
      </c>
      <c r="F390" s="12"/>
      <c r="G390" s="12"/>
      <c r="H390" s="3"/>
      <c r="I390" s="3"/>
      <c r="J390" s="3"/>
      <c r="K390" s="3"/>
      <c r="L390" s="3"/>
      <c r="M390" s="3"/>
      <c r="N390" s="3"/>
      <c r="O390" s="3"/>
      <c r="P390" s="3"/>
      <c r="Q390" s="3"/>
      <c r="R390" s="3"/>
      <c r="S390" s="3"/>
      <c r="T390" s="3"/>
      <c r="U390" s="3"/>
      <c r="V390" s="47"/>
      <c r="W390" s="47"/>
      <c r="X390" s="47"/>
      <c r="Y390" s="47"/>
      <c r="Z390" s="47"/>
      <c r="AA390" s="198"/>
      <c r="AB390" s="198"/>
      <c r="AC390" s="198"/>
      <c r="AD390" s="198"/>
      <c r="AE390" s="198"/>
      <c r="AF390" s="198"/>
      <c r="AG390" s="198"/>
      <c r="AH390" s="198"/>
      <c r="AI390" s="198"/>
      <c r="AJ390" s="198"/>
      <c r="AK390" s="198"/>
      <c r="AL390" s="198"/>
      <c r="AM390" s="52"/>
      <c r="AN390" s="52"/>
      <c r="AO390" s="52"/>
      <c r="AP390" s="52"/>
      <c r="AQ390" s="52"/>
    </row>
    <row r="391" spans="1:43">
      <c r="A391" s="331">
        <v>44756</v>
      </c>
      <c r="B391" s="332">
        <v>3790.38</v>
      </c>
      <c r="C391" s="30">
        <v>325.02999999999997</v>
      </c>
      <c r="D391" s="22">
        <f t="shared" si="12"/>
        <v>-1.8839499270027579E-2</v>
      </c>
      <c r="E391" s="22">
        <f t="shared" si="13"/>
        <v>-2.2671918693808885E-2</v>
      </c>
      <c r="F391" s="12"/>
      <c r="G391" s="12"/>
      <c r="H391" s="3"/>
      <c r="I391" s="3"/>
      <c r="J391" s="3"/>
      <c r="K391" s="3"/>
      <c r="L391" s="3"/>
      <c r="M391" s="3"/>
      <c r="N391" s="3"/>
      <c r="O391" s="3"/>
      <c r="P391" s="3"/>
      <c r="Q391" s="3"/>
      <c r="R391" s="3"/>
      <c r="S391" s="3"/>
      <c r="T391" s="3"/>
      <c r="U391" s="3"/>
      <c r="V391" s="47"/>
      <c r="W391" s="47"/>
      <c r="X391" s="47"/>
      <c r="Y391" s="47"/>
      <c r="Z391" s="47"/>
      <c r="AA391" s="198"/>
      <c r="AB391" s="198"/>
      <c r="AC391" s="198"/>
      <c r="AD391" s="198"/>
      <c r="AE391" s="198"/>
      <c r="AF391" s="198"/>
      <c r="AG391" s="198"/>
      <c r="AH391" s="198"/>
      <c r="AI391" s="198"/>
      <c r="AJ391" s="198"/>
      <c r="AK391" s="198"/>
      <c r="AL391" s="198"/>
      <c r="AM391" s="52"/>
      <c r="AN391" s="52"/>
      <c r="AO391" s="52"/>
      <c r="AP391" s="52"/>
      <c r="AQ391" s="52"/>
    </row>
    <row r="392" spans="1:43">
      <c r="A392" s="331">
        <v>44755</v>
      </c>
      <c r="B392" s="332">
        <v>3801.78</v>
      </c>
      <c r="C392" s="30">
        <v>323.37</v>
      </c>
      <c r="D392" s="22">
        <f t="shared" si="12"/>
        <v>3.0076140123154117E-3</v>
      </c>
      <c r="E392" s="22">
        <f t="shared" si="13"/>
        <v>-5.1072208719194177E-3</v>
      </c>
      <c r="F392" s="12"/>
      <c r="G392" s="12"/>
      <c r="H392" s="3"/>
      <c r="I392" s="3"/>
      <c r="J392" s="3"/>
      <c r="K392" s="3"/>
      <c r="L392" s="3"/>
      <c r="M392" s="3"/>
      <c r="N392" s="3"/>
      <c r="O392" s="3"/>
      <c r="P392" s="3"/>
      <c r="Q392" s="3"/>
      <c r="R392" s="3"/>
      <c r="S392" s="3"/>
      <c r="T392" s="3"/>
      <c r="U392" s="3"/>
      <c r="V392" s="47"/>
      <c r="W392" s="47"/>
      <c r="X392" s="47"/>
      <c r="Y392" s="47"/>
      <c r="Z392" s="47"/>
      <c r="AA392" s="198"/>
      <c r="AB392" s="198"/>
      <c r="AC392" s="198"/>
      <c r="AD392" s="198"/>
      <c r="AE392" s="198"/>
      <c r="AF392" s="198"/>
      <c r="AG392" s="198"/>
      <c r="AH392" s="198"/>
      <c r="AI392" s="198"/>
      <c r="AJ392" s="198"/>
      <c r="AK392" s="198"/>
      <c r="AL392" s="198"/>
      <c r="AM392" s="52"/>
      <c r="AN392" s="52"/>
      <c r="AO392" s="52"/>
      <c r="AP392" s="52"/>
      <c r="AQ392" s="52"/>
    </row>
    <row r="393" spans="1:43">
      <c r="A393" s="331">
        <v>44754</v>
      </c>
      <c r="B393" s="332">
        <v>3818.8</v>
      </c>
      <c r="C393" s="30">
        <v>322.86</v>
      </c>
      <c r="D393" s="22">
        <f t="shared" si="12"/>
        <v>4.4768503174828587E-3</v>
      </c>
      <c r="E393" s="22">
        <f t="shared" si="13"/>
        <v>-1.5771407366174689E-3</v>
      </c>
      <c r="F393" s="12"/>
      <c r="G393" s="12"/>
      <c r="H393" s="3"/>
      <c r="I393" s="3"/>
      <c r="J393" s="3"/>
      <c r="K393" s="3"/>
      <c r="L393" s="3"/>
      <c r="M393" s="3"/>
      <c r="N393" s="3"/>
      <c r="O393" s="3"/>
      <c r="P393" s="3"/>
      <c r="Q393" s="3"/>
      <c r="R393" s="3"/>
      <c r="S393" s="3"/>
      <c r="T393" s="3"/>
      <c r="U393" s="3"/>
      <c r="V393" s="47"/>
      <c r="W393" s="47"/>
      <c r="X393" s="47"/>
      <c r="Y393" s="47"/>
      <c r="Z393" s="47"/>
      <c r="AA393" s="198"/>
      <c r="AB393" s="198"/>
      <c r="AC393" s="198"/>
      <c r="AD393" s="198"/>
      <c r="AE393" s="198"/>
      <c r="AF393" s="198"/>
      <c r="AG393" s="198"/>
      <c r="AH393" s="198"/>
      <c r="AI393" s="198"/>
      <c r="AJ393" s="198"/>
      <c r="AK393" s="198"/>
      <c r="AL393" s="198"/>
      <c r="AM393" s="52"/>
      <c r="AN393" s="52"/>
      <c r="AO393" s="52"/>
      <c r="AP393" s="52"/>
      <c r="AQ393" s="52"/>
    </row>
    <row r="394" spans="1:43">
      <c r="A394" s="331">
        <v>44753</v>
      </c>
      <c r="B394" s="332">
        <v>3854.43</v>
      </c>
      <c r="C394" s="30">
        <v>324.19</v>
      </c>
      <c r="D394" s="22">
        <f t="shared" si="12"/>
        <v>9.3301560699695328E-3</v>
      </c>
      <c r="E394" s="22">
        <f t="shared" si="13"/>
        <v>4.1194325713931239E-3</v>
      </c>
      <c r="F394" s="12"/>
      <c r="G394" s="12"/>
      <c r="H394" s="3"/>
      <c r="I394" s="3"/>
      <c r="J394" s="3"/>
      <c r="K394" s="3"/>
      <c r="L394" s="3"/>
      <c r="M394" s="3"/>
      <c r="N394" s="3"/>
      <c r="O394" s="3"/>
      <c r="P394" s="3"/>
      <c r="Q394" s="3"/>
      <c r="R394" s="3"/>
      <c r="S394" s="3"/>
      <c r="T394" s="3"/>
      <c r="U394" s="3"/>
      <c r="V394" s="47"/>
      <c r="W394" s="47"/>
      <c r="X394" s="47"/>
      <c r="Y394" s="47"/>
      <c r="Z394" s="47"/>
      <c r="AA394" s="198"/>
      <c r="AB394" s="198"/>
      <c r="AC394" s="198"/>
      <c r="AD394" s="198"/>
      <c r="AE394" s="198"/>
      <c r="AF394" s="198"/>
      <c r="AG394" s="198"/>
      <c r="AH394" s="198"/>
      <c r="AI394" s="198"/>
      <c r="AJ394" s="198"/>
      <c r="AK394" s="198"/>
      <c r="AL394" s="198"/>
      <c r="AM394" s="52"/>
      <c r="AN394" s="52"/>
      <c r="AO394" s="52"/>
      <c r="AP394" s="52"/>
      <c r="AQ394" s="52"/>
    </row>
    <row r="395" spans="1:43">
      <c r="A395" s="331">
        <v>44750</v>
      </c>
      <c r="B395" s="332">
        <v>3899.38</v>
      </c>
      <c r="C395" s="30">
        <v>323.06</v>
      </c>
      <c r="D395" s="22">
        <f t="shared" si="12"/>
        <v>1.1661905910861081E-2</v>
      </c>
      <c r="E395" s="22">
        <f t="shared" si="13"/>
        <v>-3.4856102902618693E-3</v>
      </c>
      <c r="F395" s="12"/>
      <c r="G395" s="12"/>
      <c r="H395" s="3"/>
      <c r="I395" s="3"/>
      <c r="J395" s="3"/>
      <c r="K395" s="3"/>
      <c r="L395" s="3"/>
      <c r="M395" s="3"/>
      <c r="N395" s="3"/>
      <c r="O395" s="3"/>
      <c r="P395" s="3"/>
      <c r="Q395" s="3"/>
      <c r="R395" s="3"/>
      <c r="S395" s="3"/>
      <c r="T395" s="3"/>
      <c r="U395" s="3"/>
      <c r="V395" s="47"/>
      <c r="W395" s="47"/>
      <c r="X395" s="47"/>
      <c r="Y395" s="47"/>
      <c r="Z395" s="47"/>
      <c r="AA395" s="198"/>
      <c r="AB395" s="198"/>
      <c r="AC395" s="198"/>
      <c r="AD395" s="198"/>
      <c r="AE395" s="198"/>
      <c r="AF395" s="198"/>
      <c r="AG395" s="198"/>
      <c r="AH395" s="198"/>
      <c r="AI395" s="198"/>
      <c r="AJ395" s="198"/>
      <c r="AK395" s="198"/>
      <c r="AL395" s="198"/>
      <c r="AM395" s="52"/>
      <c r="AN395" s="52"/>
      <c r="AO395" s="52"/>
      <c r="AP395" s="52"/>
      <c r="AQ395" s="52"/>
    </row>
    <row r="396" spans="1:43">
      <c r="A396" s="331">
        <v>44749</v>
      </c>
      <c r="B396" s="332">
        <v>3902.62</v>
      </c>
      <c r="C396" s="30">
        <v>324.07</v>
      </c>
      <c r="D396" s="22">
        <f t="shared" si="12"/>
        <v>8.3090132277433373E-4</v>
      </c>
      <c r="E396" s="22">
        <f t="shared" si="13"/>
        <v>3.126354237602894E-3</v>
      </c>
      <c r="F396" s="12"/>
      <c r="G396" s="12"/>
      <c r="H396" s="3"/>
      <c r="I396" s="3"/>
      <c r="J396" s="3"/>
      <c r="K396" s="3"/>
      <c r="L396" s="3"/>
      <c r="M396" s="3"/>
      <c r="N396" s="3"/>
      <c r="O396" s="3"/>
      <c r="P396" s="3"/>
      <c r="Q396" s="3"/>
      <c r="R396" s="3"/>
      <c r="S396" s="3"/>
      <c r="T396" s="3"/>
      <c r="U396" s="3"/>
      <c r="V396" s="47"/>
      <c r="W396" s="47"/>
      <c r="X396" s="47"/>
      <c r="Y396" s="47"/>
      <c r="Z396" s="47"/>
      <c r="AA396" s="198"/>
      <c r="AB396" s="198"/>
      <c r="AC396" s="198"/>
      <c r="AD396" s="198"/>
      <c r="AE396" s="198"/>
      <c r="AF396" s="198"/>
      <c r="AG396" s="198"/>
      <c r="AH396" s="198"/>
      <c r="AI396" s="198"/>
      <c r="AJ396" s="198"/>
      <c r="AK396" s="198"/>
      <c r="AL396" s="198"/>
      <c r="AM396" s="52"/>
      <c r="AN396" s="52"/>
      <c r="AO396" s="52"/>
      <c r="AP396" s="52"/>
      <c r="AQ396" s="52"/>
    </row>
    <row r="397" spans="1:43">
      <c r="A397" s="331">
        <v>44748</v>
      </c>
      <c r="B397" s="332">
        <v>3845.08</v>
      </c>
      <c r="C397" s="30">
        <v>320.17</v>
      </c>
      <c r="D397" s="22">
        <f t="shared" si="12"/>
        <v>-1.4743941249724534E-2</v>
      </c>
      <c r="E397" s="22">
        <f t="shared" si="13"/>
        <v>-1.2034437004350841E-2</v>
      </c>
      <c r="F397" s="12"/>
      <c r="G397" s="12"/>
      <c r="H397" s="3"/>
      <c r="I397" s="3"/>
      <c r="J397" s="3"/>
      <c r="K397" s="3"/>
      <c r="L397" s="3"/>
      <c r="M397" s="3"/>
      <c r="N397" s="3"/>
      <c r="O397" s="3"/>
      <c r="P397" s="3"/>
      <c r="Q397" s="3"/>
      <c r="R397" s="3"/>
      <c r="S397" s="3"/>
      <c r="T397" s="3"/>
      <c r="U397" s="3"/>
      <c r="V397" s="47"/>
      <c r="W397" s="47"/>
      <c r="X397" s="47"/>
      <c r="Y397" s="47"/>
      <c r="Z397" s="47"/>
      <c r="AA397" s="198"/>
      <c r="AB397" s="198"/>
      <c r="AC397" s="198"/>
      <c r="AD397" s="198"/>
      <c r="AE397" s="198"/>
      <c r="AF397" s="198"/>
      <c r="AG397" s="198"/>
      <c r="AH397" s="198"/>
      <c r="AI397" s="198"/>
      <c r="AJ397" s="198"/>
      <c r="AK397" s="198"/>
      <c r="AL397" s="198"/>
      <c r="AM397" s="52"/>
      <c r="AN397" s="52"/>
      <c r="AO397" s="52"/>
      <c r="AP397" s="52"/>
      <c r="AQ397" s="52"/>
    </row>
    <row r="398" spans="1:43">
      <c r="A398" s="331">
        <v>44747</v>
      </c>
      <c r="B398" s="332">
        <v>3831.39</v>
      </c>
      <c r="C398" s="30">
        <v>319.26</v>
      </c>
      <c r="D398" s="22">
        <f t="shared" si="12"/>
        <v>-3.5603940620221306E-3</v>
      </c>
      <c r="E398" s="22">
        <f t="shared" si="13"/>
        <v>-2.8422400599682198E-3</v>
      </c>
      <c r="F398" s="12"/>
      <c r="G398" s="12"/>
      <c r="H398" s="3"/>
      <c r="I398" s="3"/>
      <c r="J398" s="3"/>
      <c r="K398" s="3"/>
      <c r="L398" s="3"/>
      <c r="M398" s="3"/>
      <c r="N398" s="3"/>
      <c r="O398" s="3"/>
      <c r="P398" s="3"/>
      <c r="Q398" s="3"/>
      <c r="R398" s="3"/>
      <c r="S398" s="3"/>
      <c r="T398" s="3"/>
      <c r="U398" s="3"/>
      <c r="V398" s="47"/>
      <c r="W398" s="47"/>
      <c r="X398" s="47"/>
      <c r="Y398" s="47"/>
      <c r="Z398" s="47"/>
      <c r="AA398" s="198"/>
      <c r="AB398" s="198"/>
      <c r="AC398" s="198"/>
      <c r="AD398" s="198"/>
      <c r="AE398" s="198"/>
      <c r="AF398" s="198"/>
      <c r="AG398" s="198"/>
      <c r="AH398" s="198"/>
      <c r="AI398" s="198"/>
      <c r="AJ398" s="198"/>
      <c r="AK398" s="198"/>
      <c r="AL398" s="198"/>
      <c r="AM398" s="52"/>
      <c r="AN398" s="52"/>
      <c r="AO398" s="52"/>
      <c r="AP398" s="52"/>
      <c r="AQ398" s="52"/>
    </row>
    <row r="399" spans="1:43">
      <c r="A399" s="331">
        <v>44743</v>
      </c>
      <c r="B399" s="332">
        <v>3825.33</v>
      </c>
      <c r="C399" s="30">
        <v>318.24</v>
      </c>
      <c r="D399" s="22">
        <f t="shared" si="12"/>
        <v>-1.5816714038508076E-3</v>
      </c>
      <c r="E399" s="22">
        <f t="shared" si="13"/>
        <v>-3.1948881789136811E-3</v>
      </c>
      <c r="F399" s="12"/>
      <c r="G399" s="12"/>
      <c r="H399" s="3"/>
      <c r="I399" s="3"/>
      <c r="J399" s="3"/>
      <c r="K399" s="3"/>
      <c r="L399" s="3"/>
      <c r="M399" s="3"/>
      <c r="N399" s="3"/>
      <c r="O399" s="3"/>
      <c r="P399" s="3"/>
      <c r="Q399" s="3"/>
      <c r="R399" s="3"/>
      <c r="S399" s="3"/>
      <c r="T399" s="3"/>
      <c r="U399" s="3"/>
      <c r="V399" s="47"/>
      <c r="W399" s="47"/>
      <c r="X399" s="47"/>
      <c r="Y399" s="47"/>
      <c r="Z399" s="47"/>
      <c r="AA399" s="198"/>
      <c r="AB399" s="198"/>
      <c r="AC399" s="198"/>
      <c r="AD399" s="198"/>
      <c r="AE399" s="198"/>
      <c r="AF399" s="198"/>
      <c r="AG399" s="198"/>
      <c r="AH399" s="198"/>
      <c r="AI399" s="198"/>
      <c r="AJ399" s="198"/>
      <c r="AK399" s="198"/>
      <c r="AL399" s="198"/>
      <c r="AM399" s="52"/>
      <c r="AN399" s="52"/>
      <c r="AO399" s="52"/>
      <c r="AP399" s="52"/>
      <c r="AQ399" s="52"/>
    </row>
    <row r="400" spans="1:43">
      <c r="A400" s="331">
        <v>44742</v>
      </c>
      <c r="B400" s="332">
        <v>3785.38</v>
      </c>
      <c r="C400" s="30">
        <v>315.48</v>
      </c>
      <c r="D400" s="22">
        <f t="shared" si="12"/>
        <v>-1.0443543432854112E-2</v>
      </c>
      <c r="E400" s="22">
        <f t="shared" si="13"/>
        <v>-8.6726998491704083E-3</v>
      </c>
      <c r="F400" s="12"/>
      <c r="G400" s="12"/>
      <c r="H400" s="3"/>
      <c r="I400" s="3"/>
      <c r="J400" s="3"/>
      <c r="K400" s="3"/>
      <c r="L400" s="3"/>
      <c r="M400" s="3"/>
      <c r="N400" s="3"/>
      <c r="O400" s="3"/>
      <c r="P400" s="3"/>
      <c r="Q400" s="3"/>
      <c r="R400" s="3"/>
      <c r="S400" s="3"/>
      <c r="T400" s="3"/>
      <c r="U400" s="3"/>
      <c r="V400" s="47"/>
      <c r="W400" s="47"/>
      <c r="X400" s="47"/>
      <c r="Y400" s="47"/>
      <c r="Z400" s="47"/>
      <c r="AA400" s="198"/>
      <c r="AB400" s="198"/>
      <c r="AC400" s="198"/>
      <c r="AD400" s="198"/>
      <c r="AE400" s="198"/>
      <c r="AF400" s="198"/>
      <c r="AG400" s="198"/>
      <c r="AH400" s="198"/>
      <c r="AI400" s="198"/>
      <c r="AJ400" s="198"/>
      <c r="AK400" s="198"/>
      <c r="AL400" s="198"/>
      <c r="AM400" s="52"/>
      <c r="AN400" s="52"/>
      <c r="AO400" s="52"/>
      <c r="AP400" s="52"/>
      <c r="AQ400" s="52"/>
    </row>
    <row r="401" spans="1:43">
      <c r="A401" s="331">
        <v>44741</v>
      </c>
      <c r="B401" s="332">
        <v>3818.83</v>
      </c>
      <c r="C401" s="30">
        <v>322.58999999999997</v>
      </c>
      <c r="D401" s="22">
        <f t="shared" si="12"/>
        <v>8.836629347648008E-3</v>
      </c>
      <c r="E401" s="22">
        <f t="shared" si="13"/>
        <v>2.2537086344617586E-2</v>
      </c>
      <c r="F401" s="12"/>
      <c r="G401" s="12"/>
      <c r="H401" s="3"/>
      <c r="I401" s="3"/>
      <c r="J401" s="3"/>
      <c r="K401" s="3"/>
      <c r="L401" s="3"/>
      <c r="M401" s="3"/>
      <c r="N401" s="3"/>
      <c r="O401" s="3"/>
      <c r="P401" s="3"/>
      <c r="Q401" s="3"/>
      <c r="R401" s="3"/>
      <c r="S401" s="3"/>
      <c r="T401" s="3"/>
      <c r="U401" s="3"/>
      <c r="V401" s="47"/>
      <c r="W401" s="47"/>
      <c r="X401" s="47"/>
      <c r="Y401" s="47"/>
      <c r="Z401" s="47"/>
      <c r="AA401" s="198"/>
      <c r="AB401" s="198"/>
      <c r="AC401" s="198"/>
      <c r="AD401" s="198"/>
      <c r="AE401" s="198"/>
      <c r="AF401" s="198"/>
      <c r="AG401" s="198"/>
      <c r="AH401" s="198"/>
      <c r="AI401" s="198"/>
      <c r="AJ401" s="198"/>
      <c r="AK401" s="198"/>
      <c r="AL401" s="198"/>
      <c r="AM401" s="52"/>
      <c r="AN401" s="52"/>
      <c r="AO401" s="52"/>
      <c r="AP401" s="52"/>
      <c r="AQ401" s="52"/>
    </row>
    <row r="402" spans="1:43">
      <c r="A402" s="331">
        <v>44740</v>
      </c>
      <c r="B402" s="332">
        <v>3821.55</v>
      </c>
      <c r="C402" s="30">
        <v>318.29000000000002</v>
      </c>
      <c r="D402" s="22">
        <f t="shared" si="12"/>
        <v>7.1226003776032312E-4</v>
      </c>
      <c r="E402" s="22">
        <f t="shared" si="13"/>
        <v>-1.3329613441210066E-2</v>
      </c>
      <c r="F402" s="12"/>
      <c r="G402" s="12"/>
      <c r="H402" s="3"/>
      <c r="I402" s="3"/>
      <c r="J402" s="3"/>
      <c r="K402" s="3"/>
      <c r="L402" s="3"/>
      <c r="M402" s="3"/>
      <c r="N402" s="3"/>
      <c r="O402" s="3"/>
      <c r="P402" s="3"/>
      <c r="Q402" s="3"/>
      <c r="R402" s="3"/>
      <c r="S402" s="3"/>
      <c r="T402" s="3"/>
      <c r="U402" s="3"/>
      <c r="V402" s="47"/>
      <c r="W402" s="47"/>
      <c r="X402" s="47"/>
      <c r="Y402" s="47"/>
      <c r="Z402" s="47"/>
      <c r="AA402" s="198"/>
      <c r="AB402" s="198"/>
      <c r="AC402" s="198"/>
      <c r="AD402" s="198"/>
      <c r="AE402" s="198"/>
      <c r="AF402" s="198"/>
      <c r="AG402" s="198"/>
      <c r="AH402" s="198"/>
      <c r="AI402" s="198"/>
      <c r="AJ402" s="198"/>
      <c r="AK402" s="198"/>
      <c r="AL402" s="198"/>
      <c r="AM402" s="52"/>
      <c r="AN402" s="52"/>
      <c r="AO402" s="52"/>
      <c r="AP402" s="52"/>
      <c r="AQ402" s="52"/>
    </row>
    <row r="403" spans="1:43">
      <c r="A403" s="331">
        <v>44739</v>
      </c>
      <c r="B403" s="332">
        <v>3900.11</v>
      </c>
      <c r="C403" s="30">
        <v>328.83</v>
      </c>
      <c r="D403" s="22">
        <f t="shared" si="12"/>
        <v>2.0557103792963573E-2</v>
      </c>
      <c r="E403" s="22">
        <f t="shared" si="13"/>
        <v>3.3114455370888064E-2</v>
      </c>
      <c r="F403" s="12"/>
      <c r="G403" s="12"/>
      <c r="H403" s="3"/>
      <c r="I403" s="3"/>
      <c r="J403" s="3"/>
      <c r="K403" s="3"/>
      <c r="L403" s="3"/>
      <c r="M403" s="3"/>
      <c r="N403" s="3"/>
      <c r="O403" s="3"/>
      <c r="P403" s="3"/>
      <c r="Q403" s="3"/>
      <c r="R403" s="3"/>
      <c r="S403" s="3"/>
      <c r="T403" s="3"/>
      <c r="U403" s="3"/>
      <c r="V403" s="47"/>
      <c r="W403" s="47"/>
      <c r="X403" s="47"/>
      <c r="Y403" s="47"/>
      <c r="Z403" s="47"/>
      <c r="AA403" s="198"/>
      <c r="AB403" s="198"/>
      <c r="AC403" s="198"/>
      <c r="AD403" s="198"/>
      <c r="AE403" s="198"/>
      <c r="AF403" s="198"/>
      <c r="AG403" s="198"/>
      <c r="AH403" s="198"/>
      <c r="AI403" s="198"/>
      <c r="AJ403" s="198"/>
      <c r="AK403" s="198"/>
      <c r="AL403" s="198"/>
      <c r="AM403" s="52"/>
      <c r="AN403" s="52"/>
      <c r="AO403" s="52"/>
      <c r="AP403" s="52"/>
      <c r="AQ403" s="52"/>
    </row>
    <row r="404" spans="1:43">
      <c r="A404" s="331">
        <v>44736</v>
      </c>
      <c r="B404" s="332">
        <v>3911.74</v>
      </c>
      <c r="C404" s="30">
        <v>330.5</v>
      </c>
      <c r="D404" s="22">
        <f t="shared" si="12"/>
        <v>2.9819671752847111E-3</v>
      </c>
      <c r="E404" s="22">
        <f t="shared" si="13"/>
        <v>5.0786120487790534E-3</v>
      </c>
      <c r="F404" s="12"/>
      <c r="G404" s="12"/>
      <c r="H404" s="3"/>
      <c r="I404" s="3"/>
      <c r="J404" s="3"/>
      <c r="K404" s="3"/>
      <c r="L404" s="3"/>
      <c r="M404" s="3"/>
      <c r="N404" s="3"/>
      <c r="O404" s="3"/>
      <c r="P404" s="3"/>
      <c r="Q404" s="3"/>
      <c r="R404" s="3"/>
      <c r="S404" s="3"/>
      <c r="T404" s="3"/>
      <c r="U404" s="3"/>
      <c r="V404" s="47"/>
      <c r="W404" s="47"/>
      <c r="X404" s="47"/>
      <c r="Y404" s="47"/>
      <c r="Z404" s="47"/>
      <c r="AA404" s="198"/>
      <c r="AB404" s="198"/>
      <c r="AC404" s="198"/>
      <c r="AD404" s="198"/>
      <c r="AE404" s="198"/>
      <c r="AF404" s="198"/>
      <c r="AG404" s="198"/>
      <c r="AH404" s="198"/>
      <c r="AI404" s="198"/>
      <c r="AJ404" s="198"/>
      <c r="AK404" s="198"/>
      <c r="AL404" s="198"/>
      <c r="AM404" s="52"/>
      <c r="AN404" s="52"/>
      <c r="AO404" s="52"/>
      <c r="AP404" s="52"/>
      <c r="AQ404" s="52"/>
    </row>
    <row r="405" spans="1:43">
      <c r="A405" s="331">
        <v>44735</v>
      </c>
      <c r="B405" s="332">
        <v>3795.73</v>
      </c>
      <c r="C405" s="30">
        <v>316.76</v>
      </c>
      <c r="D405" s="22">
        <f t="shared" si="12"/>
        <v>-2.9656879035927688E-2</v>
      </c>
      <c r="E405" s="22">
        <f t="shared" si="13"/>
        <v>-4.1573373676248138E-2</v>
      </c>
      <c r="F405" s="12"/>
      <c r="G405" s="12"/>
      <c r="H405" s="3"/>
      <c r="I405" s="3"/>
      <c r="J405" s="3"/>
      <c r="K405" s="3"/>
      <c r="L405" s="3"/>
      <c r="M405" s="3"/>
      <c r="N405" s="3"/>
      <c r="O405" s="3"/>
      <c r="P405" s="3"/>
      <c r="Q405" s="3"/>
      <c r="R405" s="3"/>
      <c r="S405" s="3"/>
      <c r="T405" s="3"/>
      <c r="U405" s="3"/>
      <c r="V405" s="47"/>
      <c r="W405" s="47"/>
      <c r="X405" s="47"/>
      <c r="Y405" s="47"/>
      <c r="Z405" s="47"/>
      <c r="AA405" s="198"/>
      <c r="AB405" s="198"/>
      <c r="AC405" s="198"/>
      <c r="AD405" s="198"/>
      <c r="AE405" s="198"/>
      <c r="AF405" s="198"/>
      <c r="AG405" s="198"/>
      <c r="AH405" s="198"/>
      <c r="AI405" s="198"/>
      <c r="AJ405" s="198"/>
      <c r="AK405" s="198"/>
      <c r="AL405" s="198"/>
      <c r="AM405" s="52"/>
      <c r="AN405" s="52"/>
      <c r="AO405" s="52"/>
      <c r="AP405" s="52"/>
      <c r="AQ405" s="52"/>
    </row>
    <row r="406" spans="1:43">
      <c r="A406" s="331">
        <v>44734</v>
      </c>
      <c r="B406" s="332">
        <v>3759.89</v>
      </c>
      <c r="C406" s="30">
        <v>316.14999999999998</v>
      </c>
      <c r="D406" s="22">
        <f t="shared" si="12"/>
        <v>-9.4421889860448836E-3</v>
      </c>
      <c r="E406" s="22">
        <f t="shared" si="13"/>
        <v>-1.9257482005304132E-3</v>
      </c>
      <c r="F406" s="12"/>
      <c r="G406" s="12"/>
      <c r="H406" s="3"/>
      <c r="I406" s="3"/>
      <c r="J406" s="3"/>
      <c r="K406" s="3"/>
      <c r="L406" s="3"/>
      <c r="M406" s="3"/>
      <c r="N406" s="3"/>
      <c r="O406" s="3"/>
      <c r="P406" s="3"/>
      <c r="Q406" s="3"/>
      <c r="R406" s="3"/>
      <c r="S406" s="3"/>
      <c r="T406" s="3"/>
      <c r="U406" s="3"/>
      <c r="V406" s="47"/>
      <c r="W406" s="47"/>
      <c r="X406" s="47"/>
      <c r="Y406" s="47"/>
      <c r="Z406" s="47"/>
      <c r="AA406" s="198"/>
      <c r="AB406" s="198"/>
      <c r="AC406" s="198"/>
      <c r="AD406" s="198"/>
      <c r="AE406" s="198"/>
      <c r="AF406" s="198"/>
      <c r="AG406" s="198"/>
      <c r="AH406" s="198"/>
      <c r="AI406" s="198"/>
      <c r="AJ406" s="198"/>
      <c r="AK406" s="198"/>
      <c r="AL406" s="198"/>
      <c r="AM406" s="52"/>
      <c r="AN406" s="52"/>
      <c r="AO406" s="52"/>
      <c r="AP406" s="52"/>
      <c r="AQ406" s="52"/>
    </row>
    <row r="407" spans="1:43">
      <c r="A407" s="331">
        <v>44733</v>
      </c>
      <c r="B407" s="332">
        <v>3764.79</v>
      </c>
      <c r="C407" s="30">
        <v>317.39999999999998</v>
      </c>
      <c r="D407" s="22">
        <f t="shared" si="12"/>
        <v>1.3032296157600598E-3</v>
      </c>
      <c r="E407" s="22">
        <f t="shared" si="13"/>
        <v>3.9538193895302864E-3</v>
      </c>
      <c r="F407" s="12"/>
      <c r="G407" s="12"/>
      <c r="H407" s="3"/>
      <c r="I407" s="3"/>
      <c r="J407" s="3"/>
      <c r="K407" s="3"/>
      <c r="L407" s="3"/>
      <c r="M407" s="3"/>
      <c r="N407" s="3"/>
      <c r="O407" s="3"/>
      <c r="P407" s="3"/>
      <c r="Q407" s="3"/>
      <c r="R407" s="3"/>
      <c r="S407" s="3"/>
      <c r="T407" s="3"/>
      <c r="U407" s="3"/>
      <c r="V407" s="47"/>
      <c r="W407" s="47"/>
      <c r="X407" s="47"/>
      <c r="Y407" s="47"/>
      <c r="Z407" s="47"/>
      <c r="AA407" s="198"/>
      <c r="AB407" s="198"/>
      <c r="AC407" s="198"/>
      <c r="AD407" s="198"/>
      <c r="AE407" s="198"/>
      <c r="AF407" s="198"/>
      <c r="AG407" s="198"/>
      <c r="AH407" s="198"/>
      <c r="AI407" s="198"/>
      <c r="AJ407" s="198"/>
      <c r="AK407" s="198"/>
      <c r="AL407" s="198"/>
      <c r="AM407" s="52"/>
      <c r="AN407" s="52"/>
      <c r="AO407" s="52"/>
      <c r="AP407" s="52"/>
      <c r="AQ407" s="52"/>
    </row>
    <row r="408" spans="1:43">
      <c r="A408" s="331">
        <v>44729</v>
      </c>
      <c r="B408" s="332">
        <v>3674.84</v>
      </c>
      <c r="C408" s="30">
        <v>310.69</v>
      </c>
      <c r="D408" s="22">
        <f t="shared" si="12"/>
        <v>-2.3892434903407579E-2</v>
      </c>
      <c r="E408" s="22">
        <f t="shared" si="13"/>
        <v>-2.1140516698172591E-2</v>
      </c>
      <c r="F408" s="12"/>
      <c r="G408" s="12"/>
      <c r="H408" s="3"/>
      <c r="I408" s="3"/>
      <c r="J408" s="3"/>
      <c r="K408" s="3"/>
      <c r="L408" s="3"/>
      <c r="M408" s="3"/>
      <c r="N408" s="3"/>
      <c r="O408" s="3"/>
      <c r="P408" s="3"/>
      <c r="Q408" s="3"/>
      <c r="R408" s="3"/>
      <c r="S408" s="3"/>
      <c r="T408" s="3"/>
      <c r="U408" s="3"/>
      <c r="V408" s="47"/>
      <c r="W408" s="47"/>
      <c r="X408" s="47"/>
      <c r="Y408" s="47"/>
      <c r="Z408" s="47"/>
      <c r="AA408" s="198"/>
      <c r="AB408" s="198"/>
      <c r="AC408" s="198"/>
      <c r="AD408" s="198"/>
      <c r="AE408" s="198"/>
      <c r="AF408" s="198"/>
      <c r="AG408" s="198"/>
      <c r="AH408" s="198"/>
      <c r="AI408" s="198"/>
      <c r="AJ408" s="198"/>
      <c r="AK408" s="198"/>
      <c r="AL408" s="198"/>
      <c r="AM408" s="52"/>
      <c r="AN408" s="52"/>
      <c r="AO408" s="52"/>
      <c r="AP408" s="52"/>
      <c r="AQ408" s="52"/>
    </row>
    <row r="409" spans="1:43">
      <c r="A409" s="331">
        <v>44728</v>
      </c>
      <c r="B409" s="332">
        <v>3666.77</v>
      </c>
      <c r="C409" s="30">
        <v>308.77999999999997</v>
      </c>
      <c r="D409" s="22">
        <f t="shared" si="12"/>
        <v>-2.1960139761187324E-3</v>
      </c>
      <c r="E409" s="22">
        <f t="shared" si="13"/>
        <v>-6.147606939393045E-3</v>
      </c>
      <c r="F409" s="12"/>
      <c r="G409" s="12"/>
      <c r="H409" s="3"/>
      <c r="I409" s="3"/>
      <c r="J409" s="3"/>
      <c r="K409" s="3"/>
      <c r="L409" s="3"/>
      <c r="M409" s="3"/>
      <c r="N409" s="3"/>
      <c r="O409" s="3"/>
      <c r="P409" s="3"/>
      <c r="Q409" s="3"/>
      <c r="R409" s="3"/>
      <c r="S409" s="3"/>
      <c r="T409" s="3"/>
      <c r="U409" s="3"/>
      <c r="V409" s="47"/>
      <c r="W409" s="47"/>
      <c r="X409" s="47"/>
      <c r="Y409" s="47"/>
      <c r="Z409" s="47"/>
      <c r="AA409" s="198"/>
      <c r="AB409" s="198"/>
      <c r="AC409" s="198"/>
      <c r="AD409" s="198"/>
      <c r="AE409" s="198"/>
      <c r="AF409" s="198"/>
      <c r="AG409" s="198"/>
      <c r="AH409" s="198"/>
      <c r="AI409" s="198"/>
      <c r="AJ409" s="198"/>
      <c r="AK409" s="198"/>
      <c r="AL409" s="198"/>
      <c r="AM409" s="52"/>
      <c r="AN409" s="52"/>
      <c r="AO409" s="52"/>
      <c r="AP409" s="52"/>
      <c r="AQ409" s="52"/>
    </row>
    <row r="410" spans="1:43">
      <c r="A410" s="331">
        <v>44727</v>
      </c>
      <c r="B410" s="332">
        <v>3789.99</v>
      </c>
      <c r="C410" s="30">
        <v>325.39</v>
      </c>
      <c r="D410" s="22">
        <f t="shared" si="12"/>
        <v>3.3604507509333775E-2</v>
      </c>
      <c r="E410" s="22">
        <f t="shared" si="13"/>
        <v>5.3792344063734746E-2</v>
      </c>
      <c r="F410" s="12"/>
      <c r="G410" s="12"/>
      <c r="H410" s="3"/>
      <c r="I410" s="3"/>
      <c r="J410" s="3"/>
      <c r="K410" s="3"/>
      <c r="L410" s="3"/>
      <c r="M410" s="3"/>
      <c r="N410" s="3"/>
      <c r="O410" s="3"/>
      <c r="P410" s="3"/>
      <c r="Q410" s="3"/>
      <c r="R410" s="3"/>
      <c r="S410" s="3"/>
      <c r="T410" s="3"/>
      <c r="U410" s="3"/>
      <c r="V410" s="47"/>
      <c r="W410" s="47"/>
      <c r="X410" s="47"/>
      <c r="Y410" s="47"/>
      <c r="Z410" s="47"/>
      <c r="AA410" s="198"/>
      <c r="AB410" s="198"/>
      <c r="AC410" s="198"/>
      <c r="AD410" s="198"/>
      <c r="AE410" s="198"/>
      <c r="AF410" s="198"/>
      <c r="AG410" s="198"/>
      <c r="AH410" s="198"/>
      <c r="AI410" s="198"/>
      <c r="AJ410" s="198"/>
      <c r="AK410" s="198"/>
      <c r="AL410" s="198"/>
      <c r="AM410" s="52"/>
      <c r="AN410" s="52"/>
      <c r="AO410" s="52"/>
      <c r="AP410" s="52"/>
      <c r="AQ410" s="52"/>
    </row>
    <row r="411" spans="1:43">
      <c r="A411" s="331">
        <v>44726</v>
      </c>
      <c r="B411" s="332">
        <v>3735.48</v>
      </c>
      <c r="C411" s="30">
        <v>322.14</v>
      </c>
      <c r="D411" s="22">
        <f t="shared" si="12"/>
        <v>-1.438262370085403E-2</v>
      </c>
      <c r="E411" s="22">
        <f t="shared" si="13"/>
        <v>-9.9880143827407123E-3</v>
      </c>
      <c r="F411" s="12"/>
      <c r="G411" s="12"/>
      <c r="H411" s="3"/>
      <c r="I411" s="3"/>
      <c r="J411" s="3"/>
      <c r="K411" s="3"/>
      <c r="L411" s="3"/>
      <c r="M411" s="3"/>
      <c r="N411" s="3"/>
      <c r="O411" s="3"/>
      <c r="P411" s="3"/>
      <c r="Q411" s="3"/>
      <c r="R411" s="3"/>
      <c r="S411" s="3"/>
      <c r="T411" s="3"/>
      <c r="U411" s="3"/>
      <c r="V411" s="47"/>
      <c r="W411" s="47"/>
      <c r="X411" s="47"/>
      <c r="Y411" s="47"/>
      <c r="Z411" s="47"/>
      <c r="AA411" s="198"/>
      <c r="AB411" s="198"/>
      <c r="AC411" s="198"/>
      <c r="AD411" s="198"/>
      <c r="AE411" s="198"/>
      <c r="AF411" s="198"/>
      <c r="AG411" s="198"/>
      <c r="AH411" s="198"/>
      <c r="AI411" s="198"/>
      <c r="AJ411" s="198"/>
      <c r="AK411" s="198"/>
      <c r="AL411" s="198"/>
      <c r="AM411" s="52"/>
      <c r="AN411" s="52"/>
      <c r="AO411" s="52"/>
      <c r="AP411" s="52"/>
      <c r="AQ411" s="52"/>
    </row>
    <row r="412" spans="1:43">
      <c r="A412" s="331">
        <v>44725</v>
      </c>
      <c r="B412" s="332">
        <v>3749.63</v>
      </c>
      <c r="C412" s="30">
        <v>319.74</v>
      </c>
      <c r="D412" s="22">
        <f t="shared" si="12"/>
        <v>3.7880004711576803E-3</v>
      </c>
      <c r="E412" s="22">
        <f t="shared" si="13"/>
        <v>-7.4501769417022953E-3</v>
      </c>
      <c r="F412" s="12"/>
      <c r="G412" s="12"/>
      <c r="H412" s="3"/>
      <c r="I412" s="3"/>
      <c r="J412" s="3"/>
      <c r="K412" s="3"/>
      <c r="L412" s="3"/>
      <c r="M412" s="3"/>
      <c r="N412" s="3"/>
      <c r="O412" s="3"/>
      <c r="P412" s="3"/>
      <c r="Q412" s="3"/>
      <c r="R412" s="3"/>
      <c r="S412" s="3"/>
      <c r="T412" s="3"/>
      <c r="U412" s="3"/>
      <c r="V412" s="47"/>
      <c r="W412" s="47"/>
      <c r="X412" s="47"/>
      <c r="Y412" s="47"/>
      <c r="Z412" s="47"/>
      <c r="AA412" s="198"/>
      <c r="AB412" s="198"/>
      <c r="AC412" s="198"/>
      <c r="AD412" s="198"/>
      <c r="AE412" s="198"/>
      <c r="AF412" s="198"/>
      <c r="AG412" s="198"/>
      <c r="AH412" s="198"/>
      <c r="AI412" s="198"/>
      <c r="AJ412" s="198"/>
      <c r="AK412" s="198"/>
      <c r="AL412" s="198"/>
      <c r="AM412" s="52"/>
      <c r="AN412" s="52"/>
      <c r="AO412" s="52"/>
      <c r="AP412" s="52"/>
      <c r="AQ412" s="52"/>
    </row>
    <row r="413" spans="1:43">
      <c r="A413" s="331">
        <v>44722</v>
      </c>
      <c r="B413" s="332">
        <v>3900.86</v>
      </c>
      <c r="C413" s="30">
        <v>334.75</v>
      </c>
      <c r="D413" s="22">
        <f t="shared" si="12"/>
        <v>4.0331979421969637E-2</v>
      </c>
      <c r="E413" s="22">
        <f t="shared" si="13"/>
        <v>4.6944392318758965E-2</v>
      </c>
      <c r="F413" s="12"/>
      <c r="G413" s="12"/>
      <c r="H413" s="3"/>
      <c r="I413" s="3"/>
      <c r="J413" s="3"/>
      <c r="K413" s="3"/>
      <c r="L413" s="3"/>
      <c r="M413" s="3"/>
      <c r="N413" s="3"/>
      <c r="O413" s="3"/>
      <c r="P413" s="3"/>
      <c r="Q413" s="3"/>
      <c r="R413" s="3"/>
      <c r="S413" s="3"/>
      <c r="T413" s="3"/>
      <c r="U413" s="3"/>
      <c r="V413" s="47"/>
      <c r="W413" s="47"/>
      <c r="X413" s="47"/>
      <c r="Y413" s="47"/>
      <c r="Z413" s="47"/>
      <c r="AA413" s="198"/>
      <c r="AB413" s="198"/>
      <c r="AC413" s="198"/>
      <c r="AD413" s="198"/>
      <c r="AE413" s="198"/>
      <c r="AF413" s="198"/>
      <c r="AG413" s="198"/>
      <c r="AH413" s="198"/>
      <c r="AI413" s="198"/>
      <c r="AJ413" s="198"/>
      <c r="AK413" s="198"/>
      <c r="AL413" s="198"/>
      <c r="AM413" s="52"/>
      <c r="AN413" s="52"/>
      <c r="AO413" s="52"/>
      <c r="AP413" s="52"/>
      <c r="AQ413" s="52"/>
    </row>
    <row r="414" spans="1:43">
      <c r="A414" s="331">
        <v>44721</v>
      </c>
      <c r="B414" s="332">
        <v>4017.82</v>
      </c>
      <c r="C414" s="30">
        <v>349</v>
      </c>
      <c r="D414" s="22">
        <f t="shared" si="12"/>
        <v>2.9983131924755064E-2</v>
      </c>
      <c r="E414" s="22">
        <f t="shared" si="13"/>
        <v>4.2569081404032857E-2</v>
      </c>
      <c r="F414" s="12"/>
      <c r="G414" s="12"/>
      <c r="H414" s="3"/>
      <c r="I414" s="3"/>
      <c r="J414" s="3"/>
      <c r="K414" s="3"/>
      <c r="L414" s="3"/>
      <c r="M414" s="3"/>
      <c r="N414" s="3"/>
      <c r="O414" s="3"/>
      <c r="P414" s="3"/>
      <c r="Q414" s="3"/>
      <c r="R414" s="3"/>
      <c r="S414" s="3"/>
      <c r="T414" s="3"/>
      <c r="U414" s="3"/>
      <c r="V414" s="47"/>
      <c r="W414" s="47"/>
      <c r="X414" s="47"/>
      <c r="Y414" s="47"/>
      <c r="Z414" s="47"/>
      <c r="AA414" s="198"/>
      <c r="AB414" s="198"/>
      <c r="AC414" s="198"/>
      <c r="AD414" s="198"/>
      <c r="AE414" s="198"/>
      <c r="AF414" s="198"/>
      <c r="AG414" s="198"/>
      <c r="AH414" s="198"/>
      <c r="AI414" s="198"/>
      <c r="AJ414" s="198"/>
      <c r="AK414" s="198"/>
      <c r="AL414" s="198"/>
      <c r="AM414" s="52"/>
      <c r="AN414" s="52"/>
      <c r="AO414" s="52"/>
      <c r="AP414" s="52"/>
      <c r="AQ414" s="52"/>
    </row>
    <row r="415" spans="1:43">
      <c r="A415" s="331">
        <v>44720</v>
      </c>
      <c r="B415" s="332">
        <v>4115.7700000000004</v>
      </c>
      <c r="C415" s="30">
        <v>362.33</v>
      </c>
      <c r="D415" s="22">
        <f t="shared" si="12"/>
        <v>2.4378892035979777E-2</v>
      </c>
      <c r="E415" s="22">
        <f t="shared" si="13"/>
        <v>3.8194842406876747E-2</v>
      </c>
      <c r="F415" s="12"/>
      <c r="G415" s="12"/>
      <c r="H415" s="3"/>
      <c r="I415" s="3"/>
      <c r="J415" s="3"/>
      <c r="K415" s="3"/>
      <c r="L415" s="3"/>
      <c r="M415" s="3"/>
      <c r="N415" s="3"/>
      <c r="O415" s="3"/>
      <c r="P415" s="3"/>
      <c r="Q415" s="3"/>
      <c r="R415" s="3"/>
      <c r="S415" s="3"/>
      <c r="T415" s="3"/>
      <c r="U415" s="3"/>
      <c r="V415" s="47"/>
      <c r="W415" s="47"/>
      <c r="X415" s="47"/>
      <c r="Y415" s="47"/>
      <c r="Z415" s="47"/>
      <c r="AA415" s="198"/>
      <c r="AB415" s="198"/>
      <c r="AC415" s="198"/>
      <c r="AD415" s="198"/>
      <c r="AE415" s="198"/>
      <c r="AF415" s="198"/>
      <c r="AG415" s="198"/>
      <c r="AH415" s="198"/>
      <c r="AI415" s="198"/>
      <c r="AJ415" s="198"/>
      <c r="AK415" s="198"/>
      <c r="AL415" s="198"/>
      <c r="AM415" s="52"/>
      <c r="AN415" s="52"/>
      <c r="AO415" s="52"/>
      <c r="AP415" s="52"/>
      <c r="AQ415" s="52"/>
    </row>
    <row r="416" spans="1:43">
      <c r="A416" s="331">
        <v>44719</v>
      </c>
      <c r="B416" s="332">
        <v>4160.68</v>
      </c>
      <c r="C416" s="30">
        <v>364.02</v>
      </c>
      <c r="D416" s="22">
        <f t="shared" si="12"/>
        <v>1.0911688456837931E-2</v>
      </c>
      <c r="E416" s="22">
        <f t="shared" si="13"/>
        <v>4.6642563409046937E-3</v>
      </c>
      <c r="F416" s="12"/>
      <c r="G416" s="12"/>
      <c r="H416" s="3"/>
      <c r="I416" s="3"/>
      <c r="J416" s="3"/>
      <c r="K416" s="3"/>
      <c r="L416" s="3"/>
      <c r="M416" s="3"/>
      <c r="N416" s="3"/>
      <c r="O416" s="3"/>
      <c r="P416" s="3"/>
      <c r="Q416" s="3"/>
      <c r="R416" s="3"/>
      <c r="S416" s="3"/>
      <c r="T416" s="3"/>
      <c r="U416" s="3"/>
      <c r="V416" s="47"/>
      <c r="W416" s="47"/>
      <c r="X416" s="47"/>
      <c r="Y416" s="47"/>
      <c r="Z416" s="47"/>
      <c r="AA416" s="198"/>
      <c r="AB416" s="198"/>
      <c r="AC416" s="198"/>
      <c r="AD416" s="198"/>
      <c r="AE416" s="198"/>
      <c r="AF416" s="198"/>
      <c r="AG416" s="198"/>
      <c r="AH416" s="198"/>
      <c r="AI416" s="198"/>
      <c r="AJ416" s="198"/>
      <c r="AK416" s="198"/>
      <c r="AL416" s="198"/>
      <c r="AM416" s="52"/>
      <c r="AN416" s="52"/>
      <c r="AO416" s="52"/>
      <c r="AP416" s="52"/>
      <c r="AQ416" s="52"/>
    </row>
    <row r="417" spans="1:43">
      <c r="A417" s="331">
        <v>44718</v>
      </c>
      <c r="B417" s="332">
        <v>4121.43</v>
      </c>
      <c r="C417" s="30">
        <v>360.14</v>
      </c>
      <c r="D417" s="22">
        <f t="shared" si="12"/>
        <v>-9.4335541305748099E-3</v>
      </c>
      <c r="E417" s="22">
        <f t="shared" si="13"/>
        <v>-1.0658755013460787E-2</v>
      </c>
      <c r="F417" s="12"/>
      <c r="G417" s="12"/>
      <c r="H417" s="3"/>
      <c r="I417" s="3"/>
      <c r="J417" s="3"/>
      <c r="K417" s="3"/>
      <c r="L417" s="3"/>
      <c r="M417" s="3"/>
      <c r="N417" s="3"/>
      <c r="O417" s="3"/>
      <c r="P417" s="3"/>
      <c r="Q417" s="3"/>
      <c r="R417" s="3"/>
      <c r="S417" s="3"/>
      <c r="T417" s="3"/>
      <c r="U417" s="3"/>
      <c r="V417" s="47"/>
      <c r="W417" s="47"/>
      <c r="X417" s="47"/>
      <c r="Y417" s="47"/>
      <c r="Z417" s="47"/>
      <c r="AA417" s="198"/>
      <c r="AB417" s="198"/>
      <c r="AC417" s="198"/>
      <c r="AD417" s="198"/>
      <c r="AE417" s="198"/>
      <c r="AF417" s="198"/>
      <c r="AG417" s="198"/>
      <c r="AH417" s="198"/>
      <c r="AI417" s="198"/>
      <c r="AJ417" s="198"/>
      <c r="AK417" s="198"/>
      <c r="AL417" s="198"/>
      <c r="AM417" s="52"/>
      <c r="AN417" s="52"/>
      <c r="AO417" s="52"/>
      <c r="AP417" s="52"/>
      <c r="AQ417" s="52"/>
    </row>
    <row r="418" spans="1:43">
      <c r="A418" s="331">
        <v>44715</v>
      </c>
      <c r="B418" s="332">
        <v>4108.54</v>
      </c>
      <c r="C418" s="30">
        <v>357.82</v>
      </c>
      <c r="D418" s="22">
        <f t="shared" si="12"/>
        <v>-3.1275552417486955E-3</v>
      </c>
      <c r="E418" s="22">
        <f t="shared" si="13"/>
        <v>-6.4419392458488177E-3</v>
      </c>
      <c r="F418" s="12"/>
      <c r="G418" s="12"/>
      <c r="H418" s="3"/>
      <c r="I418" s="3"/>
      <c r="J418" s="3"/>
      <c r="K418" s="3"/>
      <c r="L418" s="3"/>
      <c r="M418" s="3"/>
      <c r="N418" s="3"/>
      <c r="O418" s="3"/>
      <c r="P418" s="3"/>
      <c r="Q418" s="3"/>
      <c r="R418" s="3"/>
      <c r="S418" s="3"/>
      <c r="T418" s="3"/>
      <c r="U418" s="3"/>
      <c r="V418" s="47"/>
      <c r="W418" s="47"/>
      <c r="X418" s="47"/>
      <c r="Y418" s="47"/>
      <c r="Z418" s="47"/>
      <c r="AA418" s="198"/>
      <c r="AB418" s="198"/>
      <c r="AC418" s="198"/>
      <c r="AD418" s="198"/>
      <c r="AE418" s="198"/>
      <c r="AF418" s="198"/>
      <c r="AG418" s="198"/>
      <c r="AH418" s="198"/>
      <c r="AI418" s="198"/>
      <c r="AJ418" s="198"/>
      <c r="AK418" s="198"/>
      <c r="AL418" s="198"/>
      <c r="AM418" s="52"/>
      <c r="AN418" s="52"/>
      <c r="AO418" s="52"/>
      <c r="AP418" s="52"/>
      <c r="AQ418" s="52"/>
    </row>
    <row r="419" spans="1:43">
      <c r="A419" s="331">
        <v>44714</v>
      </c>
      <c r="B419" s="332">
        <v>4176.82</v>
      </c>
      <c r="C419" s="30">
        <v>363.08</v>
      </c>
      <c r="D419" s="22">
        <f t="shared" si="12"/>
        <v>1.6619042287527867E-2</v>
      </c>
      <c r="E419" s="22">
        <f t="shared" si="13"/>
        <v>1.4700128556257311E-2</v>
      </c>
      <c r="F419" s="12"/>
      <c r="G419" s="12"/>
      <c r="H419" s="3"/>
      <c r="I419" s="3"/>
      <c r="J419" s="3"/>
      <c r="K419" s="3"/>
      <c r="L419" s="3"/>
      <c r="M419" s="3"/>
      <c r="N419" s="3"/>
      <c r="O419" s="3"/>
      <c r="P419" s="3"/>
      <c r="Q419" s="3"/>
      <c r="R419" s="3"/>
      <c r="S419" s="3"/>
      <c r="T419" s="3"/>
      <c r="U419" s="3"/>
      <c r="V419" s="47"/>
      <c r="W419" s="47"/>
      <c r="X419" s="47"/>
      <c r="Y419" s="47"/>
      <c r="Z419" s="47"/>
      <c r="AA419" s="198"/>
      <c r="AB419" s="198"/>
      <c r="AC419" s="198"/>
      <c r="AD419" s="198"/>
      <c r="AE419" s="198"/>
      <c r="AF419" s="198"/>
      <c r="AG419" s="198"/>
      <c r="AH419" s="198"/>
      <c r="AI419" s="198"/>
      <c r="AJ419" s="198"/>
      <c r="AK419" s="198"/>
      <c r="AL419" s="198"/>
      <c r="AM419" s="52"/>
      <c r="AN419" s="52"/>
      <c r="AO419" s="52"/>
      <c r="AP419" s="52"/>
      <c r="AQ419" s="52"/>
    </row>
    <row r="420" spans="1:43">
      <c r="A420" s="331">
        <v>44713</v>
      </c>
      <c r="B420" s="332">
        <v>4101.2299999999996</v>
      </c>
      <c r="C420" s="30">
        <v>357.06</v>
      </c>
      <c r="D420" s="22">
        <f t="shared" si="12"/>
        <v>-1.8097500011970864E-2</v>
      </c>
      <c r="E420" s="22">
        <f t="shared" si="13"/>
        <v>-1.6580367962983317E-2</v>
      </c>
      <c r="F420" s="12"/>
      <c r="G420" s="12"/>
      <c r="H420" s="3"/>
      <c r="I420" s="3"/>
      <c r="J420" s="3"/>
      <c r="K420" s="3"/>
      <c r="L420" s="3"/>
      <c r="M420" s="3"/>
      <c r="N420" s="3"/>
      <c r="O420" s="3"/>
      <c r="P420" s="3"/>
      <c r="Q420" s="3"/>
      <c r="R420" s="3"/>
      <c r="S420" s="3"/>
      <c r="T420" s="3"/>
      <c r="U420" s="3"/>
      <c r="V420" s="47"/>
      <c r="W420" s="47"/>
      <c r="X420" s="47"/>
      <c r="Y420" s="47"/>
      <c r="Z420" s="47"/>
      <c r="AA420" s="198"/>
      <c r="AB420" s="198"/>
      <c r="AC420" s="198"/>
      <c r="AD420" s="198"/>
      <c r="AE420" s="198"/>
      <c r="AF420" s="198"/>
      <c r="AG420" s="198"/>
      <c r="AH420" s="198"/>
      <c r="AI420" s="198"/>
      <c r="AJ420" s="198"/>
      <c r="AK420" s="198"/>
      <c r="AL420" s="198"/>
      <c r="AM420" s="52"/>
      <c r="AN420" s="52"/>
      <c r="AO420" s="52"/>
      <c r="AP420" s="52"/>
      <c r="AQ420" s="52"/>
    </row>
    <row r="421" spans="1:43">
      <c r="A421" s="331">
        <v>44712</v>
      </c>
      <c r="B421" s="332">
        <v>4132.1499999999996</v>
      </c>
      <c r="C421" s="30">
        <v>357.87</v>
      </c>
      <c r="D421" s="22">
        <f t="shared" si="12"/>
        <v>7.5392016541379232E-3</v>
      </c>
      <c r="E421" s="22">
        <f t="shared" si="13"/>
        <v>2.268526298101166E-3</v>
      </c>
      <c r="F421" s="12"/>
      <c r="G421" s="12"/>
      <c r="H421" s="3"/>
      <c r="I421" s="3"/>
      <c r="J421" s="3"/>
      <c r="K421" s="3"/>
      <c r="L421" s="3"/>
      <c r="M421" s="3"/>
      <c r="N421" s="3"/>
      <c r="O421" s="3"/>
      <c r="P421" s="3"/>
      <c r="Q421" s="3"/>
      <c r="R421" s="3"/>
      <c r="S421" s="3"/>
      <c r="T421" s="3"/>
      <c r="U421" s="3"/>
      <c r="V421" s="47"/>
      <c r="W421" s="47"/>
      <c r="X421" s="47"/>
      <c r="Y421" s="47"/>
      <c r="Z421" s="47"/>
      <c r="AA421" s="198"/>
      <c r="AB421" s="198"/>
      <c r="AC421" s="198"/>
      <c r="AD421" s="198"/>
      <c r="AE421" s="198"/>
      <c r="AF421" s="198"/>
      <c r="AG421" s="198"/>
      <c r="AH421" s="198"/>
      <c r="AI421" s="198"/>
      <c r="AJ421" s="198"/>
      <c r="AK421" s="198"/>
      <c r="AL421" s="198"/>
      <c r="AM421" s="52"/>
      <c r="AN421" s="52"/>
      <c r="AO421" s="52"/>
      <c r="AP421" s="52"/>
      <c r="AQ421" s="52"/>
    </row>
    <row r="422" spans="1:43">
      <c r="A422" s="331">
        <v>44708</v>
      </c>
      <c r="B422" s="332">
        <v>4158.24</v>
      </c>
      <c r="C422" s="30">
        <v>357.78</v>
      </c>
      <c r="D422" s="22">
        <f t="shared" si="12"/>
        <v>6.3139043839163991E-3</v>
      </c>
      <c r="E422" s="22">
        <f t="shared" si="13"/>
        <v>-2.514879704921671E-4</v>
      </c>
      <c r="F422" s="12"/>
      <c r="G422" s="12"/>
      <c r="H422" s="3"/>
      <c r="I422" s="3"/>
      <c r="J422" s="3"/>
      <c r="K422" s="3"/>
      <c r="L422" s="3"/>
      <c r="M422" s="3"/>
      <c r="N422" s="3"/>
      <c r="O422" s="3"/>
      <c r="P422" s="3"/>
      <c r="Q422" s="3"/>
      <c r="R422" s="3"/>
      <c r="S422" s="3"/>
      <c r="T422" s="3"/>
      <c r="U422" s="3"/>
      <c r="V422" s="47"/>
      <c r="W422" s="47"/>
      <c r="X422" s="47"/>
      <c r="Y422" s="47"/>
      <c r="Z422" s="47"/>
      <c r="AA422" s="198"/>
      <c r="AB422" s="198"/>
      <c r="AC422" s="198"/>
      <c r="AD422" s="198"/>
      <c r="AE422" s="198"/>
      <c r="AF422" s="198"/>
      <c r="AG422" s="198"/>
      <c r="AH422" s="198"/>
      <c r="AI422" s="198"/>
      <c r="AJ422" s="198"/>
      <c r="AK422" s="198"/>
      <c r="AL422" s="198"/>
      <c r="AM422" s="52"/>
      <c r="AN422" s="52"/>
      <c r="AO422" s="52"/>
      <c r="AP422" s="52"/>
      <c r="AQ422" s="52"/>
    </row>
    <row r="423" spans="1:43">
      <c r="A423" s="331">
        <v>44707</v>
      </c>
      <c r="B423" s="332">
        <v>4057.84</v>
      </c>
      <c r="C423" s="30">
        <v>349.89</v>
      </c>
      <c r="D423" s="22">
        <f t="shared" si="12"/>
        <v>-2.4144830505213658E-2</v>
      </c>
      <c r="E423" s="22">
        <f t="shared" si="13"/>
        <v>-2.2052658058024449E-2</v>
      </c>
      <c r="F423" s="12"/>
      <c r="G423" s="12"/>
      <c r="H423" s="3"/>
      <c r="I423" s="3"/>
      <c r="J423" s="3"/>
      <c r="K423" s="3"/>
      <c r="L423" s="3"/>
      <c r="M423" s="3"/>
      <c r="N423" s="3"/>
      <c r="O423" s="3"/>
      <c r="P423" s="3"/>
      <c r="Q423" s="3"/>
      <c r="R423" s="3"/>
      <c r="S423" s="3"/>
      <c r="T423" s="3"/>
      <c r="U423" s="3"/>
      <c r="V423" s="47"/>
      <c r="W423" s="47"/>
      <c r="X423" s="47"/>
      <c r="Y423" s="47"/>
      <c r="Z423" s="47"/>
      <c r="AA423" s="198"/>
      <c r="AB423" s="198"/>
      <c r="AC423" s="198"/>
      <c r="AD423" s="198"/>
      <c r="AE423" s="198"/>
      <c r="AF423" s="198"/>
      <c r="AG423" s="198"/>
      <c r="AH423" s="198"/>
      <c r="AI423" s="198"/>
      <c r="AJ423" s="198"/>
      <c r="AK423" s="198"/>
      <c r="AL423" s="198"/>
      <c r="AM423" s="52"/>
      <c r="AN423" s="52"/>
      <c r="AO423" s="52"/>
      <c r="AP423" s="52"/>
      <c r="AQ423" s="52"/>
    </row>
    <row r="424" spans="1:43">
      <c r="A424" s="331">
        <v>44706</v>
      </c>
      <c r="B424" s="332">
        <v>3978.73</v>
      </c>
      <c r="C424" s="30">
        <v>344.76</v>
      </c>
      <c r="D424" s="22">
        <f t="shared" si="12"/>
        <v>-1.9495593714882825E-2</v>
      </c>
      <c r="E424" s="22">
        <f t="shared" si="13"/>
        <v>-1.4661750835977009E-2</v>
      </c>
      <c r="F424" s="12"/>
      <c r="G424" s="12"/>
      <c r="H424" s="3"/>
      <c r="I424" s="3"/>
      <c r="J424" s="3"/>
      <c r="K424" s="3"/>
      <c r="L424" s="3"/>
      <c r="M424" s="3"/>
      <c r="N424" s="3"/>
      <c r="O424" s="3"/>
      <c r="P424" s="3"/>
      <c r="Q424" s="3"/>
      <c r="R424" s="3"/>
      <c r="S424" s="3"/>
      <c r="T424" s="3"/>
      <c r="U424" s="3"/>
      <c r="V424" s="47"/>
      <c r="W424" s="47"/>
      <c r="X424" s="47"/>
      <c r="Y424" s="47"/>
      <c r="Z424" s="47"/>
      <c r="AA424" s="198"/>
      <c r="AB424" s="198"/>
      <c r="AC424" s="198"/>
      <c r="AD424" s="198"/>
      <c r="AE424" s="198"/>
      <c r="AF424" s="198"/>
      <c r="AG424" s="198"/>
      <c r="AH424" s="198"/>
      <c r="AI424" s="198"/>
      <c r="AJ424" s="198"/>
      <c r="AK424" s="198"/>
      <c r="AL424" s="198"/>
      <c r="AM424" s="52"/>
      <c r="AN424" s="52"/>
      <c r="AO424" s="52"/>
      <c r="AP424" s="52"/>
      <c r="AQ424" s="52"/>
    </row>
    <row r="425" spans="1:43">
      <c r="A425" s="331">
        <v>44705</v>
      </c>
      <c r="B425" s="332">
        <v>3941.48</v>
      </c>
      <c r="C425" s="30">
        <v>340.69</v>
      </c>
      <c r="D425" s="22">
        <f t="shared" si="12"/>
        <v>-9.3622839448768824E-3</v>
      </c>
      <c r="E425" s="22">
        <f t="shared" si="13"/>
        <v>-1.1805313841512916E-2</v>
      </c>
      <c r="F425" s="12"/>
      <c r="G425" s="12"/>
      <c r="H425" s="3"/>
      <c r="I425" s="3"/>
      <c r="J425" s="3"/>
      <c r="K425" s="3"/>
      <c r="L425" s="3"/>
      <c r="M425" s="3"/>
      <c r="N425" s="3"/>
      <c r="O425" s="3"/>
      <c r="P425" s="3"/>
      <c r="Q425" s="3"/>
      <c r="R425" s="3"/>
      <c r="S425" s="3"/>
      <c r="T425" s="3"/>
      <c r="U425" s="3"/>
      <c r="V425" s="47"/>
      <c r="W425" s="47"/>
      <c r="X425" s="47"/>
      <c r="Y425" s="47"/>
      <c r="Z425" s="47"/>
      <c r="AA425" s="198"/>
      <c r="AB425" s="198"/>
      <c r="AC425" s="198"/>
      <c r="AD425" s="198"/>
      <c r="AE425" s="198"/>
      <c r="AF425" s="198"/>
      <c r="AG425" s="198"/>
      <c r="AH425" s="198"/>
      <c r="AI425" s="198"/>
      <c r="AJ425" s="198"/>
      <c r="AK425" s="198"/>
      <c r="AL425" s="198"/>
      <c r="AM425" s="52"/>
      <c r="AN425" s="52"/>
      <c r="AO425" s="52"/>
      <c r="AP425" s="52"/>
      <c r="AQ425" s="52"/>
    </row>
    <row r="426" spans="1:43">
      <c r="A426" s="331">
        <v>44704</v>
      </c>
      <c r="B426" s="332">
        <v>3973.75</v>
      </c>
      <c r="C426" s="30">
        <v>348.43</v>
      </c>
      <c r="D426" s="22">
        <f t="shared" si="12"/>
        <v>8.1872799050102963E-3</v>
      </c>
      <c r="E426" s="22">
        <f t="shared" si="13"/>
        <v>2.2718600487246499E-2</v>
      </c>
      <c r="F426" s="12"/>
      <c r="G426" s="12"/>
      <c r="H426" s="3"/>
      <c r="I426" s="3"/>
      <c r="J426" s="3"/>
      <c r="K426" s="3"/>
      <c r="L426" s="3"/>
      <c r="M426" s="3"/>
      <c r="N426" s="3"/>
      <c r="O426" s="3"/>
      <c r="P426" s="3"/>
      <c r="Q426" s="3"/>
      <c r="R426" s="3"/>
      <c r="S426" s="3"/>
      <c r="T426" s="3"/>
      <c r="U426" s="3"/>
      <c r="V426" s="47"/>
      <c r="W426" s="47"/>
      <c r="X426" s="47"/>
      <c r="Y426" s="47"/>
      <c r="Z426" s="47"/>
      <c r="AA426" s="198"/>
      <c r="AB426" s="198"/>
      <c r="AC426" s="198"/>
      <c r="AD426" s="198"/>
      <c r="AE426" s="198"/>
      <c r="AF426" s="198"/>
      <c r="AG426" s="198"/>
      <c r="AH426" s="198"/>
      <c r="AI426" s="198"/>
      <c r="AJ426" s="198"/>
      <c r="AK426" s="198"/>
      <c r="AL426" s="198"/>
      <c r="AM426" s="52"/>
      <c r="AN426" s="52"/>
      <c r="AO426" s="52"/>
      <c r="AP426" s="52"/>
      <c r="AQ426" s="52"/>
    </row>
    <row r="427" spans="1:43">
      <c r="A427" s="331">
        <v>44701</v>
      </c>
      <c r="B427" s="332">
        <v>3901.36</v>
      </c>
      <c r="C427" s="30">
        <v>336.18</v>
      </c>
      <c r="D427" s="22">
        <f t="shared" si="12"/>
        <v>-1.8217049386599529E-2</v>
      </c>
      <c r="E427" s="22">
        <f t="shared" si="13"/>
        <v>-3.515770743047384E-2</v>
      </c>
      <c r="F427" s="12"/>
      <c r="G427" s="12"/>
      <c r="H427" s="3"/>
      <c r="I427" s="3"/>
      <c r="J427" s="3"/>
      <c r="K427" s="3"/>
      <c r="L427" s="3"/>
      <c r="M427" s="3"/>
      <c r="N427" s="3"/>
      <c r="O427" s="3"/>
      <c r="P427" s="3"/>
      <c r="Q427" s="3"/>
      <c r="R427" s="3"/>
      <c r="S427" s="3"/>
      <c r="T427" s="3"/>
      <c r="U427" s="3"/>
      <c r="V427" s="47"/>
      <c r="W427" s="47"/>
      <c r="X427" s="47"/>
      <c r="Y427" s="47"/>
      <c r="Z427" s="47"/>
      <c r="AA427" s="198"/>
      <c r="AB427" s="198"/>
      <c r="AC427" s="198"/>
      <c r="AD427" s="198"/>
      <c r="AE427" s="198"/>
      <c r="AF427" s="198"/>
      <c r="AG427" s="198"/>
      <c r="AH427" s="198"/>
      <c r="AI427" s="198"/>
      <c r="AJ427" s="198"/>
      <c r="AK427" s="198"/>
      <c r="AL427" s="198"/>
      <c r="AM427" s="52"/>
      <c r="AN427" s="52"/>
      <c r="AO427" s="52"/>
      <c r="AP427" s="52"/>
      <c r="AQ427" s="52"/>
    </row>
    <row r="428" spans="1:43">
      <c r="A428" s="331">
        <v>44700</v>
      </c>
      <c r="B428" s="332">
        <v>3900.79</v>
      </c>
      <c r="C428" s="30">
        <v>332.22</v>
      </c>
      <c r="D428" s="22">
        <f t="shared" si="12"/>
        <v>-1.4610289745118721E-4</v>
      </c>
      <c r="E428" s="22">
        <f t="shared" si="13"/>
        <v>-1.1779403890772739E-2</v>
      </c>
      <c r="F428" s="12"/>
      <c r="G428" s="12"/>
      <c r="H428" s="3"/>
      <c r="I428" s="3"/>
      <c r="J428" s="3"/>
      <c r="K428" s="3"/>
      <c r="L428" s="3"/>
      <c r="M428" s="3"/>
      <c r="N428" s="3"/>
      <c r="O428" s="3"/>
      <c r="P428" s="3"/>
      <c r="Q428" s="3"/>
      <c r="R428" s="3"/>
      <c r="S428" s="3"/>
      <c r="T428" s="3"/>
      <c r="U428" s="3"/>
      <c r="V428" s="47"/>
      <c r="W428" s="47"/>
      <c r="X428" s="47"/>
      <c r="Y428" s="47"/>
      <c r="Z428" s="47"/>
      <c r="AA428" s="198"/>
      <c r="AB428" s="198"/>
      <c r="AC428" s="198"/>
      <c r="AD428" s="198"/>
      <c r="AE428" s="198"/>
      <c r="AF428" s="198"/>
      <c r="AG428" s="198"/>
      <c r="AH428" s="198"/>
      <c r="AI428" s="198"/>
      <c r="AJ428" s="198"/>
      <c r="AK428" s="198"/>
      <c r="AL428" s="198"/>
      <c r="AM428" s="52"/>
      <c r="AN428" s="52"/>
      <c r="AO428" s="52"/>
      <c r="AP428" s="52"/>
      <c r="AQ428" s="52"/>
    </row>
    <row r="429" spans="1:43">
      <c r="A429" s="331">
        <v>44699</v>
      </c>
      <c r="B429" s="332">
        <v>3923.68</v>
      </c>
      <c r="C429" s="30">
        <v>335.9</v>
      </c>
      <c r="D429" s="22">
        <f t="shared" si="12"/>
        <v>5.8680421145459955E-3</v>
      </c>
      <c r="E429" s="22">
        <f t="shared" si="13"/>
        <v>1.1076997170549484E-2</v>
      </c>
      <c r="F429" s="12"/>
      <c r="G429" s="12"/>
      <c r="H429" s="3"/>
      <c r="I429" s="3"/>
      <c r="J429" s="3"/>
      <c r="K429" s="3"/>
      <c r="L429" s="3"/>
      <c r="M429" s="3"/>
      <c r="N429" s="3"/>
      <c r="O429" s="3"/>
      <c r="P429" s="3"/>
      <c r="Q429" s="3"/>
      <c r="R429" s="3"/>
      <c r="S429" s="3"/>
      <c r="T429" s="3"/>
      <c r="U429" s="3"/>
      <c r="V429" s="47"/>
      <c r="W429" s="47"/>
      <c r="X429" s="47"/>
      <c r="Y429" s="47"/>
      <c r="Z429" s="47"/>
      <c r="AA429" s="198"/>
      <c r="AB429" s="198"/>
      <c r="AC429" s="198"/>
      <c r="AD429" s="198"/>
      <c r="AE429" s="198"/>
      <c r="AF429" s="198"/>
      <c r="AG429" s="198"/>
      <c r="AH429" s="198"/>
      <c r="AI429" s="198"/>
      <c r="AJ429" s="198"/>
      <c r="AK429" s="198"/>
      <c r="AL429" s="198"/>
      <c r="AM429" s="52"/>
      <c r="AN429" s="52"/>
      <c r="AO429" s="52"/>
      <c r="AP429" s="52"/>
      <c r="AQ429" s="52"/>
    </row>
    <row r="430" spans="1:43">
      <c r="A430" s="331">
        <v>44698</v>
      </c>
      <c r="B430" s="332">
        <v>4088.85</v>
      </c>
      <c r="C430" s="30">
        <v>338.86</v>
      </c>
      <c r="D430" s="22">
        <f t="shared" si="12"/>
        <v>4.2095685682828385E-2</v>
      </c>
      <c r="E430" s="22">
        <f t="shared" si="13"/>
        <v>8.8121464721644428E-3</v>
      </c>
      <c r="F430" s="12"/>
      <c r="G430" s="12"/>
      <c r="H430" s="3"/>
      <c r="I430" s="3"/>
      <c r="J430" s="3"/>
      <c r="K430" s="3"/>
      <c r="L430" s="3"/>
      <c r="M430" s="3"/>
      <c r="N430" s="3"/>
      <c r="O430" s="3"/>
      <c r="P430" s="3"/>
      <c r="Q430" s="3"/>
      <c r="R430" s="3"/>
      <c r="S430" s="3"/>
      <c r="T430" s="3"/>
      <c r="U430" s="3"/>
      <c r="V430" s="47"/>
      <c r="W430" s="47"/>
      <c r="X430" s="47"/>
      <c r="Y430" s="47"/>
      <c r="Z430" s="47"/>
      <c r="AA430" s="198"/>
      <c r="AB430" s="198"/>
      <c r="AC430" s="198"/>
      <c r="AD430" s="198"/>
      <c r="AE430" s="198"/>
      <c r="AF430" s="198"/>
      <c r="AG430" s="198"/>
      <c r="AH430" s="198"/>
      <c r="AI430" s="198"/>
      <c r="AJ430" s="198"/>
      <c r="AK430" s="198"/>
      <c r="AL430" s="198"/>
      <c r="AM430" s="52"/>
      <c r="AN430" s="52"/>
      <c r="AO430" s="52"/>
      <c r="AP430" s="52"/>
      <c r="AQ430" s="52"/>
    </row>
    <row r="431" spans="1:43">
      <c r="A431" s="331">
        <v>44697</v>
      </c>
      <c r="B431" s="332">
        <v>4008.01</v>
      </c>
      <c r="C431" s="30">
        <v>329.73</v>
      </c>
      <c r="D431" s="22">
        <f t="shared" si="12"/>
        <v>-1.9770840211795416E-2</v>
      </c>
      <c r="E431" s="22">
        <f t="shared" si="13"/>
        <v>-2.6943280410789101E-2</v>
      </c>
      <c r="F431" s="12"/>
      <c r="G431" s="12"/>
      <c r="H431" s="3"/>
      <c r="I431" s="3"/>
      <c r="J431" s="3"/>
      <c r="K431" s="3"/>
      <c r="L431" s="3"/>
      <c r="M431" s="3"/>
      <c r="N431" s="3"/>
      <c r="O431" s="3"/>
      <c r="P431" s="3"/>
      <c r="Q431" s="3"/>
      <c r="R431" s="3"/>
      <c r="S431" s="3"/>
      <c r="T431" s="3"/>
      <c r="U431" s="3"/>
      <c r="V431" s="47"/>
      <c r="W431" s="47"/>
      <c r="X431" s="47"/>
      <c r="Y431" s="47"/>
      <c r="Z431" s="47"/>
      <c r="AA431" s="198"/>
      <c r="AB431" s="198"/>
      <c r="AC431" s="198"/>
      <c r="AD431" s="198"/>
      <c r="AE431" s="198"/>
      <c r="AF431" s="198"/>
      <c r="AG431" s="198"/>
      <c r="AH431" s="198"/>
      <c r="AI431" s="198"/>
      <c r="AJ431" s="198"/>
      <c r="AK431" s="198"/>
      <c r="AL431" s="198"/>
      <c r="AM431" s="52"/>
      <c r="AN431" s="52"/>
      <c r="AO431" s="52"/>
      <c r="AP431" s="52"/>
      <c r="AQ431" s="52"/>
    </row>
    <row r="432" spans="1:43">
      <c r="A432" s="331">
        <v>44694</v>
      </c>
      <c r="B432" s="332">
        <v>4023.89</v>
      </c>
      <c r="C432" s="30">
        <v>332.8</v>
      </c>
      <c r="D432" s="22">
        <f t="shared" si="12"/>
        <v>3.962065962909188E-3</v>
      </c>
      <c r="E432" s="22">
        <f t="shared" si="13"/>
        <v>9.3106481060261214E-3</v>
      </c>
      <c r="F432" s="12"/>
      <c r="G432" s="12"/>
      <c r="H432" s="3"/>
      <c r="I432" s="3"/>
      <c r="J432" s="3"/>
      <c r="K432" s="3"/>
      <c r="L432" s="3"/>
      <c r="M432" s="3"/>
      <c r="N432" s="3"/>
      <c r="O432" s="3"/>
      <c r="P432" s="3"/>
      <c r="Q432" s="3"/>
      <c r="R432" s="3"/>
      <c r="S432" s="3"/>
      <c r="T432" s="3"/>
      <c r="U432" s="3"/>
      <c r="V432" s="47"/>
      <c r="W432" s="47"/>
      <c r="X432" s="47"/>
      <c r="Y432" s="47"/>
      <c r="Z432" s="47"/>
      <c r="AA432" s="198"/>
      <c r="AB432" s="198"/>
      <c r="AC432" s="198"/>
      <c r="AD432" s="198"/>
      <c r="AE432" s="198"/>
      <c r="AF432" s="198"/>
      <c r="AG432" s="198"/>
      <c r="AH432" s="198"/>
      <c r="AI432" s="198"/>
      <c r="AJ432" s="198"/>
      <c r="AK432" s="198"/>
      <c r="AL432" s="198"/>
      <c r="AM432" s="52"/>
      <c r="AN432" s="52"/>
      <c r="AO432" s="52"/>
      <c r="AP432" s="52"/>
      <c r="AQ432" s="52"/>
    </row>
    <row r="433" spans="1:43">
      <c r="A433" s="331">
        <v>44693</v>
      </c>
      <c r="B433" s="332">
        <v>3930.08</v>
      </c>
      <c r="C433" s="30">
        <v>321.24</v>
      </c>
      <c r="D433" s="22">
        <f t="shared" si="12"/>
        <v>-2.3313261545419968E-2</v>
      </c>
      <c r="E433" s="22">
        <f t="shared" si="13"/>
        <v>-3.4735576923076932E-2</v>
      </c>
      <c r="F433" s="12"/>
      <c r="G433" s="12"/>
      <c r="H433" s="3"/>
      <c r="I433" s="3"/>
      <c r="J433" s="3"/>
      <c r="K433" s="3"/>
      <c r="L433" s="3"/>
      <c r="M433" s="3"/>
      <c r="N433" s="3"/>
      <c r="O433" s="3"/>
      <c r="P433" s="3"/>
      <c r="Q433" s="3"/>
      <c r="R433" s="3"/>
      <c r="S433" s="3"/>
      <c r="T433" s="3"/>
      <c r="U433" s="3"/>
      <c r="V433" s="47"/>
      <c r="W433" s="47"/>
      <c r="X433" s="47"/>
      <c r="Y433" s="47"/>
      <c r="Z433" s="47"/>
      <c r="AA433" s="198"/>
      <c r="AB433" s="198"/>
      <c r="AC433" s="198"/>
      <c r="AD433" s="198"/>
      <c r="AE433" s="198"/>
      <c r="AF433" s="198"/>
      <c r="AG433" s="198"/>
      <c r="AH433" s="198"/>
      <c r="AI433" s="198"/>
      <c r="AJ433" s="198"/>
      <c r="AK433" s="198"/>
      <c r="AL433" s="198"/>
      <c r="AM433" s="52"/>
      <c r="AN433" s="52"/>
      <c r="AO433" s="52"/>
      <c r="AP433" s="52"/>
      <c r="AQ433" s="52"/>
    </row>
    <row r="434" spans="1:43">
      <c r="A434" s="331">
        <v>44692</v>
      </c>
      <c r="B434" s="332">
        <v>3935.18</v>
      </c>
      <c r="C434" s="30">
        <v>325.87</v>
      </c>
      <c r="D434" s="22">
        <f t="shared" si="12"/>
        <v>1.2976835077148326E-3</v>
      </c>
      <c r="E434" s="22">
        <f t="shared" si="13"/>
        <v>1.4412900012451735E-2</v>
      </c>
      <c r="F434" s="12"/>
      <c r="G434" s="12"/>
      <c r="H434" s="3"/>
      <c r="I434" s="3"/>
      <c r="J434" s="3"/>
      <c r="K434" s="3"/>
      <c r="L434" s="3"/>
      <c r="M434" s="3"/>
      <c r="N434" s="3"/>
      <c r="O434" s="3"/>
      <c r="P434" s="3"/>
      <c r="Q434" s="3"/>
      <c r="R434" s="3"/>
      <c r="S434" s="3"/>
      <c r="T434" s="3"/>
      <c r="U434" s="3"/>
      <c r="V434" s="47"/>
      <c r="W434" s="47"/>
      <c r="X434" s="47"/>
      <c r="Y434" s="47"/>
      <c r="Z434" s="47"/>
      <c r="AA434" s="198"/>
      <c r="AB434" s="198"/>
      <c r="AC434" s="198"/>
      <c r="AD434" s="198"/>
      <c r="AE434" s="198"/>
      <c r="AF434" s="198"/>
      <c r="AG434" s="198"/>
      <c r="AH434" s="198"/>
      <c r="AI434" s="198"/>
      <c r="AJ434" s="198"/>
      <c r="AK434" s="198"/>
      <c r="AL434" s="198"/>
      <c r="AM434" s="52"/>
      <c r="AN434" s="52"/>
      <c r="AO434" s="52"/>
      <c r="AP434" s="52"/>
      <c r="AQ434" s="52"/>
    </row>
    <row r="435" spans="1:43">
      <c r="A435" s="331">
        <v>44691</v>
      </c>
      <c r="B435" s="332">
        <v>4001.05</v>
      </c>
      <c r="C435" s="30">
        <v>325.33</v>
      </c>
      <c r="D435" s="22">
        <f t="shared" si="12"/>
        <v>1.6738751467531433E-2</v>
      </c>
      <c r="E435" s="22">
        <f t="shared" si="13"/>
        <v>-1.65710252554706E-3</v>
      </c>
      <c r="F435" s="12"/>
      <c r="G435" s="12"/>
      <c r="H435" s="3"/>
      <c r="I435" s="3"/>
      <c r="J435" s="3"/>
      <c r="K435" s="3"/>
      <c r="L435" s="3"/>
      <c r="M435" s="3"/>
      <c r="N435" s="3"/>
      <c r="O435" s="3"/>
      <c r="P435" s="3"/>
      <c r="Q435" s="3"/>
      <c r="R435" s="3"/>
      <c r="S435" s="3"/>
      <c r="T435" s="3"/>
      <c r="U435" s="3"/>
      <c r="V435" s="47"/>
      <c r="W435" s="47"/>
      <c r="X435" s="47"/>
      <c r="Y435" s="47"/>
      <c r="Z435" s="47"/>
      <c r="AA435" s="198"/>
      <c r="AB435" s="198"/>
      <c r="AC435" s="198"/>
      <c r="AD435" s="198"/>
      <c r="AE435" s="198"/>
      <c r="AF435" s="198"/>
      <c r="AG435" s="198"/>
      <c r="AH435" s="198"/>
      <c r="AI435" s="198"/>
      <c r="AJ435" s="198"/>
      <c r="AK435" s="198"/>
      <c r="AL435" s="198"/>
      <c r="AM435" s="52"/>
      <c r="AN435" s="52"/>
      <c r="AO435" s="52"/>
      <c r="AP435" s="52"/>
      <c r="AQ435" s="52"/>
    </row>
    <row r="436" spans="1:43">
      <c r="A436" s="331">
        <v>44690</v>
      </c>
      <c r="B436" s="332">
        <v>3991.24</v>
      </c>
      <c r="C436" s="30">
        <v>327.99</v>
      </c>
      <c r="D436" s="22">
        <f t="shared" si="12"/>
        <v>-2.4518563876983293E-3</v>
      </c>
      <c r="E436" s="22">
        <f t="shared" si="13"/>
        <v>8.176313281898457E-3</v>
      </c>
      <c r="F436" s="12"/>
      <c r="G436" s="12"/>
      <c r="H436" s="3"/>
      <c r="I436" s="3"/>
      <c r="J436" s="3"/>
      <c r="K436" s="3"/>
      <c r="L436" s="3"/>
      <c r="M436" s="3"/>
      <c r="N436" s="3"/>
      <c r="O436" s="3"/>
      <c r="P436" s="3"/>
      <c r="Q436" s="3"/>
      <c r="R436" s="3"/>
      <c r="S436" s="3"/>
      <c r="T436" s="3"/>
      <c r="U436" s="3"/>
      <c r="V436" s="47"/>
      <c r="W436" s="47"/>
      <c r="X436" s="47"/>
      <c r="Y436" s="47"/>
      <c r="Z436" s="47"/>
      <c r="AA436" s="198"/>
      <c r="AB436" s="198"/>
      <c r="AC436" s="198"/>
      <c r="AD436" s="198"/>
      <c r="AE436" s="198"/>
      <c r="AF436" s="198"/>
      <c r="AG436" s="198"/>
      <c r="AH436" s="198"/>
      <c r="AI436" s="198"/>
      <c r="AJ436" s="198"/>
      <c r="AK436" s="198"/>
      <c r="AL436" s="198"/>
      <c r="AM436" s="52"/>
      <c r="AN436" s="52"/>
      <c r="AO436" s="52"/>
      <c r="AP436" s="52"/>
      <c r="AQ436" s="52"/>
    </row>
    <row r="437" spans="1:43">
      <c r="A437" s="331">
        <v>44687</v>
      </c>
      <c r="B437" s="332">
        <v>4123.34</v>
      </c>
      <c r="C437" s="30">
        <v>347.12</v>
      </c>
      <c r="D437" s="22">
        <f t="shared" si="12"/>
        <v>3.3097483488840652E-2</v>
      </c>
      <c r="E437" s="22">
        <f t="shared" si="13"/>
        <v>5.8324948931369844E-2</v>
      </c>
      <c r="F437" s="12"/>
      <c r="G437" s="12"/>
      <c r="H437" s="3"/>
      <c r="I437" s="3"/>
      <c r="J437" s="3"/>
      <c r="K437" s="3"/>
      <c r="L437" s="3"/>
      <c r="M437" s="3"/>
      <c r="N437" s="3"/>
      <c r="O437" s="3"/>
      <c r="P437" s="3"/>
      <c r="Q437" s="3"/>
      <c r="R437" s="3"/>
      <c r="S437" s="3"/>
      <c r="T437" s="3"/>
      <c r="U437" s="3"/>
      <c r="V437" s="47"/>
      <c r="W437" s="47"/>
      <c r="X437" s="47"/>
      <c r="Y437" s="47"/>
      <c r="Z437" s="47"/>
      <c r="AA437" s="198"/>
      <c r="AB437" s="198"/>
      <c r="AC437" s="198"/>
      <c r="AD437" s="198"/>
      <c r="AE437" s="198"/>
      <c r="AF437" s="198"/>
      <c r="AG437" s="198"/>
      <c r="AH437" s="198"/>
      <c r="AI437" s="198"/>
      <c r="AJ437" s="198"/>
      <c r="AK437" s="198"/>
      <c r="AL437" s="198"/>
      <c r="AM437" s="52"/>
      <c r="AN437" s="52"/>
      <c r="AO437" s="52"/>
      <c r="AP437" s="52"/>
      <c r="AQ437" s="52"/>
    </row>
    <row r="438" spans="1:43">
      <c r="A438" s="331">
        <v>44686</v>
      </c>
      <c r="B438" s="332">
        <v>4146.87</v>
      </c>
      <c r="C438" s="30">
        <v>353.37</v>
      </c>
      <c r="D438" s="22">
        <f t="shared" si="12"/>
        <v>5.7065388738255264E-3</v>
      </c>
      <c r="E438" s="22">
        <f t="shared" si="13"/>
        <v>1.8005300760543904E-2</v>
      </c>
      <c r="F438" s="12"/>
      <c r="G438" s="12"/>
      <c r="H438" s="3"/>
      <c r="I438" s="3"/>
      <c r="J438" s="3"/>
      <c r="K438" s="3"/>
      <c r="L438" s="3"/>
      <c r="M438" s="3"/>
      <c r="N438" s="3"/>
      <c r="O438" s="3"/>
      <c r="P438" s="3"/>
      <c r="Q438" s="3"/>
      <c r="R438" s="3"/>
      <c r="S438" s="3"/>
      <c r="T438" s="3"/>
      <c r="U438" s="3"/>
      <c r="V438" s="47"/>
      <c r="W438" s="47"/>
      <c r="X438" s="47"/>
      <c r="Y438" s="47"/>
      <c r="Z438" s="47"/>
      <c r="AA438" s="198"/>
      <c r="AB438" s="198"/>
      <c r="AC438" s="198"/>
      <c r="AD438" s="198"/>
      <c r="AE438" s="198"/>
      <c r="AF438" s="198"/>
      <c r="AG438" s="198"/>
      <c r="AH438" s="198"/>
      <c r="AI438" s="198"/>
      <c r="AJ438" s="198"/>
      <c r="AK438" s="198"/>
      <c r="AL438" s="198"/>
      <c r="AM438" s="52"/>
      <c r="AN438" s="52"/>
      <c r="AO438" s="52"/>
      <c r="AP438" s="52"/>
      <c r="AQ438" s="52"/>
    </row>
    <row r="439" spans="1:43">
      <c r="A439" s="331">
        <v>44685</v>
      </c>
      <c r="B439" s="332">
        <v>4300.17</v>
      </c>
      <c r="C439" s="30">
        <v>368.52</v>
      </c>
      <c r="D439" s="22">
        <f t="shared" si="12"/>
        <v>3.6967640654276643E-2</v>
      </c>
      <c r="E439" s="22">
        <f t="shared" si="13"/>
        <v>4.2872909415060639E-2</v>
      </c>
      <c r="F439" s="12"/>
      <c r="G439" s="12"/>
      <c r="H439" s="3"/>
      <c r="I439" s="3"/>
      <c r="J439" s="3"/>
      <c r="K439" s="3"/>
      <c r="L439" s="3"/>
      <c r="M439" s="3"/>
      <c r="N439" s="3"/>
      <c r="O439" s="3"/>
      <c r="P439" s="3"/>
      <c r="Q439" s="3"/>
      <c r="R439" s="3"/>
      <c r="S439" s="3"/>
      <c r="T439" s="3"/>
      <c r="U439" s="3"/>
      <c r="V439" s="47"/>
      <c r="W439" s="47"/>
      <c r="X439" s="47"/>
      <c r="Y439" s="47"/>
      <c r="Z439" s="47"/>
      <c r="AA439" s="198"/>
      <c r="AB439" s="198"/>
      <c r="AC439" s="198"/>
      <c r="AD439" s="198"/>
      <c r="AE439" s="198"/>
      <c r="AF439" s="198"/>
      <c r="AG439" s="198"/>
      <c r="AH439" s="198"/>
      <c r="AI439" s="198"/>
      <c r="AJ439" s="198"/>
      <c r="AK439" s="198"/>
      <c r="AL439" s="198"/>
      <c r="AM439" s="52"/>
      <c r="AN439" s="52"/>
      <c r="AO439" s="52"/>
      <c r="AP439" s="52"/>
      <c r="AQ439" s="52"/>
    </row>
    <row r="440" spans="1:43">
      <c r="A440" s="331">
        <v>44684</v>
      </c>
      <c r="B440" s="332">
        <v>4175.4799999999996</v>
      </c>
      <c r="C440" s="30">
        <v>357.79</v>
      </c>
      <c r="D440" s="22">
        <f t="shared" si="12"/>
        <v>-2.899652804424023E-2</v>
      </c>
      <c r="E440" s="22">
        <f t="shared" si="13"/>
        <v>-2.9116465863453712E-2</v>
      </c>
      <c r="F440" s="12"/>
      <c r="G440" s="12"/>
      <c r="H440" s="3"/>
      <c r="I440" s="3"/>
      <c r="J440" s="3"/>
      <c r="K440" s="3"/>
      <c r="L440" s="3"/>
      <c r="M440" s="3"/>
      <c r="N440" s="3"/>
      <c r="O440" s="3"/>
      <c r="P440" s="3"/>
      <c r="Q440" s="3"/>
      <c r="R440" s="3"/>
      <c r="S440" s="3"/>
      <c r="T440" s="3"/>
      <c r="U440" s="3"/>
      <c r="V440" s="47"/>
      <c r="W440" s="47"/>
      <c r="X440" s="47"/>
      <c r="Y440" s="47"/>
      <c r="Z440" s="47"/>
      <c r="AA440" s="198"/>
      <c r="AB440" s="198"/>
      <c r="AC440" s="198"/>
      <c r="AD440" s="198"/>
      <c r="AE440" s="198"/>
      <c r="AF440" s="198"/>
      <c r="AG440" s="198"/>
      <c r="AH440" s="198"/>
      <c r="AI440" s="198"/>
      <c r="AJ440" s="198"/>
      <c r="AK440" s="198"/>
      <c r="AL440" s="198"/>
      <c r="AM440" s="52"/>
      <c r="AN440" s="52"/>
      <c r="AO440" s="52"/>
      <c r="AP440" s="52"/>
      <c r="AQ440" s="52"/>
    </row>
    <row r="441" spans="1:43">
      <c r="A441" s="331">
        <v>44683</v>
      </c>
      <c r="B441" s="332">
        <v>4155.38</v>
      </c>
      <c r="C441" s="30">
        <v>359.04</v>
      </c>
      <c r="D441" s="22">
        <f t="shared" si="12"/>
        <v>-4.8138178125627365E-3</v>
      </c>
      <c r="E441" s="22">
        <f t="shared" si="13"/>
        <v>3.4936694709186951E-3</v>
      </c>
      <c r="F441" s="12"/>
      <c r="G441" s="12"/>
      <c r="H441" s="3"/>
      <c r="I441" s="3"/>
      <c r="J441" s="3"/>
      <c r="K441" s="3"/>
      <c r="L441" s="3"/>
      <c r="M441" s="3"/>
      <c r="N441" s="3"/>
      <c r="O441" s="3"/>
      <c r="P441" s="3"/>
      <c r="Q441" s="3"/>
      <c r="R441" s="3"/>
      <c r="S441" s="3"/>
      <c r="T441" s="3"/>
      <c r="U441" s="3"/>
      <c r="V441" s="47"/>
      <c r="W441" s="47"/>
      <c r="X441" s="47"/>
      <c r="Y441" s="47"/>
      <c r="Z441" s="47"/>
      <c r="AA441" s="198"/>
      <c r="AB441" s="198"/>
      <c r="AC441" s="198"/>
      <c r="AD441" s="198"/>
      <c r="AE441" s="198"/>
      <c r="AF441" s="198"/>
      <c r="AG441" s="198"/>
      <c r="AH441" s="198"/>
      <c r="AI441" s="198"/>
      <c r="AJ441" s="198"/>
      <c r="AK441" s="198"/>
      <c r="AL441" s="198"/>
      <c r="AM441" s="52"/>
      <c r="AN441" s="52"/>
      <c r="AO441" s="52"/>
      <c r="AP441" s="52"/>
      <c r="AQ441" s="52"/>
    </row>
    <row r="442" spans="1:43">
      <c r="A442" s="331">
        <v>44680</v>
      </c>
      <c r="B442" s="332">
        <v>4131.93</v>
      </c>
      <c r="C442" s="30">
        <v>363.38</v>
      </c>
      <c r="D442" s="22">
        <f t="shared" si="12"/>
        <v>-5.6432865345647856E-3</v>
      </c>
      <c r="E442" s="22">
        <f t="shared" si="13"/>
        <v>1.2087789661319003E-2</v>
      </c>
      <c r="F442" s="12"/>
      <c r="G442" s="12"/>
      <c r="H442" s="3"/>
      <c r="I442" s="3"/>
      <c r="J442" s="3"/>
      <c r="K442" s="3"/>
      <c r="L442" s="3"/>
      <c r="M442" s="3"/>
      <c r="N442" s="3"/>
      <c r="O442" s="3"/>
      <c r="P442" s="3"/>
      <c r="Q442" s="3"/>
      <c r="R442" s="3"/>
      <c r="S442" s="3"/>
      <c r="T442" s="3"/>
      <c r="U442" s="3"/>
      <c r="V442" s="47"/>
      <c r="W442" s="47"/>
      <c r="X442" s="47"/>
      <c r="Y442" s="47"/>
      <c r="Z442" s="47"/>
      <c r="AA442" s="198"/>
      <c r="AB442" s="198"/>
      <c r="AC442" s="198"/>
      <c r="AD442" s="198"/>
      <c r="AE442" s="198"/>
      <c r="AF442" s="198"/>
      <c r="AG442" s="198"/>
      <c r="AH442" s="198"/>
      <c r="AI442" s="198"/>
      <c r="AJ442" s="198"/>
      <c r="AK442" s="198"/>
      <c r="AL442" s="198"/>
      <c r="AM442" s="52"/>
      <c r="AN442" s="52"/>
      <c r="AO442" s="52"/>
      <c r="AP442" s="52"/>
      <c r="AQ442" s="52"/>
    </row>
    <row r="443" spans="1:43">
      <c r="A443" s="331">
        <v>44679</v>
      </c>
      <c r="B443" s="332">
        <v>4287.5</v>
      </c>
      <c r="C443" s="30">
        <v>378.83</v>
      </c>
      <c r="D443" s="22">
        <f t="shared" si="12"/>
        <v>3.7650686241054353E-2</v>
      </c>
      <c r="E443" s="22">
        <f t="shared" si="13"/>
        <v>4.2517474819747894E-2</v>
      </c>
      <c r="F443" s="12"/>
      <c r="G443" s="12"/>
      <c r="H443" s="3"/>
      <c r="I443" s="3"/>
      <c r="J443" s="3"/>
      <c r="K443" s="3"/>
      <c r="L443" s="3"/>
      <c r="M443" s="3"/>
      <c r="N443" s="3"/>
      <c r="O443" s="3"/>
      <c r="P443" s="3"/>
      <c r="Q443" s="3"/>
      <c r="R443" s="3"/>
      <c r="S443" s="3"/>
      <c r="T443" s="3"/>
      <c r="U443" s="3"/>
      <c r="V443" s="47"/>
      <c r="W443" s="47"/>
      <c r="X443" s="47"/>
      <c r="Y443" s="47"/>
      <c r="Z443" s="47"/>
      <c r="AA443" s="198"/>
      <c r="AB443" s="198"/>
      <c r="AC443" s="198"/>
      <c r="AD443" s="198"/>
      <c r="AE443" s="198"/>
      <c r="AF443" s="198"/>
      <c r="AG443" s="198"/>
      <c r="AH443" s="198"/>
      <c r="AI443" s="198"/>
      <c r="AJ443" s="198"/>
      <c r="AK443" s="198"/>
      <c r="AL443" s="198"/>
      <c r="AM443" s="52"/>
      <c r="AN443" s="52"/>
      <c r="AO443" s="52"/>
      <c r="AP443" s="52"/>
      <c r="AQ443" s="52"/>
    </row>
    <row r="444" spans="1:43">
      <c r="A444" s="331">
        <v>44678</v>
      </c>
      <c r="B444" s="332">
        <v>4183.96</v>
      </c>
      <c r="C444" s="30">
        <v>361.57</v>
      </c>
      <c r="D444" s="22">
        <f t="shared" si="12"/>
        <v>-2.4149271137026231E-2</v>
      </c>
      <c r="E444" s="22">
        <f t="shared" si="13"/>
        <v>-4.5561333579705918E-2</v>
      </c>
      <c r="F444" s="12"/>
      <c r="G444" s="12"/>
      <c r="H444" s="3"/>
      <c r="I444" s="3"/>
      <c r="J444" s="3"/>
      <c r="K444" s="3"/>
      <c r="L444" s="3"/>
      <c r="M444" s="3"/>
      <c r="N444" s="3"/>
      <c r="O444" s="3"/>
      <c r="P444" s="3"/>
      <c r="Q444" s="3"/>
      <c r="R444" s="3"/>
      <c r="S444" s="3"/>
      <c r="T444" s="3"/>
      <c r="U444" s="3"/>
      <c r="V444" s="47"/>
      <c r="W444" s="47"/>
      <c r="X444" s="47"/>
      <c r="Y444" s="47"/>
      <c r="Z444" s="47"/>
      <c r="AA444" s="198"/>
      <c r="AB444" s="198"/>
      <c r="AC444" s="198"/>
      <c r="AD444" s="198"/>
      <c r="AE444" s="198"/>
      <c r="AF444" s="198"/>
      <c r="AG444" s="198"/>
      <c r="AH444" s="198"/>
      <c r="AI444" s="198"/>
      <c r="AJ444" s="198"/>
      <c r="AK444" s="198"/>
      <c r="AL444" s="198"/>
      <c r="AM444" s="52"/>
      <c r="AN444" s="52"/>
      <c r="AO444" s="52"/>
      <c r="AP444" s="52"/>
      <c r="AQ444" s="52"/>
    </row>
    <row r="445" spans="1:43">
      <c r="A445" s="331">
        <v>44677</v>
      </c>
      <c r="B445" s="332">
        <v>4175.2</v>
      </c>
      <c r="C445" s="30">
        <v>344.11</v>
      </c>
      <c r="D445" s="22">
        <f t="shared" si="12"/>
        <v>-2.0937102649165426E-3</v>
      </c>
      <c r="E445" s="22">
        <f t="shared" si="13"/>
        <v>-4.8289404541305918E-2</v>
      </c>
      <c r="F445" s="12"/>
      <c r="G445" s="12"/>
      <c r="H445" s="3"/>
      <c r="I445" s="3"/>
      <c r="J445" s="3"/>
      <c r="K445" s="3"/>
      <c r="L445" s="3"/>
      <c r="M445" s="3"/>
      <c r="N445" s="3"/>
      <c r="O445" s="3"/>
      <c r="P445" s="3"/>
      <c r="Q445" s="3"/>
      <c r="R445" s="3"/>
      <c r="S445" s="3"/>
      <c r="T445" s="3"/>
      <c r="U445" s="3"/>
      <c r="V445" s="47"/>
      <c r="W445" s="47"/>
      <c r="X445" s="47"/>
      <c r="Y445" s="47"/>
      <c r="Z445" s="47"/>
      <c r="AA445" s="198"/>
      <c r="AB445" s="198"/>
      <c r="AC445" s="198"/>
      <c r="AD445" s="198"/>
      <c r="AE445" s="198"/>
      <c r="AF445" s="198"/>
      <c r="AG445" s="198"/>
      <c r="AH445" s="198"/>
      <c r="AI445" s="198"/>
      <c r="AJ445" s="198"/>
      <c r="AK445" s="198"/>
      <c r="AL445" s="198"/>
      <c r="AM445" s="52"/>
      <c r="AN445" s="52"/>
      <c r="AO445" s="52"/>
      <c r="AP445" s="52"/>
      <c r="AQ445" s="52"/>
    </row>
    <row r="446" spans="1:43">
      <c r="A446" s="331">
        <v>44676</v>
      </c>
      <c r="B446" s="332">
        <v>4296.12</v>
      </c>
      <c r="C446" s="30">
        <v>354.6</v>
      </c>
      <c r="D446" s="22">
        <f t="shared" si="12"/>
        <v>2.8961486874880264E-2</v>
      </c>
      <c r="E446" s="22">
        <f t="shared" si="13"/>
        <v>3.0484438115718836E-2</v>
      </c>
      <c r="F446" s="12"/>
      <c r="G446" s="12"/>
      <c r="H446" s="3"/>
      <c r="I446" s="3"/>
      <c r="J446" s="3"/>
      <c r="K446" s="3"/>
      <c r="L446" s="3"/>
      <c r="M446" s="3"/>
      <c r="N446" s="3"/>
      <c r="O446" s="3"/>
      <c r="P446" s="3"/>
      <c r="Q446" s="3"/>
      <c r="R446" s="3"/>
      <c r="S446" s="3"/>
      <c r="T446" s="3"/>
      <c r="U446" s="3"/>
      <c r="V446" s="47"/>
      <c r="W446" s="47"/>
      <c r="X446" s="47"/>
      <c r="Y446" s="47"/>
      <c r="Z446" s="47"/>
      <c r="AA446" s="198"/>
      <c r="AB446" s="198"/>
      <c r="AC446" s="198"/>
      <c r="AD446" s="198"/>
      <c r="AE446" s="198"/>
      <c r="AF446" s="198"/>
      <c r="AG446" s="198"/>
      <c r="AH446" s="198"/>
      <c r="AI446" s="198"/>
      <c r="AJ446" s="198"/>
      <c r="AK446" s="198"/>
      <c r="AL446" s="198"/>
      <c r="AM446" s="52"/>
      <c r="AN446" s="52"/>
      <c r="AO446" s="52"/>
      <c r="AP446" s="52"/>
      <c r="AQ446" s="52"/>
    </row>
    <row r="447" spans="1:43">
      <c r="A447" s="331">
        <v>44673</v>
      </c>
      <c r="B447" s="332">
        <v>4271.78</v>
      </c>
      <c r="C447" s="30">
        <v>351.18</v>
      </c>
      <c r="D447" s="22">
        <f t="shared" si="12"/>
        <v>-5.6655773116207524E-3</v>
      </c>
      <c r="E447" s="22">
        <f t="shared" si="13"/>
        <v>-9.6446700507614655E-3</v>
      </c>
      <c r="F447" s="12"/>
      <c r="G447" s="12"/>
      <c r="H447" s="3"/>
      <c r="I447" s="3"/>
      <c r="J447" s="3"/>
      <c r="K447" s="3"/>
      <c r="L447" s="3"/>
      <c r="M447" s="3"/>
      <c r="N447" s="3"/>
      <c r="O447" s="3"/>
      <c r="P447" s="3"/>
      <c r="Q447" s="3"/>
      <c r="R447" s="3"/>
      <c r="S447" s="3"/>
      <c r="T447" s="3"/>
      <c r="U447" s="3"/>
      <c r="V447" s="47"/>
      <c r="W447" s="47"/>
      <c r="X447" s="47"/>
      <c r="Y447" s="47"/>
      <c r="Z447" s="47"/>
      <c r="AA447" s="198"/>
      <c r="AB447" s="198"/>
      <c r="AC447" s="198"/>
      <c r="AD447" s="198"/>
      <c r="AE447" s="198"/>
      <c r="AF447" s="198"/>
      <c r="AG447" s="198"/>
      <c r="AH447" s="198"/>
      <c r="AI447" s="198"/>
      <c r="AJ447" s="198"/>
      <c r="AK447" s="198"/>
      <c r="AL447" s="198"/>
      <c r="AM447" s="52"/>
      <c r="AN447" s="52"/>
      <c r="AO447" s="52"/>
      <c r="AP447" s="52"/>
      <c r="AQ447" s="52"/>
    </row>
    <row r="448" spans="1:43">
      <c r="A448" s="331">
        <v>44672</v>
      </c>
      <c r="B448" s="332">
        <v>4393.66</v>
      </c>
      <c r="C448" s="30">
        <v>364.44</v>
      </c>
      <c r="D448" s="22">
        <f t="shared" si="12"/>
        <v>2.8531431862127758E-2</v>
      </c>
      <c r="E448" s="22">
        <f t="shared" si="13"/>
        <v>3.7758414488296574E-2</v>
      </c>
      <c r="F448" s="12"/>
      <c r="G448" s="12"/>
      <c r="H448" s="3"/>
      <c r="I448" s="3"/>
      <c r="J448" s="3"/>
      <c r="K448" s="3"/>
      <c r="L448" s="3"/>
      <c r="M448" s="3"/>
      <c r="N448" s="3"/>
      <c r="O448" s="3"/>
      <c r="P448" s="3"/>
      <c r="Q448" s="3"/>
      <c r="R448" s="3"/>
      <c r="S448" s="3"/>
      <c r="T448" s="3"/>
      <c r="U448" s="3"/>
      <c r="V448" s="47"/>
      <c r="W448" s="47"/>
      <c r="X448" s="47"/>
      <c r="Y448" s="47"/>
      <c r="Z448" s="47"/>
      <c r="AA448" s="198"/>
      <c r="AB448" s="198"/>
      <c r="AC448" s="198"/>
      <c r="AD448" s="198"/>
      <c r="AE448" s="198"/>
      <c r="AF448" s="198"/>
      <c r="AG448" s="198"/>
      <c r="AH448" s="198"/>
      <c r="AI448" s="198"/>
      <c r="AJ448" s="198"/>
      <c r="AK448" s="198"/>
      <c r="AL448" s="198"/>
      <c r="AM448" s="52"/>
      <c r="AN448" s="52"/>
      <c r="AO448" s="52"/>
      <c r="AP448" s="52"/>
      <c r="AQ448" s="52"/>
    </row>
    <row r="449" spans="1:43">
      <c r="A449" s="331">
        <v>44671</v>
      </c>
      <c r="B449" s="332">
        <v>4459.45</v>
      </c>
      <c r="C449" s="30">
        <v>365.29</v>
      </c>
      <c r="D449" s="22">
        <f t="shared" si="12"/>
        <v>1.4973848681964459E-2</v>
      </c>
      <c r="E449" s="22">
        <f t="shared" si="13"/>
        <v>2.332345516408799E-3</v>
      </c>
      <c r="F449" s="12"/>
      <c r="G449" s="12"/>
      <c r="H449" s="3"/>
      <c r="I449" s="3"/>
      <c r="J449" s="3"/>
      <c r="K449" s="3"/>
      <c r="L449" s="3"/>
      <c r="M449" s="3"/>
      <c r="N449" s="3"/>
      <c r="O449" s="3"/>
      <c r="P449" s="3"/>
      <c r="Q449" s="3"/>
      <c r="R449" s="3"/>
      <c r="S449" s="3"/>
      <c r="T449" s="3"/>
      <c r="U449" s="3"/>
      <c r="V449" s="47"/>
      <c r="W449" s="47"/>
      <c r="X449" s="47"/>
      <c r="Y449" s="47"/>
      <c r="Z449" s="47"/>
      <c r="AA449" s="198"/>
      <c r="AB449" s="198"/>
      <c r="AC449" s="198"/>
      <c r="AD449" s="198"/>
      <c r="AE449" s="198"/>
      <c r="AF449" s="198"/>
      <c r="AG449" s="198"/>
      <c r="AH449" s="198"/>
      <c r="AI449" s="198"/>
      <c r="AJ449" s="198"/>
      <c r="AK449" s="198"/>
      <c r="AL449" s="198"/>
      <c r="AM449" s="52"/>
      <c r="AN449" s="52"/>
      <c r="AO449" s="52"/>
      <c r="AP449" s="52"/>
      <c r="AQ449" s="52"/>
    </row>
    <row r="450" spans="1:43">
      <c r="A450" s="331">
        <v>44670</v>
      </c>
      <c r="B450" s="332">
        <v>4462.21</v>
      </c>
      <c r="C450" s="30">
        <v>363.87</v>
      </c>
      <c r="D450" s="22">
        <f t="shared" si="12"/>
        <v>6.1891040374939023E-4</v>
      </c>
      <c r="E450" s="22">
        <f t="shared" si="13"/>
        <v>-3.8873224013797692E-3</v>
      </c>
      <c r="F450" s="12"/>
      <c r="G450" s="12"/>
      <c r="H450" s="3"/>
      <c r="I450" s="3"/>
      <c r="J450" s="3"/>
      <c r="K450" s="3"/>
      <c r="L450" s="3"/>
      <c r="M450" s="3"/>
      <c r="N450" s="3"/>
      <c r="O450" s="3"/>
      <c r="P450" s="3"/>
      <c r="Q450" s="3"/>
      <c r="R450" s="3"/>
      <c r="S450" s="3"/>
      <c r="T450" s="3"/>
      <c r="U450" s="3"/>
      <c r="V450" s="47"/>
      <c r="W450" s="47"/>
      <c r="X450" s="47"/>
      <c r="Y450" s="47"/>
      <c r="Z450" s="47"/>
      <c r="AA450" s="198"/>
      <c r="AB450" s="198"/>
      <c r="AC450" s="198"/>
      <c r="AD450" s="198"/>
      <c r="AE450" s="198"/>
      <c r="AF450" s="198"/>
      <c r="AG450" s="198"/>
      <c r="AH450" s="198"/>
      <c r="AI450" s="198"/>
      <c r="AJ450" s="198"/>
      <c r="AK450" s="198"/>
      <c r="AL450" s="198"/>
      <c r="AM450" s="52"/>
      <c r="AN450" s="52"/>
      <c r="AO450" s="52"/>
      <c r="AP450" s="52"/>
      <c r="AQ450" s="52"/>
    </row>
    <row r="451" spans="1:43">
      <c r="A451" s="331">
        <v>44669</v>
      </c>
      <c r="B451" s="332">
        <v>4391.6899999999996</v>
      </c>
      <c r="C451" s="30">
        <v>356.8</v>
      </c>
      <c r="D451" s="22">
        <f t="shared" si="12"/>
        <v>-1.5803828147935763E-2</v>
      </c>
      <c r="E451" s="22">
        <f t="shared" si="13"/>
        <v>-1.943001621458211E-2</v>
      </c>
      <c r="F451" s="12"/>
      <c r="G451" s="12"/>
      <c r="H451" s="3"/>
      <c r="I451" s="3"/>
      <c r="J451" s="3"/>
      <c r="K451" s="3"/>
      <c r="L451" s="3"/>
      <c r="M451" s="3"/>
      <c r="N451" s="3"/>
      <c r="O451" s="3"/>
      <c r="P451" s="3"/>
      <c r="Q451" s="3"/>
      <c r="R451" s="3"/>
      <c r="S451" s="3"/>
      <c r="T451" s="3"/>
      <c r="U451" s="3"/>
      <c r="V451" s="47"/>
      <c r="W451" s="47"/>
      <c r="X451" s="47"/>
      <c r="Y451" s="47"/>
      <c r="Z451" s="47"/>
      <c r="AA451" s="198"/>
      <c r="AB451" s="198"/>
      <c r="AC451" s="198"/>
      <c r="AD451" s="198"/>
      <c r="AE451" s="198"/>
      <c r="AF451" s="198"/>
      <c r="AG451" s="198"/>
      <c r="AH451" s="198"/>
      <c r="AI451" s="198"/>
      <c r="AJ451" s="198"/>
      <c r="AK451" s="198"/>
      <c r="AL451" s="198"/>
      <c r="AM451" s="52"/>
      <c r="AN451" s="52"/>
      <c r="AO451" s="52"/>
      <c r="AP451" s="52"/>
      <c r="AQ451" s="52"/>
    </row>
    <row r="452" spans="1:43">
      <c r="A452" s="331">
        <v>44665</v>
      </c>
      <c r="B452" s="332">
        <v>4392.59</v>
      </c>
      <c r="C452" s="30">
        <v>357.82</v>
      </c>
      <c r="D452" s="22">
        <f t="shared" ref="D452:D515" si="14">(B452-B451)/B451</f>
        <v>2.0493249751247147E-4</v>
      </c>
      <c r="E452" s="22">
        <f t="shared" si="13"/>
        <v>2.8587443946187828E-3</v>
      </c>
      <c r="F452" s="12"/>
      <c r="G452" s="12"/>
      <c r="H452" s="3"/>
      <c r="I452" s="3"/>
      <c r="J452" s="3"/>
      <c r="K452" s="3"/>
      <c r="L452" s="3"/>
      <c r="M452" s="3"/>
      <c r="N452" s="3"/>
      <c r="O452" s="3"/>
      <c r="P452" s="3"/>
      <c r="Q452" s="3"/>
      <c r="R452" s="3"/>
      <c r="S452" s="3"/>
      <c r="T452" s="3"/>
      <c r="U452" s="3"/>
      <c r="V452" s="47"/>
      <c r="W452" s="47"/>
      <c r="X452" s="47"/>
      <c r="Y452" s="47"/>
      <c r="Z452" s="47"/>
      <c r="AA452" s="198"/>
      <c r="AB452" s="198"/>
      <c r="AC452" s="198"/>
      <c r="AD452" s="198"/>
      <c r="AE452" s="198"/>
      <c r="AF452" s="198"/>
      <c r="AG452" s="198"/>
      <c r="AH452" s="198"/>
      <c r="AI452" s="198"/>
      <c r="AJ452" s="198"/>
      <c r="AK452" s="198"/>
      <c r="AL452" s="198"/>
      <c r="AM452" s="52"/>
      <c r="AN452" s="52"/>
      <c r="AO452" s="52"/>
      <c r="AP452" s="52"/>
      <c r="AQ452" s="52"/>
    </row>
    <row r="453" spans="1:43">
      <c r="A453" s="331">
        <v>44664</v>
      </c>
      <c r="B453" s="332">
        <v>4446.59</v>
      </c>
      <c r="C453" s="30">
        <v>355.14</v>
      </c>
      <c r="D453" s="22">
        <f t="shared" si="14"/>
        <v>1.2293430527319873E-2</v>
      </c>
      <c r="E453" s="22">
        <f t="shared" ref="E453:E516" si="15">(C453-C452)/C452</f>
        <v>-7.4897993404505247E-3</v>
      </c>
      <c r="F453" s="12"/>
      <c r="G453" s="12"/>
      <c r="H453" s="3"/>
      <c r="I453" s="3"/>
      <c r="J453" s="3"/>
      <c r="K453" s="3"/>
      <c r="L453" s="3"/>
      <c r="M453" s="3"/>
      <c r="N453" s="3"/>
      <c r="O453" s="3"/>
      <c r="P453" s="3"/>
      <c r="Q453" s="3"/>
      <c r="R453" s="3"/>
      <c r="S453" s="3"/>
      <c r="T453" s="3"/>
      <c r="U453" s="3"/>
      <c r="V453" s="47"/>
      <c r="W453" s="47"/>
      <c r="X453" s="47"/>
      <c r="Y453" s="47"/>
      <c r="Z453" s="47"/>
      <c r="AA453" s="198"/>
      <c r="AB453" s="198"/>
      <c r="AC453" s="198"/>
      <c r="AD453" s="198"/>
      <c r="AE453" s="198"/>
      <c r="AF453" s="198"/>
      <c r="AG453" s="198"/>
      <c r="AH453" s="198"/>
      <c r="AI453" s="198"/>
      <c r="AJ453" s="198"/>
      <c r="AK453" s="198"/>
      <c r="AL453" s="198"/>
      <c r="AM453" s="52"/>
      <c r="AN453" s="52"/>
      <c r="AO453" s="52"/>
      <c r="AP453" s="52"/>
      <c r="AQ453" s="52"/>
    </row>
    <row r="454" spans="1:43">
      <c r="A454" s="331">
        <v>44663</v>
      </c>
      <c r="B454" s="332">
        <v>4397.45</v>
      </c>
      <c r="C454" s="30">
        <v>345.8</v>
      </c>
      <c r="D454" s="22">
        <f t="shared" si="14"/>
        <v>-1.1051165050072151E-2</v>
      </c>
      <c r="E454" s="22">
        <f t="shared" si="15"/>
        <v>-2.6299487526045998E-2</v>
      </c>
      <c r="F454" s="12"/>
      <c r="G454" s="12"/>
      <c r="H454" s="3"/>
      <c r="I454" s="3"/>
      <c r="J454" s="3"/>
      <c r="K454" s="3"/>
      <c r="L454" s="3"/>
      <c r="M454" s="3"/>
      <c r="N454" s="3"/>
      <c r="O454" s="3"/>
      <c r="P454" s="3"/>
      <c r="Q454" s="3"/>
      <c r="R454" s="3"/>
      <c r="S454" s="3"/>
      <c r="T454" s="3"/>
      <c r="U454" s="3"/>
      <c r="V454" s="47"/>
      <c r="W454" s="47"/>
      <c r="X454" s="47"/>
      <c r="Y454" s="47"/>
      <c r="Z454" s="47"/>
      <c r="AA454" s="198"/>
      <c r="AB454" s="198"/>
      <c r="AC454" s="198"/>
      <c r="AD454" s="198"/>
      <c r="AE454" s="198"/>
      <c r="AF454" s="198"/>
      <c r="AG454" s="198"/>
      <c r="AH454" s="198"/>
      <c r="AI454" s="198"/>
      <c r="AJ454" s="198"/>
      <c r="AK454" s="198"/>
      <c r="AL454" s="198"/>
      <c r="AM454" s="52"/>
      <c r="AN454" s="52"/>
      <c r="AO454" s="52"/>
      <c r="AP454" s="52"/>
      <c r="AQ454" s="52"/>
    </row>
    <row r="455" spans="1:43">
      <c r="A455" s="331">
        <v>44662</v>
      </c>
      <c r="B455" s="332">
        <v>4412.53</v>
      </c>
      <c r="C455" s="30">
        <v>347.37</v>
      </c>
      <c r="D455" s="22">
        <f t="shared" si="14"/>
        <v>3.4292601393989533E-3</v>
      </c>
      <c r="E455" s="22">
        <f t="shared" si="15"/>
        <v>4.5401966454597835E-3</v>
      </c>
      <c r="F455" s="12"/>
      <c r="G455" s="12"/>
      <c r="H455" s="3"/>
      <c r="I455" s="3"/>
      <c r="J455" s="3"/>
      <c r="K455" s="3"/>
      <c r="L455" s="3"/>
      <c r="M455" s="3"/>
      <c r="N455" s="3"/>
      <c r="O455" s="3"/>
      <c r="P455" s="3"/>
      <c r="Q455" s="3"/>
      <c r="R455" s="3"/>
      <c r="S455" s="3"/>
      <c r="T455" s="3"/>
      <c r="U455" s="3"/>
      <c r="V455" s="47"/>
      <c r="W455" s="47"/>
      <c r="X455" s="47"/>
      <c r="Y455" s="47"/>
      <c r="Z455" s="47"/>
      <c r="AA455" s="198"/>
      <c r="AB455" s="198"/>
      <c r="AC455" s="198"/>
      <c r="AD455" s="198"/>
      <c r="AE455" s="198"/>
      <c r="AF455" s="198"/>
      <c r="AG455" s="198"/>
      <c r="AH455" s="198"/>
      <c r="AI455" s="198"/>
      <c r="AJ455" s="198"/>
      <c r="AK455" s="198"/>
      <c r="AL455" s="198"/>
      <c r="AM455" s="52"/>
      <c r="AN455" s="52"/>
      <c r="AO455" s="52"/>
      <c r="AP455" s="52"/>
      <c r="AQ455" s="52"/>
    </row>
    <row r="456" spans="1:43">
      <c r="A456" s="331">
        <v>44659</v>
      </c>
      <c r="B456" s="332">
        <v>4488.28</v>
      </c>
      <c r="C456" s="30">
        <v>352.27</v>
      </c>
      <c r="D456" s="22">
        <f t="shared" si="14"/>
        <v>1.716702209390078E-2</v>
      </c>
      <c r="E456" s="22">
        <f t="shared" si="15"/>
        <v>1.4105996487894686E-2</v>
      </c>
      <c r="F456" s="12"/>
      <c r="G456" s="12"/>
      <c r="H456" s="3"/>
      <c r="I456" s="3"/>
      <c r="J456" s="3"/>
      <c r="K456" s="3"/>
      <c r="L456" s="3"/>
      <c r="M456" s="3"/>
      <c r="N456" s="3"/>
      <c r="O456" s="3"/>
      <c r="P456" s="3"/>
      <c r="Q456" s="3"/>
      <c r="R456" s="3"/>
      <c r="S456" s="3"/>
      <c r="T456" s="3"/>
      <c r="U456" s="3"/>
      <c r="V456" s="47"/>
      <c r="W456" s="47"/>
      <c r="X456" s="47"/>
      <c r="Y456" s="47"/>
      <c r="Z456" s="47"/>
      <c r="AA456" s="198"/>
      <c r="AB456" s="198"/>
      <c r="AC456" s="198"/>
      <c r="AD456" s="198"/>
      <c r="AE456" s="198"/>
      <c r="AF456" s="198"/>
      <c r="AG456" s="198"/>
      <c r="AH456" s="198"/>
      <c r="AI456" s="198"/>
      <c r="AJ456" s="198"/>
      <c r="AK456" s="198"/>
      <c r="AL456" s="198"/>
      <c r="AM456" s="52"/>
      <c r="AN456" s="52"/>
      <c r="AO456" s="52"/>
      <c r="AP456" s="52"/>
      <c r="AQ456" s="52"/>
    </row>
    <row r="457" spans="1:43">
      <c r="A457" s="331">
        <v>44658</v>
      </c>
      <c r="B457" s="332">
        <v>4500.21</v>
      </c>
      <c r="C457" s="30">
        <v>349.55</v>
      </c>
      <c r="D457" s="22">
        <f t="shared" si="14"/>
        <v>2.658033812507306E-3</v>
      </c>
      <c r="E457" s="22">
        <f t="shared" si="15"/>
        <v>-7.7213501007748903E-3</v>
      </c>
      <c r="F457" s="12"/>
      <c r="G457" s="12"/>
      <c r="H457" s="3"/>
      <c r="I457" s="3"/>
      <c r="J457" s="3"/>
      <c r="K457" s="3"/>
      <c r="L457" s="3"/>
      <c r="M457" s="3"/>
      <c r="N457" s="3"/>
      <c r="O457" s="3"/>
      <c r="P457" s="3"/>
      <c r="Q457" s="3"/>
      <c r="R457" s="3"/>
      <c r="S457" s="3"/>
      <c r="T457" s="3"/>
      <c r="U457" s="3"/>
      <c r="V457" s="47"/>
      <c r="W457" s="47"/>
      <c r="X457" s="47"/>
      <c r="Y457" s="47"/>
      <c r="Z457" s="47"/>
      <c r="AA457" s="198"/>
      <c r="AB457" s="198"/>
      <c r="AC457" s="198"/>
      <c r="AD457" s="198"/>
      <c r="AE457" s="198"/>
      <c r="AF457" s="198"/>
      <c r="AG457" s="198"/>
      <c r="AH457" s="198"/>
      <c r="AI457" s="198"/>
      <c r="AJ457" s="198"/>
      <c r="AK457" s="198"/>
      <c r="AL457" s="198"/>
      <c r="AM457" s="52"/>
      <c r="AN457" s="52"/>
      <c r="AO457" s="52"/>
      <c r="AP457" s="52"/>
      <c r="AQ457" s="52"/>
    </row>
    <row r="458" spans="1:43">
      <c r="A458" s="331">
        <v>44657</v>
      </c>
      <c r="B458" s="332">
        <v>4481.1499999999996</v>
      </c>
      <c r="C458" s="30">
        <v>353.55</v>
      </c>
      <c r="D458" s="22">
        <f t="shared" si="14"/>
        <v>-4.2353579055200534E-3</v>
      </c>
      <c r="E458" s="22">
        <f t="shared" si="15"/>
        <v>1.1443284222571877E-2</v>
      </c>
      <c r="F458" s="12"/>
      <c r="G458" s="12"/>
      <c r="H458" s="3"/>
      <c r="I458" s="3"/>
      <c r="J458" s="3"/>
      <c r="K458" s="3"/>
      <c r="L458" s="3"/>
      <c r="M458" s="3"/>
      <c r="N458" s="3"/>
      <c r="O458" s="3"/>
      <c r="P458" s="3"/>
      <c r="Q458" s="3"/>
      <c r="R458" s="3"/>
      <c r="S458" s="3"/>
      <c r="T458" s="3"/>
      <c r="U458" s="3"/>
      <c r="V458" s="47"/>
      <c r="W458" s="47"/>
      <c r="X458" s="47"/>
      <c r="Y458" s="47"/>
      <c r="Z458" s="47"/>
      <c r="AA458" s="198"/>
      <c r="AB458" s="198"/>
      <c r="AC458" s="198"/>
      <c r="AD458" s="198"/>
      <c r="AE458" s="198"/>
      <c r="AF458" s="198"/>
      <c r="AG458" s="198"/>
      <c r="AH458" s="198"/>
      <c r="AI458" s="198"/>
      <c r="AJ458" s="198"/>
      <c r="AK458" s="198"/>
      <c r="AL458" s="198"/>
      <c r="AM458" s="52"/>
      <c r="AN458" s="52"/>
      <c r="AO458" s="52"/>
      <c r="AP458" s="52"/>
      <c r="AQ458" s="52"/>
    </row>
    <row r="459" spans="1:43">
      <c r="A459" s="331">
        <v>44656</v>
      </c>
      <c r="B459" s="332">
        <v>4525.12</v>
      </c>
      <c r="C459" s="30">
        <v>363.32</v>
      </c>
      <c r="D459" s="22">
        <f t="shared" si="14"/>
        <v>9.8122133827254748E-3</v>
      </c>
      <c r="E459" s="22">
        <f t="shared" si="15"/>
        <v>2.7633998020081974E-2</v>
      </c>
      <c r="F459" s="12"/>
      <c r="G459" s="12"/>
      <c r="H459" s="3"/>
      <c r="I459" s="3"/>
      <c r="J459" s="3"/>
      <c r="K459" s="3"/>
      <c r="L459" s="3"/>
      <c r="M459" s="3"/>
      <c r="N459" s="3"/>
      <c r="O459" s="3"/>
      <c r="P459" s="3"/>
      <c r="Q459" s="3"/>
      <c r="R459" s="3"/>
      <c r="S459" s="3"/>
      <c r="T459" s="3"/>
      <c r="U459" s="3"/>
      <c r="V459" s="47"/>
      <c r="W459" s="47"/>
      <c r="X459" s="47"/>
      <c r="Y459" s="47"/>
      <c r="Z459" s="47"/>
      <c r="AA459" s="198"/>
      <c r="AB459" s="198"/>
      <c r="AC459" s="198"/>
      <c r="AD459" s="198"/>
      <c r="AE459" s="198"/>
      <c r="AF459" s="198"/>
      <c r="AG459" s="198"/>
      <c r="AH459" s="198"/>
      <c r="AI459" s="198"/>
      <c r="AJ459" s="198"/>
      <c r="AK459" s="198"/>
      <c r="AL459" s="198"/>
      <c r="AM459" s="52"/>
      <c r="AN459" s="52"/>
      <c r="AO459" s="52"/>
      <c r="AP459" s="52"/>
      <c r="AQ459" s="52"/>
    </row>
    <row r="460" spans="1:43">
      <c r="A460" s="331">
        <v>44655</v>
      </c>
      <c r="B460" s="332">
        <v>4582.6400000000003</v>
      </c>
      <c r="C460" s="30">
        <v>366.91</v>
      </c>
      <c r="D460" s="22">
        <f t="shared" si="14"/>
        <v>1.271126511562134E-2</v>
      </c>
      <c r="E460" s="22">
        <f t="shared" si="15"/>
        <v>9.8810965540020688E-3</v>
      </c>
      <c r="F460" s="12"/>
      <c r="G460" s="12"/>
      <c r="H460" s="3"/>
      <c r="I460" s="3"/>
      <c r="J460" s="3"/>
      <c r="K460" s="3"/>
      <c r="L460" s="3"/>
      <c r="M460" s="3"/>
      <c r="N460" s="3"/>
      <c r="O460" s="3"/>
      <c r="P460" s="3"/>
      <c r="Q460" s="3"/>
      <c r="R460" s="3"/>
      <c r="S460" s="3"/>
      <c r="T460" s="3"/>
      <c r="U460" s="3"/>
      <c r="V460" s="47"/>
      <c r="W460" s="47"/>
      <c r="X460" s="47"/>
      <c r="Y460" s="47"/>
      <c r="Z460" s="47"/>
      <c r="AA460" s="198"/>
      <c r="AB460" s="198"/>
      <c r="AC460" s="198"/>
      <c r="AD460" s="198"/>
      <c r="AE460" s="198"/>
      <c r="AF460" s="198"/>
      <c r="AG460" s="198"/>
      <c r="AH460" s="198"/>
      <c r="AI460" s="198"/>
      <c r="AJ460" s="198"/>
      <c r="AK460" s="198"/>
      <c r="AL460" s="198"/>
      <c r="AM460" s="52"/>
      <c r="AN460" s="52"/>
      <c r="AO460" s="52"/>
      <c r="AP460" s="52"/>
      <c r="AQ460" s="52"/>
    </row>
    <row r="461" spans="1:43">
      <c r="A461" s="331">
        <v>44652</v>
      </c>
      <c r="B461" s="332">
        <v>4545.8599999999997</v>
      </c>
      <c r="C461" s="30">
        <v>363.97</v>
      </c>
      <c r="D461" s="22">
        <f t="shared" si="14"/>
        <v>-8.0259413787687126E-3</v>
      </c>
      <c r="E461" s="22">
        <f t="shared" si="15"/>
        <v>-8.0128641901283625E-3</v>
      </c>
      <c r="F461" s="12"/>
      <c r="G461" s="12"/>
      <c r="H461" s="3"/>
      <c r="I461" s="3"/>
      <c r="J461" s="3"/>
      <c r="K461" s="3"/>
      <c r="L461" s="3"/>
      <c r="M461" s="3"/>
      <c r="N461" s="3"/>
      <c r="O461" s="3"/>
      <c r="P461" s="3"/>
      <c r="Q461" s="3"/>
      <c r="R461" s="3"/>
      <c r="S461" s="3"/>
      <c r="T461" s="3"/>
      <c r="U461" s="3"/>
      <c r="V461" s="47"/>
      <c r="W461" s="47"/>
      <c r="X461" s="47"/>
      <c r="Y461" s="47"/>
      <c r="Z461" s="47"/>
      <c r="AA461" s="198"/>
      <c r="AB461" s="198"/>
      <c r="AC461" s="198"/>
      <c r="AD461" s="198"/>
      <c r="AE461" s="198"/>
      <c r="AF461" s="198"/>
      <c r="AG461" s="198"/>
      <c r="AH461" s="198"/>
      <c r="AI461" s="198"/>
      <c r="AJ461" s="198"/>
      <c r="AK461" s="198"/>
      <c r="AL461" s="198"/>
      <c r="AM461" s="52"/>
      <c r="AN461" s="52"/>
      <c r="AO461" s="52"/>
      <c r="AP461" s="52"/>
      <c r="AQ461" s="52"/>
    </row>
    <row r="462" spans="1:43">
      <c r="A462" s="331">
        <v>44651</v>
      </c>
      <c r="B462" s="332">
        <v>4530.41</v>
      </c>
      <c r="C462" s="30">
        <v>357.38</v>
      </c>
      <c r="D462" s="22">
        <f t="shared" si="14"/>
        <v>-3.3986968362421676E-3</v>
      </c>
      <c r="E462" s="22">
        <f t="shared" si="15"/>
        <v>-1.8105887847899637E-2</v>
      </c>
      <c r="F462" s="12"/>
      <c r="G462" s="12"/>
      <c r="H462" s="3"/>
      <c r="I462" s="3"/>
      <c r="J462" s="3"/>
      <c r="K462" s="3"/>
      <c r="L462" s="3"/>
      <c r="M462" s="3"/>
      <c r="N462" s="3"/>
      <c r="O462" s="3"/>
      <c r="P462" s="3"/>
      <c r="Q462" s="3"/>
      <c r="R462" s="3"/>
      <c r="S462" s="3"/>
      <c r="T462" s="3"/>
      <c r="U462" s="3"/>
      <c r="V462" s="47"/>
      <c r="W462" s="47"/>
      <c r="X462" s="47"/>
      <c r="Y462" s="47"/>
      <c r="Z462" s="47"/>
      <c r="AA462" s="198"/>
      <c r="AB462" s="198"/>
      <c r="AC462" s="198"/>
      <c r="AD462" s="198"/>
      <c r="AE462" s="198"/>
      <c r="AF462" s="198"/>
      <c r="AG462" s="198"/>
      <c r="AH462" s="198"/>
      <c r="AI462" s="198"/>
      <c r="AJ462" s="198"/>
      <c r="AK462" s="198"/>
      <c r="AL462" s="198"/>
      <c r="AM462" s="52"/>
      <c r="AN462" s="52"/>
      <c r="AO462" s="52"/>
      <c r="AP462" s="52"/>
      <c r="AQ462" s="52"/>
    </row>
    <row r="463" spans="1:43">
      <c r="A463" s="331">
        <v>44650</v>
      </c>
      <c r="B463" s="332">
        <v>4602.45</v>
      </c>
      <c r="C463" s="30">
        <v>362.24</v>
      </c>
      <c r="D463" s="22">
        <f t="shared" si="14"/>
        <v>1.5901430554850438E-2</v>
      </c>
      <c r="E463" s="22">
        <f t="shared" si="15"/>
        <v>1.3598970283731641E-2</v>
      </c>
      <c r="F463" s="12"/>
      <c r="G463" s="12"/>
      <c r="H463" s="3"/>
      <c r="I463" s="3"/>
      <c r="J463" s="3"/>
      <c r="K463" s="3"/>
      <c r="L463" s="3"/>
      <c r="M463" s="3"/>
      <c r="N463" s="3"/>
      <c r="O463" s="3"/>
      <c r="P463" s="3"/>
      <c r="Q463" s="3"/>
      <c r="R463" s="3"/>
      <c r="S463" s="3"/>
      <c r="T463" s="3"/>
      <c r="U463" s="3"/>
      <c r="V463" s="47"/>
      <c r="W463" s="47"/>
      <c r="X463" s="47"/>
      <c r="Y463" s="47"/>
      <c r="Z463" s="47"/>
      <c r="AA463" s="198"/>
      <c r="AB463" s="198"/>
      <c r="AC463" s="198"/>
      <c r="AD463" s="198"/>
      <c r="AE463" s="198"/>
      <c r="AF463" s="198"/>
      <c r="AG463" s="198"/>
      <c r="AH463" s="198"/>
      <c r="AI463" s="198"/>
      <c r="AJ463" s="198"/>
      <c r="AK463" s="198"/>
      <c r="AL463" s="198"/>
      <c r="AM463" s="52"/>
      <c r="AN463" s="52"/>
      <c r="AO463" s="52"/>
      <c r="AP463" s="52"/>
      <c r="AQ463" s="52"/>
    </row>
    <row r="464" spans="1:43">
      <c r="A464" s="331">
        <v>44649</v>
      </c>
      <c r="B464" s="332">
        <v>4631.6000000000004</v>
      </c>
      <c r="C464" s="30">
        <v>367.55</v>
      </c>
      <c r="D464" s="22">
        <f t="shared" si="14"/>
        <v>6.3335832002521589E-3</v>
      </c>
      <c r="E464" s="22">
        <f t="shared" si="15"/>
        <v>1.4658789752650182E-2</v>
      </c>
      <c r="F464" s="12"/>
      <c r="G464" s="12"/>
      <c r="H464" s="3"/>
      <c r="I464" s="3"/>
      <c r="J464" s="3"/>
      <c r="K464" s="3"/>
      <c r="L464" s="3"/>
      <c r="M464" s="3"/>
      <c r="N464" s="3"/>
      <c r="O464" s="3"/>
      <c r="P464" s="3"/>
      <c r="Q464" s="3"/>
      <c r="R464" s="3"/>
      <c r="S464" s="3"/>
      <c r="T464" s="3"/>
      <c r="U464" s="3"/>
      <c r="V464" s="47"/>
      <c r="W464" s="47"/>
      <c r="X464" s="47"/>
      <c r="Y464" s="47"/>
      <c r="Z464" s="47"/>
      <c r="AA464" s="198"/>
      <c r="AB464" s="198"/>
      <c r="AC464" s="198"/>
      <c r="AD464" s="198"/>
      <c r="AE464" s="198"/>
      <c r="AF464" s="198"/>
      <c r="AG464" s="198"/>
      <c r="AH464" s="198"/>
      <c r="AI464" s="198"/>
      <c r="AJ464" s="198"/>
      <c r="AK464" s="198"/>
      <c r="AL464" s="198"/>
      <c r="AM464" s="52"/>
      <c r="AN464" s="52"/>
      <c r="AO464" s="52"/>
      <c r="AP464" s="52"/>
      <c r="AQ464" s="52"/>
    </row>
    <row r="465" spans="1:43">
      <c r="A465" s="331">
        <v>44648</v>
      </c>
      <c r="B465" s="332">
        <v>4575.5200000000004</v>
      </c>
      <c r="C465" s="30">
        <v>350.49</v>
      </c>
      <c r="D465" s="22">
        <f t="shared" si="14"/>
        <v>-1.2108126781241887E-2</v>
      </c>
      <c r="E465" s="22">
        <f t="shared" si="15"/>
        <v>-4.6415453679771464E-2</v>
      </c>
      <c r="F465" s="12"/>
      <c r="G465" s="12"/>
      <c r="H465" s="3"/>
      <c r="I465" s="3"/>
      <c r="J465" s="3"/>
      <c r="K465" s="3"/>
      <c r="L465" s="3"/>
      <c r="M465" s="3"/>
      <c r="N465" s="3"/>
      <c r="O465" s="3"/>
      <c r="P465" s="3"/>
      <c r="Q465" s="3"/>
      <c r="R465" s="3"/>
      <c r="S465" s="3"/>
      <c r="T465" s="3"/>
      <c r="U465" s="3"/>
      <c r="V465" s="47"/>
      <c r="W465" s="47"/>
      <c r="X465" s="47"/>
      <c r="Y465" s="47"/>
      <c r="Z465" s="47"/>
      <c r="AA465" s="198"/>
      <c r="AB465" s="198"/>
      <c r="AC465" s="198"/>
      <c r="AD465" s="198"/>
      <c r="AE465" s="198"/>
      <c r="AF465" s="198"/>
      <c r="AG465" s="198"/>
      <c r="AH465" s="198"/>
      <c r="AI465" s="198"/>
      <c r="AJ465" s="198"/>
      <c r="AK465" s="198"/>
      <c r="AL465" s="198"/>
      <c r="AM465" s="52"/>
      <c r="AN465" s="52"/>
      <c r="AO465" s="52"/>
      <c r="AP465" s="52"/>
      <c r="AQ465" s="52"/>
    </row>
    <row r="466" spans="1:43">
      <c r="A466" s="331">
        <v>44645</v>
      </c>
      <c r="B466" s="332">
        <v>4543.0600000000004</v>
      </c>
      <c r="C466" s="30">
        <v>349.02</v>
      </c>
      <c r="D466" s="22">
        <f t="shared" si="14"/>
        <v>-7.0942756233171381E-3</v>
      </c>
      <c r="E466" s="22">
        <f t="shared" si="15"/>
        <v>-4.19412822049139E-3</v>
      </c>
      <c r="F466" s="12"/>
      <c r="G466" s="12"/>
      <c r="H466" s="3"/>
      <c r="I466" s="3"/>
      <c r="J466" s="3"/>
      <c r="K466" s="3"/>
      <c r="L466" s="3"/>
      <c r="M466" s="3"/>
      <c r="N466" s="3"/>
      <c r="O466" s="3"/>
      <c r="P466" s="3"/>
      <c r="Q466" s="3"/>
      <c r="R466" s="3"/>
      <c r="S466" s="3"/>
      <c r="T466" s="3"/>
      <c r="U466" s="3"/>
      <c r="V466" s="47"/>
      <c r="W466" s="47"/>
      <c r="X466" s="47"/>
      <c r="Y466" s="47"/>
      <c r="Z466" s="47"/>
      <c r="AA466" s="198"/>
      <c r="AB466" s="198"/>
      <c r="AC466" s="198"/>
      <c r="AD466" s="198"/>
      <c r="AE466" s="198"/>
      <c r="AF466" s="198"/>
      <c r="AG466" s="198"/>
      <c r="AH466" s="198"/>
      <c r="AI466" s="198"/>
      <c r="AJ466" s="198"/>
      <c r="AK466" s="198"/>
      <c r="AL466" s="198"/>
      <c r="AM466" s="52"/>
      <c r="AN466" s="52"/>
      <c r="AO466" s="52"/>
      <c r="AP466" s="52"/>
      <c r="AQ466" s="52"/>
    </row>
    <row r="467" spans="1:43">
      <c r="A467" s="331">
        <v>44644</v>
      </c>
      <c r="B467" s="332">
        <v>4520.16</v>
      </c>
      <c r="C467" s="30">
        <v>349.35</v>
      </c>
      <c r="D467" s="22">
        <f t="shared" si="14"/>
        <v>-5.0406554172739391E-3</v>
      </c>
      <c r="E467" s="22">
        <f t="shared" si="15"/>
        <v>9.4550455561297621E-4</v>
      </c>
      <c r="F467" s="12"/>
      <c r="G467" s="12"/>
      <c r="H467" s="3"/>
      <c r="I467" s="3"/>
      <c r="J467" s="3"/>
      <c r="K467" s="3"/>
      <c r="L467" s="3"/>
      <c r="M467" s="3"/>
      <c r="N467" s="3"/>
      <c r="O467" s="3"/>
      <c r="P467" s="3"/>
      <c r="Q467" s="3"/>
      <c r="R467" s="3"/>
      <c r="S467" s="3"/>
      <c r="T467" s="3"/>
      <c r="U467" s="3"/>
      <c r="V467" s="47"/>
      <c r="W467" s="47"/>
      <c r="X467" s="47"/>
      <c r="Y467" s="47"/>
      <c r="Z467" s="47"/>
      <c r="AA467" s="198"/>
      <c r="AB467" s="198"/>
      <c r="AC467" s="198"/>
      <c r="AD467" s="198"/>
      <c r="AE467" s="198"/>
      <c r="AF467" s="198"/>
      <c r="AG467" s="198"/>
      <c r="AH467" s="198"/>
      <c r="AI467" s="198"/>
      <c r="AJ467" s="198"/>
      <c r="AK467" s="198"/>
      <c r="AL467" s="198"/>
      <c r="AM467" s="52"/>
      <c r="AN467" s="52"/>
      <c r="AO467" s="52"/>
      <c r="AP467" s="52"/>
      <c r="AQ467" s="52"/>
    </row>
    <row r="468" spans="1:43">
      <c r="A468" s="331">
        <v>44643</v>
      </c>
      <c r="B468" s="332">
        <v>4456.24</v>
      </c>
      <c r="C468" s="30">
        <v>342.18</v>
      </c>
      <c r="D468" s="22">
        <f t="shared" si="14"/>
        <v>-1.4141092350713265E-2</v>
      </c>
      <c r="E468" s="22">
        <f t="shared" si="15"/>
        <v>-2.0523829969944226E-2</v>
      </c>
      <c r="F468" s="12"/>
      <c r="G468" s="12"/>
      <c r="H468" s="3"/>
      <c r="I468" s="3"/>
      <c r="J468" s="3"/>
      <c r="K468" s="3"/>
      <c r="L468" s="3"/>
      <c r="M468" s="3"/>
      <c r="N468" s="3"/>
      <c r="O468" s="3"/>
      <c r="P468" s="3"/>
      <c r="Q468" s="3"/>
      <c r="R468" s="3"/>
      <c r="S468" s="3"/>
      <c r="T468" s="3"/>
      <c r="U468" s="3"/>
      <c r="V468" s="47"/>
      <c r="W468" s="47"/>
      <c r="X468" s="47"/>
      <c r="Y468" s="47"/>
      <c r="Z468" s="47"/>
      <c r="AA468" s="198"/>
      <c r="AB468" s="198"/>
      <c r="AC468" s="198"/>
      <c r="AD468" s="198"/>
      <c r="AE468" s="198"/>
      <c r="AF468" s="198"/>
      <c r="AG468" s="198"/>
      <c r="AH468" s="198"/>
      <c r="AI468" s="198"/>
      <c r="AJ468" s="198"/>
      <c r="AK468" s="198"/>
      <c r="AL468" s="198"/>
      <c r="AM468" s="52"/>
      <c r="AN468" s="52"/>
      <c r="AO468" s="52"/>
      <c r="AP468" s="52"/>
      <c r="AQ468" s="52"/>
    </row>
    <row r="469" spans="1:43">
      <c r="A469" s="331">
        <v>44642</v>
      </c>
      <c r="B469" s="332">
        <v>4511.6099999999997</v>
      </c>
      <c r="C469" s="30">
        <v>349.53</v>
      </c>
      <c r="D469" s="22">
        <f t="shared" si="14"/>
        <v>1.2425273324596498E-2</v>
      </c>
      <c r="E469" s="22">
        <f t="shared" si="15"/>
        <v>2.1479922847623959E-2</v>
      </c>
      <c r="F469" s="12"/>
      <c r="G469" s="12"/>
      <c r="H469" s="3"/>
      <c r="I469" s="3"/>
      <c r="J469" s="3"/>
      <c r="K469" s="3"/>
      <c r="L469" s="3"/>
      <c r="M469" s="3"/>
      <c r="N469" s="3"/>
      <c r="O469" s="3"/>
      <c r="P469" s="3"/>
      <c r="Q469" s="3"/>
      <c r="R469" s="3"/>
      <c r="S469" s="3"/>
      <c r="T469" s="3"/>
      <c r="U469" s="3"/>
      <c r="V469" s="47"/>
      <c r="W469" s="47"/>
      <c r="X469" s="47"/>
      <c r="Y469" s="47"/>
      <c r="Z469" s="47"/>
      <c r="AA469" s="198"/>
      <c r="AB469" s="198"/>
      <c r="AC469" s="198"/>
      <c r="AD469" s="198"/>
      <c r="AE469" s="198"/>
      <c r="AF469" s="198"/>
      <c r="AG469" s="198"/>
      <c r="AH469" s="198"/>
      <c r="AI469" s="198"/>
      <c r="AJ469" s="198"/>
      <c r="AK469" s="198"/>
      <c r="AL469" s="198"/>
      <c r="AM469" s="52"/>
      <c r="AN469" s="52"/>
      <c r="AO469" s="52"/>
      <c r="AP469" s="52"/>
      <c r="AQ469" s="52"/>
    </row>
    <row r="470" spans="1:43">
      <c r="A470" s="331">
        <v>44641</v>
      </c>
      <c r="B470" s="332">
        <v>4461.18</v>
      </c>
      <c r="C470" s="30">
        <v>345.58</v>
      </c>
      <c r="D470" s="22">
        <f t="shared" si="14"/>
        <v>-1.1177827870759969E-2</v>
      </c>
      <c r="E470" s="22">
        <f t="shared" si="15"/>
        <v>-1.1300889766257514E-2</v>
      </c>
      <c r="F470" s="12"/>
      <c r="G470" s="12"/>
      <c r="H470" s="3"/>
      <c r="I470" s="3"/>
      <c r="J470" s="3"/>
      <c r="K470" s="3"/>
      <c r="L470" s="3"/>
      <c r="M470" s="3"/>
      <c r="N470" s="3"/>
      <c r="O470" s="3"/>
      <c r="P470" s="3"/>
      <c r="Q470" s="3"/>
      <c r="R470" s="3"/>
      <c r="S470" s="3"/>
      <c r="T470" s="3"/>
      <c r="U470" s="3"/>
      <c r="V470" s="47"/>
      <c r="W470" s="47"/>
      <c r="X470" s="47"/>
      <c r="Y470" s="47"/>
      <c r="Z470" s="47"/>
      <c r="AA470" s="198"/>
      <c r="AB470" s="198"/>
      <c r="AC470" s="198"/>
      <c r="AD470" s="198"/>
      <c r="AE470" s="198"/>
      <c r="AF470" s="198"/>
      <c r="AG470" s="198"/>
      <c r="AH470" s="198"/>
      <c r="AI470" s="198"/>
      <c r="AJ470" s="198"/>
      <c r="AK470" s="198"/>
      <c r="AL470" s="198"/>
      <c r="AM470" s="52"/>
      <c r="AN470" s="52"/>
      <c r="AO470" s="52"/>
      <c r="AP470" s="52"/>
      <c r="AQ470" s="52"/>
    </row>
    <row r="471" spans="1:43">
      <c r="A471" s="331">
        <v>44638</v>
      </c>
      <c r="B471" s="332">
        <v>4463.12</v>
      </c>
      <c r="C471" s="30">
        <v>350.09</v>
      </c>
      <c r="D471" s="22">
        <f t="shared" si="14"/>
        <v>4.3486252516141462E-4</v>
      </c>
      <c r="E471" s="22">
        <f t="shared" si="15"/>
        <v>1.3050523757161847E-2</v>
      </c>
      <c r="F471" s="12"/>
      <c r="G471" s="12"/>
      <c r="H471" s="3"/>
      <c r="I471" s="3"/>
      <c r="J471" s="3"/>
      <c r="K471" s="3"/>
      <c r="L471" s="3"/>
      <c r="M471" s="3"/>
      <c r="N471" s="3"/>
      <c r="O471" s="3"/>
      <c r="P471" s="3"/>
      <c r="Q471" s="3"/>
      <c r="R471" s="3"/>
      <c r="S471" s="3"/>
      <c r="T471" s="3"/>
      <c r="U471" s="3"/>
      <c r="V471" s="47"/>
      <c r="W471" s="47"/>
      <c r="X471" s="47"/>
      <c r="Y471" s="47"/>
      <c r="Z471" s="47"/>
      <c r="AA471" s="198"/>
      <c r="AB471" s="198"/>
      <c r="AC471" s="198"/>
      <c r="AD471" s="198"/>
      <c r="AE471" s="198"/>
      <c r="AF471" s="198"/>
      <c r="AG471" s="198"/>
      <c r="AH471" s="198"/>
      <c r="AI471" s="198"/>
      <c r="AJ471" s="198"/>
      <c r="AK471" s="198"/>
      <c r="AL471" s="198"/>
      <c r="AM471" s="52"/>
      <c r="AN471" s="52"/>
      <c r="AO471" s="52"/>
      <c r="AP471" s="52"/>
      <c r="AQ471" s="52"/>
    </row>
    <row r="472" spans="1:43">
      <c r="A472" s="331">
        <v>44637</v>
      </c>
      <c r="B472" s="332">
        <v>4411.67</v>
      </c>
      <c r="C472" s="30">
        <v>346.44</v>
      </c>
      <c r="D472" s="22">
        <f t="shared" si="14"/>
        <v>-1.1527810141784183E-2</v>
      </c>
      <c r="E472" s="22">
        <f t="shared" si="15"/>
        <v>-1.0425890485303714E-2</v>
      </c>
      <c r="F472" s="12"/>
      <c r="G472" s="12"/>
      <c r="H472" s="3"/>
      <c r="I472" s="3"/>
      <c r="J472" s="3"/>
      <c r="K472" s="3"/>
      <c r="L472" s="3"/>
      <c r="M472" s="3"/>
      <c r="N472" s="3"/>
      <c r="O472" s="3"/>
      <c r="P472" s="3"/>
      <c r="Q472" s="3"/>
      <c r="R472" s="3"/>
      <c r="S472" s="3"/>
      <c r="T472" s="3"/>
      <c r="U472" s="3"/>
      <c r="V472" s="47"/>
      <c r="W472" s="47"/>
      <c r="X472" s="47"/>
      <c r="Y472" s="47"/>
      <c r="Z472" s="47"/>
      <c r="AA472" s="198"/>
      <c r="AB472" s="198"/>
      <c r="AC472" s="198"/>
      <c r="AD472" s="198"/>
      <c r="AE472" s="198"/>
      <c r="AF472" s="198"/>
      <c r="AG472" s="198"/>
      <c r="AH472" s="198"/>
      <c r="AI472" s="198"/>
      <c r="AJ472" s="198"/>
      <c r="AK472" s="198"/>
      <c r="AL472" s="198"/>
      <c r="AM472" s="52"/>
      <c r="AN472" s="52"/>
      <c r="AO472" s="52"/>
      <c r="AP472" s="52"/>
      <c r="AQ472" s="52"/>
    </row>
    <row r="473" spans="1:43">
      <c r="A473" s="331">
        <v>44636</v>
      </c>
      <c r="B473" s="332">
        <v>4357.8599999999997</v>
      </c>
      <c r="C473" s="30">
        <v>344.68</v>
      </c>
      <c r="D473" s="22">
        <f t="shared" si="14"/>
        <v>-1.2197195166456331E-2</v>
      </c>
      <c r="E473" s="22">
        <f t="shared" si="15"/>
        <v>-5.0802447754300624E-3</v>
      </c>
      <c r="F473" s="12"/>
      <c r="G473" s="12"/>
      <c r="H473" s="3"/>
      <c r="I473" s="3"/>
      <c r="J473" s="3"/>
      <c r="K473" s="3"/>
      <c r="L473" s="3"/>
      <c r="M473" s="3"/>
      <c r="N473" s="3"/>
      <c r="O473" s="3"/>
      <c r="P473" s="3"/>
      <c r="Q473" s="3"/>
      <c r="R473" s="3"/>
      <c r="S473" s="3"/>
      <c r="T473" s="3"/>
      <c r="U473" s="3"/>
      <c r="V473" s="47"/>
      <c r="W473" s="47"/>
      <c r="X473" s="47"/>
      <c r="Y473" s="47"/>
      <c r="Z473" s="47"/>
      <c r="AA473" s="198"/>
      <c r="AB473" s="198"/>
      <c r="AC473" s="198"/>
      <c r="AD473" s="198"/>
      <c r="AE473" s="198"/>
      <c r="AF473" s="198"/>
      <c r="AG473" s="198"/>
      <c r="AH473" s="198"/>
      <c r="AI473" s="198"/>
      <c r="AJ473" s="198"/>
      <c r="AK473" s="198"/>
      <c r="AL473" s="198"/>
      <c r="AM473" s="52"/>
      <c r="AN473" s="52"/>
      <c r="AO473" s="52"/>
      <c r="AP473" s="52"/>
      <c r="AQ473" s="52"/>
    </row>
    <row r="474" spans="1:43">
      <c r="A474" s="331">
        <v>44635</v>
      </c>
      <c r="B474" s="332">
        <v>4262.45</v>
      </c>
      <c r="C474" s="30">
        <v>335</v>
      </c>
      <c r="D474" s="22">
        <f t="shared" si="14"/>
        <v>-2.1893773549402657E-2</v>
      </c>
      <c r="E474" s="22">
        <f t="shared" si="15"/>
        <v>-2.8084019960543133E-2</v>
      </c>
      <c r="F474" s="12"/>
      <c r="G474" s="12"/>
      <c r="H474" s="3"/>
      <c r="I474" s="3"/>
      <c r="J474" s="3"/>
      <c r="K474" s="3"/>
      <c r="L474" s="3"/>
      <c r="M474" s="3"/>
      <c r="N474" s="3"/>
      <c r="O474" s="3"/>
      <c r="P474" s="3"/>
      <c r="Q474" s="3"/>
      <c r="R474" s="3"/>
      <c r="S474" s="3"/>
      <c r="T474" s="3"/>
      <c r="U474" s="3"/>
      <c r="V474" s="47"/>
      <c r="W474" s="47"/>
      <c r="X474" s="47"/>
      <c r="Y474" s="47"/>
      <c r="Z474" s="47"/>
      <c r="AA474" s="198"/>
      <c r="AB474" s="198"/>
      <c r="AC474" s="198"/>
      <c r="AD474" s="198"/>
      <c r="AE474" s="198"/>
      <c r="AF474" s="198"/>
      <c r="AG474" s="198"/>
      <c r="AH474" s="198"/>
      <c r="AI474" s="198"/>
      <c r="AJ474" s="198"/>
      <c r="AK474" s="198"/>
      <c r="AL474" s="198"/>
      <c r="AM474" s="52"/>
      <c r="AN474" s="52"/>
      <c r="AO474" s="52"/>
      <c r="AP474" s="52"/>
      <c r="AQ474" s="52"/>
    </row>
    <row r="475" spans="1:43">
      <c r="A475" s="331">
        <v>44634</v>
      </c>
      <c r="B475" s="332">
        <v>4173.1099999999997</v>
      </c>
      <c r="C475" s="30">
        <v>328.59</v>
      </c>
      <c r="D475" s="22">
        <f t="shared" si="14"/>
        <v>-2.095977665427164E-2</v>
      </c>
      <c r="E475" s="22">
        <f t="shared" si="15"/>
        <v>-1.9134328358209031E-2</v>
      </c>
      <c r="F475" s="12"/>
      <c r="G475" s="12"/>
      <c r="H475" s="3"/>
      <c r="I475" s="3"/>
      <c r="J475" s="3"/>
      <c r="K475" s="3"/>
      <c r="L475" s="3"/>
      <c r="M475" s="3"/>
      <c r="N475" s="3"/>
      <c r="O475" s="3"/>
      <c r="P475" s="3"/>
      <c r="Q475" s="3"/>
      <c r="R475" s="3"/>
      <c r="S475" s="3"/>
      <c r="T475" s="3"/>
      <c r="U475" s="3"/>
      <c r="V475" s="47"/>
      <c r="W475" s="47"/>
      <c r="X475" s="47"/>
      <c r="Y475" s="47"/>
      <c r="Z475" s="47"/>
      <c r="AA475" s="198"/>
      <c r="AB475" s="198"/>
      <c r="AC475" s="198"/>
      <c r="AD475" s="198"/>
      <c r="AE475" s="198"/>
      <c r="AF475" s="198"/>
      <c r="AG475" s="198"/>
      <c r="AH475" s="198"/>
      <c r="AI475" s="198"/>
      <c r="AJ475" s="198"/>
      <c r="AK475" s="198"/>
      <c r="AL475" s="198"/>
      <c r="AM475" s="52"/>
      <c r="AN475" s="52"/>
      <c r="AO475" s="52"/>
      <c r="AP475" s="52"/>
      <c r="AQ475" s="52"/>
    </row>
    <row r="476" spans="1:43">
      <c r="A476" s="331">
        <v>44631</v>
      </c>
      <c r="B476" s="332">
        <v>4204.3100000000004</v>
      </c>
      <c r="C476" s="30">
        <v>324.79000000000002</v>
      </c>
      <c r="D476" s="22">
        <f t="shared" si="14"/>
        <v>7.4764384356033583E-3</v>
      </c>
      <c r="E476" s="22">
        <f t="shared" si="15"/>
        <v>-1.1564563742049224E-2</v>
      </c>
      <c r="F476" s="12"/>
      <c r="G476" s="12"/>
      <c r="H476" s="3"/>
      <c r="I476" s="3"/>
      <c r="J476" s="3"/>
      <c r="K476" s="3"/>
      <c r="L476" s="3"/>
      <c r="M476" s="3"/>
      <c r="N476" s="3"/>
      <c r="O476" s="3"/>
      <c r="P476" s="3"/>
      <c r="Q476" s="3"/>
      <c r="R476" s="3"/>
      <c r="S476" s="3"/>
      <c r="T476" s="3"/>
      <c r="U476" s="3"/>
      <c r="V476" s="47"/>
      <c r="W476" s="47"/>
      <c r="X476" s="47"/>
      <c r="Y476" s="47"/>
      <c r="Z476" s="47"/>
      <c r="AA476" s="198"/>
      <c r="AB476" s="198"/>
      <c r="AC476" s="198"/>
      <c r="AD476" s="198"/>
      <c r="AE476" s="198"/>
      <c r="AF476" s="198"/>
      <c r="AG476" s="198"/>
      <c r="AH476" s="198"/>
      <c r="AI476" s="198"/>
      <c r="AJ476" s="198"/>
      <c r="AK476" s="198"/>
      <c r="AL476" s="198"/>
      <c r="AM476" s="52"/>
      <c r="AN476" s="52"/>
      <c r="AO476" s="52"/>
      <c r="AP476" s="52"/>
      <c r="AQ476" s="52"/>
    </row>
    <row r="477" spans="1:43">
      <c r="A477" s="331">
        <v>44630</v>
      </c>
      <c r="B477" s="332">
        <v>4259.5200000000004</v>
      </c>
      <c r="C477" s="30">
        <v>324.58999999999997</v>
      </c>
      <c r="D477" s="22">
        <f t="shared" si="14"/>
        <v>1.3131762405721755E-2</v>
      </c>
      <c r="E477" s="22">
        <f t="shared" si="15"/>
        <v>-6.1578250561915532E-4</v>
      </c>
      <c r="F477" s="12"/>
      <c r="G477" s="12"/>
      <c r="H477" s="3"/>
      <c r="I477" s="3"/>
      <c r="J477" s="3"/>
      <c r="K477" s="3"/>
      <c r="L477" s="3"/>
      <c r="M477" s="3"/>
      <c r="N477" s="3"/>
      <c r="O477" s="3"/>
      <c r="P477" s="3"/>
      <c r="Q477" s="3"/>
      <c r="R477" s="3"/>
      <c r="S477" s="3"/>
      <c r="T477" s="3"/>
      <c r="U477" s="3"/>
      <c r="V477" s="47"/>
      <c r="W477" s="47"/>
      <c r="X477" s="47"/>
      <c r="Y477" s="47"/>
      <c r="Z477" s="47"/>
      <c r="AA477" s="198"/>
      <c r="AB477" s="198"/>
      <c r="AC477" s="198"/>
      <c r="AD477" s="198"/>
      <c r="AE477" s="198"/>
      <c r="AF477" s="198"/>
      <c r="AG477" s="198"/>
      <c r="AH477" s="198"/>
      <c r="AI477" s="198"/>
      <c r="AJ477" s="198"/>
      <c r="AK477" s="198"/>
      <c r="AL477" s="198"/>
      <c r="AM477" s="52"/>
      <c r="AN477" s="52"/>
      <c r="AO477" s="52"/>
      <c r="AP477" s="52"/>
      <c r="AQ477" s="52"/>
    </row>
    <row r="478" spans="1:43">
      <c r="A478" s="331">
        <v>44629</v>
      </c>
      <c r="B478" s="332">
        <v>4277.88</v>
      </c>
      <c r="C478" s="30">
        <v>328.13</v>
      </c>
      <c r="D478" s="22">
        <f t="shared" si="14"/>
        <v>4.3103448275861296E-3</v>
      </c>
      <c r="E478" s="22">
        <f t="shared" si="15"/>
        <v>1.0906066114174868E-2</v>
      </c>
      <c r="F478" s="12"/>
      <c r="G478" s="12"/>
      <c r="H478" s="3"/>
      <c r="I478" s="3"/>
      <c r="J478" s="3"/>
      <c r="K478" s="3"/>
      <c r="L478" s="3"/>
      <c r="M478" s="3"/>
      <c r="N478" s="3"/>
      <c r="O478" s="3"/>
      <c r="P478" s="3"/>
      <c r="Q478" s="3"/>
      <c r="R478" s="3"/>
      <c r="S478" s="3"/>
      <c r="T478" s="3"/>
      <c r="U478" s="3"/>
      <c r="V478" s="47"/>
      <c r="W478" s="47"/>
      <c r="X478" s="47"/>
      <c r="Y478" s="47"/>
      <c r="Z478" s="47"/>
      <c r="AA478" s="198"/>
      <c r="AB478" s="198"/>
      <c r="AC478" s="198"/>
      <c r="AD478" s="198"/>
      <c r="AE478" s="198"/>
      <c r="AF478" s="198"/>
      <c r="AG478" s="198"/>
      <c r="AH478" s="198"/>
      <c r="AI478" s="198"/>
      <c r="AJ478" s="198"/>
      <c r="AK478" s="198"/>
      <c r="AL478" s="198"/>
      <c r="AM478" s="52"/>
      <c r="AN478" s="52"/>
      <c r="AO478" s="52"/>
      <c r="AP478" s="52"/>
      <c r="AQ478" s="52"/>
    </row>
    <row r="479" spans="1:43">
      <c r="A479" s="331">
        <v>44628</v>
      </c>
      <c r="B479" s="332">
        <v>4170.7</v>
      </c>
      <c r="C479" s="30">
        <v>314.33</v>
      </c>
      <c r="D479" s="22">
        <f t="shared" si="14"/>
        <v>-2.5054466230936885E-2</v>
      </c>
      <c r="E479" s="22">
        <f t="shared" si="15"/>
        <v>-4.2056501996160095E-2</v>
      </c>
      <c r="F479" s="12"/>
      <c r="G479" s="12"/>
      <c r="H479" s="3"/>
      <c r="I479" s="3"/>
      <c r="J479" s="3"/>
      <c r="K479" s="3"/>
      <c r="L479" s="3"/>
      <c r="M479" s="3"/>
      <c r="N479" s="3"/>
      <c r="O479" s="3"/>
      <c r="P479" s="3"/>
      <c r="Q479" s="3"/>
      <c r="R479" s="3"/>
      <c r="S479" s="3"/>
      <c r="T479" s="3"/>
      <c r="U479" s="3"/>
      <c r="V479" s="47"/>
      <c r="W479" s="47"/>
      <c r="X479" s="47"/>
      <c r="Y479" s="47"/>
      <c r="Z479" s="47"/>
      <c r="AA479" s="198"/>
      <c r="AB479" s="198"/>
      <c r="AC479" s="198"/>
      <c r="AD479" s="198"/>
      <c r="AE479" s="198"/>
      <c r="AF479" s="198"/>
      <c r="AG479" s="198"/>
      <c r="AH479" s="198"/>
      <c r="AI479" s="198"/>
      <c r="AJ479" s="198"/>
      <c r="AK479" s="198"/>
      <c r="AL479" s="198"/>
      <c r="AM479" s="52"/>
      <c r="AN479" s="52"/>
      <c r="AO479" s="52"/>
      <c r="AP479" s="52"/>
      <c r="AQ479" s="52"/>
    </row>
    <row r="480" spans="1:43">
      <c r="A480" s="331">
        <v>44627</v>
      </c>
      <c r="B480" s="332">
        <v>4201.09</v>
      </c>
      <c r="C480" s="30">
        <v>312.92</v>
      </c>
      <c r="D480" s="22">
        <f t="shared" si="14"/>
        <v>7.2865466228691413E-3</v>
      </c>
      <c r="E480" s="22">
        <f t="shared" si="15"/>
        <v>-4.4857315560079157E-3</v>
      </c>
      <c r="F480" s="12"/>
      <c r="G480" s="12"/>
      <c r="H480" s="3"/>
      <c r="I480" s="3"/>
      <c r="J480" s="3"/>
      <c r="K480" s="3"/>
      <c r="L480" s="3"/>
      <c r="M480" s="3"/>
      <c r="N480" s="3"/>
      <c r="O480" s="3"/>
      <c r="P480" s="3"/>
      <c r="Q480" s="3"/>
      <c r="R480" s="3"/>
      <c r="S480" s="3"/>
      <c r="T480" s="3"/>
      <c r="U480" s="3"/>
      <c r="V480" s="47"/>
      <c r="W480" s="47"/>
      <c r="X480" s="47"/>
      <c r="Y480" s="47"/>
      <c r="Z480" s="47"/>
      <c r="AA480" s="198"/>
      <c r="AB480" s="198"/>
      <c r="AC480" s="198"/>
      <c r="AD480" s="198"/>
      <c r="AE480" s="198"/>
      <c r="AF480" s="198"/>
      <c r="AG480" s="198"/>
      <c r="AH480" s="198"/>
      <c r="AI480" s="198"/>
      <c r="AJ480" s="198"/>
      <c r="AK480" s="198"/>
      <c r="AL480" s="198"/>
      <c r="AM480" s="52"/>
      <c r="AN480" s="52"/>
      <c r="AO480" s="52"/>
      <c r="AP480" s="52"/>
      <c r="AQ480" s="52"/>
    </row>
    <row r="481" spans="1:43">
      <c r="A481" s="331">
        <v>44624</v>
      </c>
      <c r="B481" s="332">
        <v>4328.87</v>
      </c>
      <c r="C481" s="30">
        <v>330.76</v>
      </c>
      <c r="D481" s="22">
        <f t="shared" si="14"/>
        <v>3.0415915869452866E-2</v>
      </c>
      <c r="E481" s="22">
        <f t="shared" si="15"/>
        <v>5.7011376709702077E-2</v>
      </c>
      <c r="F481" s="12"/>
      <c r="G481" s="12"/>
      <c r="H481" s="3"/>
      <c r="I481" s="3"/>
      <c r="J481" s="3"/>
      <c r="K481" s="3"/>
      <c r="L481" s="3"/>
      <c r="M481" s="3"/>
      <c r="N481" s="3"/>
      <c r="O481" s="3"/>
      <c r="P481" s="3"/>
      <c r="Q481" s="3"/>
      <c r="R481" s="3"/>
      <c r="S481" s="3"/>
      <c r="T481" s="3"/>
      <c r="U481" s="3"/>
      <c r="V481" s="47"/>
      <c r="W481" s="47"/>
      <c r="X481" s="47"/>
      <c r="Y481" s="47"/>
      <c r="Z481" s="47"/>
      <c r="AA481" s="198"/>
      <c r="AB481" s="198"/>
      <c r="AC481" s="198"/>
      <c r="AD481" s="198"/>
      <c r="AE481" s="198"/>
      <c r="AF481" s="198"/>
      <c r="AG481" s="198"/>
      <c r="AH481" s="198"/>
      <c r="AI481" s="198"/>
      <c r="AJ481" s="198"/>
      <c r="AK481" s="198"/>
      <c r="AL481" s="198"/>
      <c r="AM481" s="52"/>
      <c r="AN481" s="52"/>
      <c r="AO481" s="52"/>
      <c r="AP481" s="52"/>
      <c r="AQ481" s="52"/>
    </row>
    <row r="482" spans="1:43">
      <c r="A482" s="331">
        <v>44623</v>
      </c>
      <c r="B482" s="332">
        <v>4363.49</v>
      </c>
      <c r="C482" s="30">
        <v>340.99</v>
      </c>
      <c r="D482" s="22">
        <f t="shared" si="14"/>
        <v>7.9974681614370241E-3</v>
      </c>
      <c r="E482" s="22">
        <f t="shared" si="15"/>
        <v>3.0928770105212295E-2</v>
      </c>
      <c r="F482" s="12"/>
      <c r="G482" s="12"/>
      <c r="H482" s="3"/>
      <c r="I482" s="3"/>
      <c r="J482" s="3"/>
      <c r="K482" s="3"/>
      <c r="L482" s="3"/>
      <c r="M482" s="3"/>
      <c r="N482" s="3"/>
      <c r="O482" s="3"/>
      <c r="P482" s="3"/>
      <c r="Q482" s="3"/>
      <c r="R482" s="3"/>
      <c r="S482" s="3"/>
      <c r="T482" s="3"/>
      <c r="U482" s="3"/>
      <c r="V482" s="47"/>
      <c r="W482" s="47"/>
      <c r="X482" s="47"/>
      <c r="Y482" s="47"/>
      <c r="Z482" s="47"/>
      <c r="AA482" s="198"/>
      <c r="AB482" s="198"/>
      <c r="AC482" s="198"/>
      <c r="AD482" s="198"/>
      <c r="AE482" s="198"/>
      <c r="AF482" s="198"/>
      <c r="AG482" s="198"/>
      <c r="AH482" s="198"/>
      <c r="AI482" s="198"/>
      <c r="AJ482" s="198"/>
      <c r="AK482" s="198"/>
      <c r="AL482" s="198"/>
      <c r="AM482" s="52"/>
      <c r="AN482" s="52"/>
      <c r="AO482" s="52"/>
      <c r="AP482" s="52"/>
      <c r="AQ482" s="52"/>
    </row>
    <row r="483" spans="1:43">
      <c r="A483" s="331">
        <v>44622</v>
      </c>
      <c r="B483" s="332">
        <v>4386.54</v>
      </c>
      <c r="C483" s="30">
        <v>344.09</v>
      </c>
      <c r="D483" s="22">
        <f t="shared" si="14"/>
        <v>5.2824688494760349E-3</v>
      </c>
      <c r="E483" s="22">
        <f t="shared" si="15"/>
        <v>9.0911756943017862E-3</v>
      </c>
      <c r="F483" s="12"/>
      <c r="G483" s="12"/>
      <c r="H483" s="3"/>
      <c r="I483" s="3"/>
      <c r="J483" s="3"/>
      <c r="K483" s="3"/>
      <c r="L483" s="3"/>
      <c r="M483" s="3"/>
      <c r="N483" s="3"/>
      <c r="O483" s="3"/>
      <c r="P483" s="3"/>
      <c r="Q483" s="3"/>
      <c r="R483" s="3"/>
      <c r="S483" s="3"/>
      <c r="T483" s="3"/>
      <c r="U483" s="3"/>
      <c r="V483" s="47"/>
      <c r="W483" s="47"/>
      <c r="X483" s="47"/>
      <c r="Y483" s="47"/>
      <c r="Z483" s="47"/>
      <c r="AA483" s="198"/>
      <c r="AB483" s="198"/>
      <c r="AC483" s="198"/>
      <c r="AD483" s="198"/>
      <c r="AE483" s="198"/>
      <c r="AF483" s="198"/>
      <c r="AG483" s="198"/>
      <c r="AH483" s="198"/>
      <c r="AI483" s="198"/>
      <c r="AJ483" s="198"/>
      <c r="AK483" s="198"/>
      <c r="AL483" s="198"/>
      <c r="AM483" s="52"/>
      <c r="AN483" s="52"/>
      <c r="AO483" s="52"/>
      <c r="AP483" s="52"/>
      <c r="AQ483" s="52"/>
    </row>
    <row r="484" spans="1:43">
      <c r="A484" s="331">
        <v>44621</v>
      </c>
      <c r="B484" s="332">
        <v>4306.26</v>
      </c>
      <c r="C484" s="30">
        <v>344.48</v>
      </c>
      <c r="D484" s="22">
        <f t="shared" si="14"/>
        <v>-1.8301440315145821E-2</v>
      </c>
      <c r="E484" s="22">
        <f t="shared" si="15"/>
        <v>1.133424394780561E-3</v>
      </c>
      <c r="F484" s="12"/>
      <c r="G484" s="12"/>
      <c r="H484" s="3"/>
      <c r="I484" s="3"/>
      <c r="J484" s="3"/>
      <c r="K484" s="3"/>
      <c r="L484" s="3"/>
      <c r="M484" s="3"/>
      <c r="N484" s="3"/>
      <c r="O484" s="3"/>
      <c r="P484" s="3"/>
      <c r="Q484" s="3"/>
      <c r="R484" s="3"/>
      <c r="S484" s="3"/>
      <c r="T484" s="3"/>
      <c r="U484" s="3"/>
      <c r="V484" s="47"/>
      <c r="W484" s="47"/>
      <c r="X484" s="47"/>
      <c r="Y484" s="47"/>
      <c r="Z484" s="47"/>
      <c r="AA484" s="198"/>
      <c r="AB484" s="198"/>
      <c r="AC484" s="198"/>
      <c r="AD484" s="198"/>
      <c r="AE484" s="198"/>
      <c r="AF484" s="198"/>
      <c r="AG484" s="198"/>
      <c r="AH484" s="198"/>
      <c r="AI484" s="198"/>
      <c r="AJ484" s="198"/>
      <c r="AK484" s="198"/>
      <c r="AL484" s="198"/>
      <c r="AM484" s="52"/>
      <c r="AN484" s="52"/>
      <c r="AO484" s="52"/>
      <c r="AP484" s="52"/>
      <c r="AQ484" s="52"/>
    </row>
    <row r="485" spans="1:43">
      <c r="A485" s="331">
        <v>44620</v>
      </c>
      <c r="B485" s="332">
        <v>4373.9399999999996</v>
      </c>
      <c r="C485" s="30">
        <v>360.82</v>
      </c>
      <c r="D485" s="22">
        <f t="shared" si="14"/>
        <v>1.5716654359002796E-2</v>
      </c>
      <c r="E485" s="22">
        <f t="shared" si="15"/>
        <v>4.7433813283789983E-2</v>
      </c>
      <c r="F485" s="12"/>
      <c r="G485" s="12"/>
      <c r="H485" s="3"/>
      <c r="I485" s="3"/>
      <c r="J485" s="3"/>
      <c r="K485" s="3"/>
      <c r="L485" s="3"/>
      <c r="M485" s="3"/>
      <c r="N485" s="3"/>
      <c r="O485" s="3"/>
      <c r="P485" s="3"/>
      <c r="Q485" s="3"/>
      <c r="R485" s="3"/>
      <c r="S485" s="3"/>
      <c r="T485" s="3"/>
      <c r="U485" s="3"/>
      <c r="V485" s="47"/>
      <c r="W485" s="47"/>
      <c r="X485" s="47"/>
      <c r="Y485" s="47"/>
      <c r="Z485" s="47"/>
      <c r="AA485" s="198"/>
      <c r="AB485" s="198"/>
      <c r="AC485" s="198"/>
      <c r="AD485" s="198"/>
      <c r="AE485" s="198"/>
      <c r="AF485" s="198"/>
      <c r="AG485" s="198"/>
      <c r="AH485" s="198"/>
      <c r="AI485" s="198"/>
      <c r="AJ485" s="198"/>
      <c r="AK485" s="198"/>
      <c r="AL485" s="198"/>
      <c r="AM485" s="52"/>
      <c r="AN485" s="52"/>
      <c r="AO485" s="52"/>
      <c r="AP485" s="52"/>
      <c r="AQ485" s="52"/>
    </row>
    <row r="486" spans="1:43">
      <c r="A486" s="331">
        <v>44617</v>
      </c>
      <c r="B486" s="332">
        <v>4384.6499999999996</v>
      </c>
      <c r="C486" s="30">
        <v>369.09</v>
      </c>
      <c r="D486" s="22">
        <f t="shared" si="14"/>
        <v>2.4485932591668011E-3</v>
      </c>
      <c r="E486" s="22">
        <f t="shared" si="15"/>
        <v>2.292001552020393E-2</v>
      </c>
      <c r="F486" s="12"/>
      <c r="G486" s="12"/>
      <c r="H486" s="3"/>
      <c r="I486" s="3"/>
      <c r="J486" s="3"/>
      <c r="K486" s="3"/>
      <c r="L486" s="3"/>
      <c r="M486" s="3"/>
      <c r="N486" s="3"/>
      <c r="O486" s="3"/>
      <c r="P486" s="3"/>
      <c r="Q486" s="3"/>
      <c r="R486" s="3"/>
      <c r="S486" s="3"/>
      <c r="T486" s="3"/>
      <c r="U486" s="3"/>
      <c r="V486" s="47"/>
      <c r="W486" s="47"/>
      <c r="X486" s="47"/>
      <c r="Y486" s="47"/>
      <c r="Z486" s="47"/>
      <c r="AA486" s="198"/>
      <c r="AB486" s="198"/>
      <c r="AC486" s="198"/>
      <c r="AD486" s="198"/>
      <c r="AE486" s="198"/>
      <c r="AF486" s="198"/>
      <c r="AG486" s="198"/>
      <c r="AH486" s="198"/>
      <c r="AI486" s="198"/>
      <c r="AJ486" s="198"/>
      <c r="AK486" s="198"/>
      <c r="AL486" s="198"/>
      <c r="AM486" s="52"/>
      <c r="AN486" s="52"/>
      <c r="AO486" s="52"/>
      <c r="AP486" s="52"/>
      <c r="AQ486" s="52"/>
    </row>
    <row r="487" spans="1:43">
      <c r="A487" s="331">
        <v>44616</v>
      </c>
      <c r="B487" s="332">
        <v>4288.7</v>
      </c>
      <c r="C487" s="30">
        <v>369.38</v>
      </c>
      <c r="D487" s="22">
        <f t="shared" si="14"/>
        <v>-2.1883160571539308E-2</v>
      </c>
      <c r="E487" s="22">
        <f t="shared" si="15"/>
        <v>7.8571622097596918E-4</v>
      </c>
      <c r="F487" s="12"/>
      <c r="G487" s="12"/>
      <c r="H487" s="3"/>
      <c r="I487" s="3"/>
      <c r="J487" s="3"/>
      <c r="K487" s="3"/>
      <c r="L487" s="3"/>
      <c r="M487" s="3"/>
      <c r="N487" s="3"/>
      <c r="O487" s="3"/>
      <c r="P487" s="3"/>
      <c r="Q487" s="3"/>
      <c r="R487" s="3"/>
      <c r="S487" s="3"/>
      <c r="T487" s="3"/>
      <c r="U487" s="3"/>
      <c r="V487" s="47"/>
      <c r="W487" s="47"/>
      <c r="X487" s="47"/>
      <c r="Y487" s="47"/>
      <c r="Z487" s="47"/>
      <c r="AA487" s="198"/>
      <c r="AB487" s="198"/>
      <c r="AC487" s="198"/>
      <c r="AD487" s="198"/>
      <c r="AE487" s="198"/>
      <c r="AF487" s="198"/>
      <c r="AG487" s="198"/>
      <c r="AH487" s="198"/>
      <c r="AI487" s="198"/>
      <c r="AJ487" s="198"/>
      <c r="AK487" s="198"/>
      <c r="AL487" s="198"/>
      <c r="AM487" s="52"/>
      <c r="AN487" s="52"/>
      <c r="AO487" s="52"/>
      <c r="AP487" s="52"/>
      <c r="AQ487" s="52"/>
    </row>
    <row r="488" spans="1:43">
      <c r="A488" s="331">
        <v>44615</v>
      </c>
      <c r="B488" s="332">
        <v>4225.5</v>
      </c>
      <c r="C488" s="30">
        <v>361.23</v>
      </c>
      <c r="D488" s="22">
        <f t="shared" si="14"/>
        <v>-1.4736400307785535E-2</v>
      </c>
      <c r="E488" s="22">
        <f t="shared" si="15"/>
        <v>-2.2063999133683409E-2</v>
      </c>
      <c r="F488" s="12"/>
      <c r="G488" s="12"/>
      <c r="H488" s="3"/>
      <c r="I488" s="3"/>
      <c r="J488" s="3"/>
      <c r="K488" s="3"/>
      <c r="L488" s="3"/>
      <c r="M488" s="3"/>
      <c r="N488" s="3"/>
      <c r="O488" s="3"/>
      <c r="P488" s="3"/>
      <c r="Q488" s="3"/>
      <c r="R488" s="3"/>
      <c r="S488" s="3"/>
      <c r="T488" s="3"/>
      <c r="U488" s="3"/>
      <c r="V488" s="47"/>
      <c r="W488" s="47"/>
      <c r="X488" s="47"/>
      <c r="Y488" s="47"/>
      <c r="Z488" s="47"/>
      <c r="AA488" s="198"/>
      <c r="AB488" s="198"/>
      <c r="AC488" s="198"/>
      <c r="AD488" s="198"/>
      <c r="AE488" s="198"/>
      <c r="AF488" s="198"/>
      <c r="AG488" s="198"/>
      <c r="AH488" s="198"/>
      <c r="AI488" s="198"/>
      <c r="AJ488" s="198"/>
      <c r="AK488" s="198"/>
      <c r="AL488" s="198"/>
      <c r="AM488" s="52"/>
      <c r="AN488" s="52"/>
      <c r="AO488" s="52"/>
      <c r="AP488" s="52"/>
      <c r="AQ488" s="52"/>
    </row>
    <row r="489" spans="1:43">
      <c r="A489" s="331">
        <v>44614</v>
      </c>
      <c r="B489" s="332">
        <v>4304.76</v>
      </c>
      <c r="C489" s="30">
        <v>368.29</v>
      </c>
      <c r="D489" s="22">
        <f t="shared" si="14"/>
        <v>1.8757543485978044E-2</v>
      </c>
      <c r="E489" s="22">
        <f t="shared" si="15"/>
        <v>1.9544334634443435E-2</v>
      </c>
      <c r="F489" s="12"/>
      <c r="G489" s="12"/>
      <c r="H489" s="3"/>
      <c r="I489" s="3"/>
      <c r="J489" s="3"/>
      <c r="K489" s="3"/>
      <c r="L489" s="3"/>
      <c r="M489" s="3"/>
      <c r="N489" s="3"/>
      <c r="O489" s="3"/>
      <c r="P489" s="3"/>
      <c r="Q489" s="3"/>
      <c r="R489" s="3"/>
      <c r="S489" s="3"/>
      <c r="T489" s="3"/>
      <c r="U489" s="3"/>
      <c r="V489" s="47"/>
      <c r="W489" s="47"/>
      <c r="X489" s="47"/>
      <c r="Y489" s="47"/>
      <c r="Z489" s="47"/>
      <c r="AA489" s="198"/>
      <c r="AB489" s="198"/>
      <c r="AC489" s="198"/>
      <c r="AD489" s="198"/>
      <c r="AE489" s="198"/>
      <c r="AF489" s="198"/>
      <c r="AG489" s="198"/>
      <c r="AH489" s="198"/>
      <c r="AI489" s="198"/>
      <c r="AJ489" s="198"/>
      <c r="AK489" s="198"/>
      <c r="AL489" s="198"/>
      <c r="AM489" s="52"/>
      <c r="AN489" s="52"/>
      <c r="AO489" s="52"/>
      <c r="AP489" s="52"/>
      <c r="AQ489" s="52"/>
    </row>
    <row r="490" spans="1:43">
      <c r="A490" s="331">
        <v>44610</v>
      </c>
      <c r="B490" s="332">
        <v>4348.87</v>
      </c>
      <c r="C490" s="30">
        <v>369.95</v>
      </c>
      <c r="D490" s="22">
        <f t="shared" si="14"/>
        <v>1.0246796569378937E-2</v>
      </c>
      <c r="E490" s="22">
        <f t="shared" si="15"/>
        <v>4.5073176029758293E-3</v>
      </c>
      <c r="F490" s="12"/>
      <c r="G490" s="12"/>
      <c r="H490" s="3"/>
      <c r="I490" s="3"/>
      <c r="J490" s="3"/>
      <c r="K490" s="3"/>
      <c r="L490" s="3"/>
      <c r="M490" s="3"/>
      <c r="N490" s="3"/>
      <c r="O490" s="3"/>
      <c r="P490" s="3"/>
      <c r="Q490" s="3"/>
      <c r="R490" s="3"/>
      <c r="S490" s="3"/>
      <c r="T490" s="3"/>
      <c r="U490" s="3"/>
      <c r="V490" s="47"/>
      <c r="W490" s="47"/>
      <c r="X490" s="47"/>
      <c r="Y490" s="47"/>
      <c r="Z490" s="47"/>
      <c r="AA490" s="198"/>
      <c r="AB490" s="198"/>
      <c r="AC490" s="198"/>
      <c r="AD490" s="198"/>
      <c r="AE490" s="198"/>
      <c r="AF490" s="198"/>
      <c r="AG490" s="198"/>
      <c r="AH490" s="198"/>
      <c r="AI490" s="198"/>
      <c r="AJ490" s="198"/>
      <c r="AK490" s="198"/>
      <c r="AL490" s="198"/>
      <c r="AM490" s="52"/>
      <c r="AN490" s="52"/>
      <c r="AO490" s="52"/>
      <c r="AP490" s="52"/>
      <c r="AQ490" s="52"/>
    </row>
    <row r="491" spans="1:43">
      <c r="A491" s="331">
        <v>44609</v>
      </c>
      <c r="B491" s="332">
        <v>4380.26</v>
      </c>
      <c r="C491" s="30">
        <v>373.7</v>
      </c>
      <c r="D491" s="22">
        <f t="shared" si="14"/>
        <v>7.2179669661315074E-3</v>
      </c>
      <c r="E491" s="22">
        <f t="shared" si="15"/>
        <v>1.0136504933099068E-2</v>
      </c>
      <c r="F491" s="12"/>
      <c r="G491" s="12"/>
      <c r="H491" s="3"/>
      <c r="I491" s="3"/>
      <c r="J491" s="3"/>
      <c r="K491" s="3"/>
      <c r="L491" s="3"/>
      <c r="M491" s="3"/>
      <c r="N491" s="3"/>
      <c r="O491" s="3"/>
      <c r="P491" s="3"/>
      <c r="Q491" s="3"/>
      <c r="R491" s="3"/>
      <c r="S491" s="3"/>
      <c r="T491" s="3"/>
      <c r="U491" s="3"/>
      <c r="V491" s="47"/>
      <c r="W491" s="47"/>
      <c r="X491" s="47"/>
      <c r="Y491" s="47"/>
      <c r="Z491" s="47"/>
      <c r="AA491" s="198"/>
      <c r="AB491" s="198"/>
      <c r="AC491" s="198"/>
      <c r="AD491" s="198"/>
      <c r="AE491" s="198"/>
      <c r="AF491" s="198"/>
      <c r="AG491" s="198"/>
      <c r="AH491" s="198"/>
      <c r="AI491" s="198"/>
      <c r="AJ491" s="198"/>
      <c r="AK491" s="198"/>
      <c r="AL491" s="198"/>
      <c r="AM491" s="52"/>
      <c r="AN491" s="52"/>
      <c r="AO491" s="52"/>
      <c r="AP491" s="52"/>
      <c r="AQ491" s="52"/>
    </row>
    <row r="492" spans="1:43">
      <c r="A492" s="331">
        <v>44608</v>
      </c>
      <c r="B492" s="332">
        <v>4475.01</v>
      </c>
      <c r="C492" s="30">
        <v>382.93</v>
      </c>
      <c r="D492" s="22">
        <f t="shared" si="14"/>
        <v>2.1631136051284625E-2</v>
      </c>
      <c r="E492" s="22">
        <f t="shared" si="15"/>
        <v>2.469895638212475E-2</v>
      </c>
      <c r="F492" s="12"/>
      <c r="G492" s="12"/>
      <c r="H492" s="3"/>
      <c r="I492" s="3"/>
      <c r="J492" s="3"/>
      <c r="K492" s="3"/>
      <c r="L492" s="3"/>
      <c r="M492" s="3"/>
      <c r="N492" s="3"/>
      <c r="O492" s="3"/>
      <c r="P492" s="3"/>
      <c r="Q492" s="3"/>
      <c r="R492" s="3"/>
      <c r="S492" s="3"/>
      <c r="T492" s="3"/>
      <c r="U492" s="3"/>
      <c r="V492" s="47"/>
      <c r="W492" s="47"/>
      <c r="X492" s="47"/>
      <c r="Y492" s="47"/>
      <c r="Z492" s="47"/>
      <c r="AA492" s="198"/>
      <c r="AB492" s="198"/>
      <c r="AC492" s="198"/>
      <c r="AD492" s="198"/>
      <c r="AE492" s="198"/>
      <c r="AF492" s="198"/>
      <c r="AG492" s="198"/>
      <c r="AH492" s="198"/>
      <c r="AI492" s="198"/>
      <c r="AJ492" s="198"/>
      <c r="AK492" s="198"/>
      <c r="AL492" s="198"/>
      <c r="AM492" s="52"/>
      <c r="AN492" s="52"/>
      <c r="AO492" s="52"/>
      <c r="AP492" s="52"/>
      <c r="AQ492" s="52"/>
    </row>
    <row r="493" spans="1:43">
      <c r="A493" s="331">
        <v>44607</v>
      </c>
      <c r="B493" s="332">
        <v>4471.07</v>
      </c>
      <c r="C493" s="30">
        <v>381.54</v>
      </c>
      <c r="D493" s="22">
        <f t="shared" si="14"/>
        <v>-8.8044495989964477E-4</v>
      </c>
      <c r="E493" s="22">
        <f t="shared" si="15"/>
        <v>-3.6299062491838884E-3</v>
      </c>
      <c r="F493" s="12"/>
      <c r="G493" s="12"/>
      <c r="H493" s="3"/>
      <c r="I493" s="3"/>
      <c r="J493" s="3"/>
      <c r="K493" s="3"/>
      <c r="L493" s="3"/>
      <c r="M493" s="3"/>
      <c r="N493" s="3"/>
      <c r="O493" s="3"/>
      <c r="P493" s="3"/>
      <c r="Q493" s="3"/>
      <c r="R493" s="3"/>
      <c r="S493" s="3"/>
      <c r="T493" s="3"/>
      <c r="U493" s="3"/>
      <c r="V493" s="47"/>
      <c r="W493" s="47"/>
      <c r="X493" s="47"/>
      <c r="Y493" s="47"/>
      <c r="Z493" s="47"/>
      <c r="AA493" s="198"/>
      <c r="AB493" s="198"/>
      <c r="AC493" s="198"/>
      <c r="AD493" s="198"/>
      <c r="AE493" s="198"/>
      <c r="AF493" s="198"/>
      <c r="AG493" s="198"/>
      <c r="AH493" s="198"/>
      <c r="AI493" s="198"/>
      <c r="AJ493" s="198"/>
      <c r="AK493" s="198"/>
      <c r="AL493" s="198"/>
      <c r="AM493" s="52"/>
      <c r="AN493" s="52"/>
      <c r="AO493" s="52"/>
      <c r="AP493" s="52"/>
      <c r="AQ493" s="52"/>
    </row>
    <row r="494" spans="1:43">
      <c r="A494" s="331">
        <v>44606</v>
      </c>
      <c r="B494" s="332">
        <v>4401.67</v>
      </c>
      <c r="C494" s="30">
        <v>374.16</v>
      </c>
      <c r="D494" s="22">
        <f t="shared" si="14"/>
        <v>-1.5522011509549087E-2</v>
      </c>
      <c r="E494" s="22">
        <f t="shared" si="15"/>
        <v>-1.9342663940871193E-2</v>
      </c>
      <c r="F494" s="12"/>
      <c r="G494" s="12"/>
      <c r="H494" s="3"/>
      <c r="I494" s="3"/>
      <c r="J494" s="3"/>
      <c r="K494" s="3"/>
      <c r="L494" s="3"/>
      <c r="M494" s="3"/>
      <c r="N494" s="3"/>
      <c r="O494" s="3"/>
      <c r="P494" s="3"/>
      <c r="Q494" s="3"/>
      <c r="R494" s="3"/>
      <c r="S494" s="3"/>
      <c r="T494" s="3"/>
      <c r="U494" s="3"/>
      <c r="V494" s="47"/>
      <c r="W494" s="47"/>
      <c r="X494" s="47"/>
      <c r="Y494" s="47"/>
      <c r="Z494" s="47"/>
      <c r="AA494" s="198"/>
      <c r="AB494" s="198"/>
      <c r="AC494" s="198"/>
      <c r="AD494" s="198"/>
      <c r="AE494" s="198"/>
      <c r="AF494" s="198"/>
      <c r="AG494" s="198"/>
      <c r="AH494" s="198"/>
      <c r="AI494" s="198"/>
      <c r="AJ494" s="198"/>
      <c r="AK494" s="198"/>
      <c r="AL494" s="198"/>
      <c r="AM494" s="52"/>
      <c r="AN494" s="52"/>
      <c r="AO494" s="52"/>
      <c r="AP494" s="52"/>
      <c r="AQ494" s="52"/>
    </row>
    <row r="495" spans="1:43">
      <c r="A495" s="331">
        <v>44603</v>
      </c>
      <c r="B495" s="332">
        <v>4418.6400000000003</v>
      </c>
      <c r="C495" s="30">
        <v>369.77</v>
      </c>
      <c r="D495" s="22">
        <f t="shared" si="14"/>
        <v>3.8553548993905166E-3</v>
      </c>
      <c r="E495" s="22">
        <f t="shared" si="15"/>
        <v>-1.1732948471242365E-2</v>
      </c>
      <c r="F495" s="12"/>
      <c r="G495" s="12"/>
      <c r="H495" s="3"/>
      <c r="I495" s="3"/>
      <c r="J495" s="3"/>
      <c r="K495" s="3"/>
      <c r="L495" s="3"/>
      <c r="M495" s="3"/>
      <c r="N495" s="3"/>
      <c r="O495" s="3"/>
      <c r="P495" s="3"/>
      <c r="Q495" s="3"/>
      <c r="R495" s="3"/>
      <c r="S495" s="3"/>
      <c r="T495" s="3"/>
      <c r="U495" s="3"/>
      <c r="V495" s="47"/>
      <c r="W495" s="47"/>
      <c r="X495" s="47"/>
      <c r="Y495" s="47"/>
      <c r="Z495" s="47"/>
      <c r="AA495" s="198"/>
      <c r="AB495" s="198"/>
      <c r="AC495" s="198"/>
      <c r="AD495" s="198"/>
      <c r="AE495" s="198"/>
      <c r="AF495" s="198"/>
      <c r="AG495" s="198"/>
      <c r="AH495" s="198"/>
      <c r="AI495" s="198"/>
      <c r="AJ495" s="198"/>
      <c r="AK495" s="198"/>
      <c r="AL495" s="198"/>
      <c r="AM495" s="52"/>
      <c r="AN495" s="52"/>
      <c r="AO495" s="52"/>
      <c r="AP495" s="52"/>
      <c r="AQ495" s="52"/>
    </row>
    <row r="496" spans="1:43">
      <c r="A496" s="331">
        <v>44602</v>
      </c>
      <c r="B496" s="332">
        <v>4504.1000000000004</v>
      </c>
      <c r="C496" s="30">
        <v>374.39</v>
      </c>
      <c r="D496" s="22">
        <f t="shared" si="14"/>
        <v>1.9340792642079923E-2</v>
      </c>
      <c r="E496" s="22">
        <f t="shared" si="15"/>
        <v>1.2494253184411944E-2</v>
      </c>
      <c r="F496" s="12"/>
      <c r="G496" s="12"/>
      <c r="H496" s="3"/>
      <c r="I496" s="3"/>
      <c r="J496" s="3"/>
      <c r="K496" s="3"/>
      <c r="L496" s="3"/>
      <c r="M496" s="3"/>
      <c r="N496" s="3"/>
      <c r="O496" s="3"/>
      <c r="P496" s="3"/>
      <c r="Q496" s="3"/>
      <c r="R496" s="3"/>
      <c r="S496" s="3"/>
      <c r="T496" s="3"/>
      <c r="U496" s="3"/>
      <c r="V496" s="47"/>
      <c r="W496" s="47"/>
      <c r="X496" s="47"/>
      <c r="Y496" s="47"/>
      <c r="Z496" s="47"/>
      <c r="AA496" s="198"/>
      <c r="AB496" s="198"/>
      <c r="AC496" s="198"/>
      <c r="AD496" s="198"/>
      <c r="AE496" s="198"/>
      <c r="AF496" s="198"/>
      <c r="AG496" s="198"/>
      <c r="AH496" s="198"/>
      <c r="AI496" s="198"/>
      <c r="AJ496" s="198"/>
      <c r="AK496" s="198"/>
      <c r="AL496" s="198"/>
      <c r="AM496" s="52"/>
      <c r="AN496" s="52"/>
      <c r="AO496" s="52"/>
      <c r="AP496" s="52"/>
      <c r="AQ496" s="52"/>
    </row>
    <row r="497" spans="1:43">
      <c r="A497" s="331">
        <v>44601</v>
      </c>
      <c r="B497" s="332">
        <v>4587.2</v>
      </c>
      <c r="C497" s="30">
        <v>381.37</v>
      </c>
      <c r="D497" s="22">
        <f t="shared" si="14"/>
        <v>1.8449856797140261E-2</v>
      </c>
      <c r="E497" s="22">
        <f t="shared" si="15"/>
        <v>1.8643660354176177E-2</v>
      </c>
      <c r="F497" s="12"/>
      <c r="G497" s="12"/>
      <c r="H497" s="3"/>
      <c r="I497" s="3"/>
      <c r="J497" s="3"/>
      <c r="K497" s="3"/>
      <c r="L497" s="3"/>
      <c r="M497" s="3"/>
      <c r="N497" s="3"/>
      <c r="O497" s="3"/>
      <c r="P497" s="3"/>
      <c r="Q497" s="3"/>
      <c r="R497" s="3"/>
      <c r="S497" s="3"/>
      <c r="T497" s="3"/>
      <c r="U497" s="3"/>
      <c r="V497" s="47"/>
      <c r="W497" s="47"/>
      <c r="X497" s="47"/>
      <c r="Y497" s="47"/>
      <c r="Z497" s="47"/>
      <c r="AA497" s="198"/>
      <c r="AB497" s="198"/>
      <c r="AC497" s="198"/>
      <c r="AD497" s="198"/>
      <c r="AE497" s="198"/>
      <c r="AF497" s="198"/>
      <c r="AG497" s="198"/>
      <c r="AH497" s="198"/>
      <c r="AI497" s="198"/>
      <c r="AJ497" s="198"/>
      <c r="AK497" s="198"/>
      <c r="AL497" s="198"/>
      <c r="AM497" s="52"/>
      <c r="AN497" s="52"/>
      <c r="AO497" s="52"/>
      <c r="AP497" s="52"/>
      <c r="AQ497" s="52"/>
    </row>
    <row r="498" spans="1:43">
      <c r="A498" s="331">
        <v>44600</v>
      </c>
      <c r="B498" s="332">
        <v>4521.5</v>
      </c>
      <c r="C498" s="30">
        <v>374.37</v>
      </c>
      <c r="D498" s="22">
        <f t="shared" si="14"/>
        <v>-1.4322462504359919E-2</v>
      </c>
      <c r="E498" s="22">
        <f t="shared" si="15"/>
        <v>-1.8354878464483311E-2</v>
      </c>
      <c r="F498" s="12"/>
      <c r="G498" s="12"/>
      <c r="H498" s="3"/>
      <c r="I498" s="3"/>
      <c r="J498" s="3"/>
      <c r="K498" s="3"/>
      <c r="L498" s="3"/>
      <c r="M498" s="3"/>
      <c r="N498" s="3"/>
      <c r="O498" s="3"/>
      <c r="P498" s="3"/>
      <c r="Q498" s="3"/>
      <c r="R498" s="3"/>
      <c r="S498" s="3"/>
      <c r="T498" s="3"/>
      <c r="U498" s="3"/>
      <c r="V498" s="47"/>
      <c r="W498" s="47"/>
      <c r="X498" s="47"/>
      <c r="Y498" s="47"/>
      <c r="Z498" s="47"/>
      <c r="AA498" s="198"/>
      <c r="AB498" s="198"/>
      <c r="AC498" s="198"/>
      <c r="AD498" s="198"/>
      <c r="AE498" s="198"/>
      <c r="AF498" s="198"/>
      <c r="AG498" s="198"/>
      <c r="AH498" s="198"/>
      <c r="AI498" s="198"/>
      <c r="AJ498" s="198"/>
      <c r="AK498" s="198"/>
      <c r="AL498" s="198"/>
      <c r="AM498" s="52"/>
      <c r="AN498" s="52"/>
      <c r="AO498" s="52"/>
      <c r="AP498" s="52"/>
      <c r="AQ498" s="52"/>
    </row>
    <row r="499" spans="1:43">
      <c r="A499" s="331">
        <v>44599</v>
      </c>
      <c r="B499" s="332">
        <v>4483.8999999999996</v>
      </c>
      <c r="C499" s="30">
        <v>376.13</v>
      </c>
      <c r="D499" s="22">
        <f t="shared" si="14"/>
        <v>-8.3158243945594089E-3</v>
      </c>
      <c r="E499" s="22">
        <f t="shared" si="15"/>
        <v>4.7012314020888181E-3</v>
      </c>
      <c r="F499" s="12"/>
      <c r="G499" s="12"/>
      <c r="H499" s="3"/>
      <c r="I499" s="3"/>
      <c r="J499" s="3"/>
      <c r="K499" s="3"/>
      <c r="L499" s="3"/>
      <c r="M499" s="3"/>
      <c r="N499" s="3"/>
      <c r="O499" s="3"/>
      <c r="P499" s="3"/>
      <c r="Q499" s="3"/>
      <c r="R499" s="3"/>
      <c r="S499" s="3"/>
      <c r="T499" s="3"/>
      <c r="U499" s="3"/>
      <c r="V499" s="47"/>
      <c r="W499" s="47"/>
      <c r="X499" s="47"/>
      <c r="Y499" s="47"/>
      <c r="Z499" s="47"/>
      <c r="AA499" s="198"/>
      <c r="AB499" s="198"/>
      <c r="AC499" s="198"/>
      <c r="AD499" s="198"/>
      <c r="AE499" s="198"/>
      <c r="AF499" s="198"/>
      <c r="AG499" s="198"/>
      <c r="AH499" s="198"/>
      <c r="AI499" s="198"/>
      <c r="AJ499" s="198"/>
      <c r="AK499" s="198"/>
      <c r="AL499" s="198"/>
      <c r="AM499" s="52"/>
      <c r="AN499" s="52"/>
      <c r="AO499" s="52"/>
      <c r="AP499" s="52"/>
      <c r="AQ499" s="52"/>
    </row>
    <row r="500" spans="1:43">
      <c r="A500" s="331">
        <v>44596</v>
      </c>
      <c r="B500" s="332">
        <v>4500.5</v>
      </c>
      <c r="C500" s="30">
        <v>382.2</v>
      </c>
      <c r="D500" s="22">
        <f t="shared" si="14"/>
        <v>3.7021343027276179E-3</v>
      </c>
      <c r="E500" s="22">
        <f t="shared" si="15"/>
        <v>1.6138037380692829E-2</v>
      </c>
      <c r="F500" s="12"/>
      <c r="G500" s="12"/>
      <c r="H500" s="3"/>
      <c r="I500" s="3"/>
      <c r="J500" s="3"/>
      <c r="K500" s="3"/>
      <c r="L500" s="3"/>
      <c r="M500" s="3"/>
      <c r="N500" s="3"/>
      <c r="O500" s="3"/>
      <c r="P500" s="3"/>
      <c r="Q500" s="3"/>
      <c r="R500" s="3"/>
      <c r="S500" s="3"/>
      <c r="T500" s="3"/>
      <c r="U500" s="3"/>
      <c r="V500" s="47"/>
      <c r="W500" s="47"/>
      <c r="X500" s="47"/>
      <c r="Y500" s="47"/>
      <c r="Z500" s="47"/>
      <c r="AA500" s="198"/>
      <c r="AB500" s="198"/>
      <c r="AC500" s="198"/>
      <c r="AD500" s="198"/>
      <c r="AE500" s="198"/>
      <c r="AF500" s="198"/>
      <c r="AG500" s="198"/>
      <c r="AH500" s="198"/>
      <c r="AI500" s="198"/>
      <c r="AJ500" s="198"/>
      <c r="AK500" s="198"/>
      <c r="AL500" s="198"/>
      <c r="AM500" s="52"/>
      <c r="AN500" s="52"/>
      <c r="AO500" s="52"/>
      <c r="AP500" s="52"/>
      <c r="AQ500" s="52"/>
    </row>
    <row r="501" spans="1:43">
      <c r="A501" s="331">
        <v>44595</v>
      </c>
      <c r="B501" s="332">
        <v>4477.3999999999996</v>
      </c>
      <c r="C501" s="30">
        <v>390.07</v>
      </c>
      <c r="D501" s="22">
        <f t="shared" si="14"/>
        <v>-5.1327630263304884E-3</v>
      </c>
      <c r="E501" s="22">
        <f t="shared" si="15"/>
        <v>2.0591313448456317E-2</v>
      </c>
      <c r="F501" s="12"/>
      <c r="G501" s="12"/>
      <c r="H501" s="3"/>
      <c r="I501" s="3"/>
      <c r="J501" s="3"/>
      <c r="K501" s="3"/>
      <c r="L501" s="3"/>
      <c r="M501" s="3"/>
      <c r="N501" s="3"/>
      <c r="O501" s="3"/>
      <c r="P501" s="3"/>
      <c r="Q501" s="3"/>
      <c r="R501" s="3"/>
      <c r="S501" s="3"/>
      <c r="T501" s="3"/>
      <c r="U501" s="3"/>
      <c r="V501" s="47"/>
      <c r="W501" s="47"/>
      <c r="X501" s="47"/>
      <c r="Y501" s="47"/>
      <c r="Z501" s="47"/>
      <c r="AA501" s="198"/>
      <c r="AB501" s="198"/>
      <c r="AC501" s="198"/>
      <c r="AD501" s="198"/>
      <c r="AE501" s="198"/>
      <c r="AF501" s="198"/>
      <c r="AG501" s="198"/>
      <c r="AH501" s="198"/>
      <c r="AI501" s="198"/>
      <c r="AJ501" s="198"/>
      <c r="AK501" s="198"/>
      <c r="AL501" s="198"/>
      <c r="AM501" s="52"/>
      <c r="AN501" s="52"/>
      <c r="AO501" s="52"/>
      <c r="AP501" s="52"/>
      <c r="AQ501" s="52"/>
    </row>
    <row r="502" spans="1:43">
      <c r="A502" s="331">
        <v>44594</v>
      </c>
      <c r="B502" s="332">
        <v>4589.3999999999996</v>
      </c>
      <c r="C502" s="30">
        <v>396.75</v>
      </c>
      <c r="D502" s="22">
        <f t="shared" si="14"/>
        <v>2.5014517353821417E-2</v>
      </c>
      <c r="E502" s="22">
        <f t="shared" si="15"/>
        <v>1.7125131386674205E-2</v>
      </c>
      <c r="F502" s="12"/>
      <c r="G502" s="12"/>
      <c r="H502" s="3"/>
      <c r="I502" s="3"/>
      <c r="J502" s="3"/>
      <c r="K502" s="3"/>
      <c r="L502" s="3"/>
      <c r="M502" s="3"/>
      <c r="N502" s="3"/>
      <c r="O502" s="3"/>
      <c r="P502" s="3"/>
      <c r="Q502" s="3"/>
      <c r="R502" s="3"/>
      <c r="S502" s="3"/>
      <c r="T502" s="3"/>
      <c r="U502" s="3"/>
      <c r="V502" s="47"/>
      <c r="W502" s="47"/>
      <c r="X502" s="47"/>
      <c r="Y502" s="47"/>
      <c r="Z502" s="47"/>
      <c r="AA502" s="198"/>
      <c r="AB502" s="198"/>
      <c r="AC502" s="198"/>
      <c r="AD502" s="198"/>
      <c r="AE502" s="198"/>
      <c r="AF502" s="198"/>
      <c r="AG502" s="198"/>
      <c r="AH502" s="198"/>
      <c r="AI502" s="198"/>
      <c r="AJ502" s="198"/>
      <c r="AK502" s="198"/>
      <c r="AL502" s="198"/>
      <c r="AM502" s="52"/>
      <c r="AN502" s="52"/>
      <c r="AO502" s="52"/>
      <c r="AP502" s="52"/>
      <c r="AQ502" s="52"/>
    </row>
    <row r="503" spans="1:43">
      <c r="A503" s="331">
        <v>44593</v>
      </c>
      <c r="B503" s="332">
        <v>4546.5</v>
      </c>
      <c r="C503" s="30">
        <v>392.06</v>
      </c>
      <c r="D503" s="22">
        <f t="shared" si="14"/>
        <v>-9.3476271408026411E-3</v>
      </c>
      <c r="E503" s="22">
        <f t="shared" si="15"/>
        <v>-1.1821045998739755E-2</v>
      </c>
      <c r="F503" s="12"/>
      <c r="G503" s="12"/>
      <c r="H503" s="3"/>
      <c r="I503" s="3"/>
      <c r="J503" s="3"/>
      <c r="K503" s="3"/>
      <c r="L503" s="3"/>
      <c r="M503" s="3"/>
      <c r="N503" s="3"/>
      <c r="O503" s="3"/>
      <c r="P503" s="3"/>
      <c r="Q503" s="3"/>
      <c r="R503" s="3"/>
      <c r="S503" s="3"/>
      <c r="T503" s="3"/>
      <c r="U503" s="3"/>
      <c r="V503" s="47"/>
      <c r="W503" s="47"/>
      <c r="X503" s="47"/>
      <c r="Y503" s="47"/>
      <c r="Z503" s="47"/>
      <c r="AA503" s="198"/>
      <c r="AB503" s="198"/>
      <c r="AC503" s="198"/>
      <c r="AD503" s="198"/>
      <c r="AE503" s="198"/>
      <c r="AF503" s="198"/>
      <c r="AG503" s="198"/>
      <c r="AH503" s="198"/>
      <c r="AI503" s="198"/>
      <c r="AJ503" s="198"/>
      <c r="AK503" s="198"/>
      <c r="AL503" s="198"/>
      <c r="AM503" s="52"/>
      <c r="AN503" s="52"/>
      <c r="AO503" s="52"/>
      <c r="AP503" s="52"/>
      <c r="AQ503" s="52"/>
    </row>
    <row r="504" spans="1:43">
      <c r="A504" s="331">
        <v>44592</v>
      </c>
      <c r="B504" s="332">
        <v>4515.6000000000004</v>
      </c>
      <c r="C504" s="30">
        <v>386.38</v>
      </c>
      <c r="D504" s="22">
        <f t="shared" si="14"/>
        <v>-6.7964368195314274E-3</v>
      </c>
      <c r="E504" s="22">
        <f t="shared" si="15"/>
        <v>-1.448757843187269E-2</v>
      </c>
      <c r="F504" s="12"/>
      <c r="G504" s="12"/>
      <c r="H504" s="3"/>
      <c r="I504" s="3"/>
      <c r="J504" s="3"/>
      <c r="K504" s="3"/>
      <c r="L504" s="3"/>
      <c r="M504" s="3"/>
      <c r="N504" s="3"/>
      <c r="O504" s="3"/>
      <c r="P504" s="3"/>
      <c r="Q504" s="3"/>
      <c r="R504" s="3"/>
      <c r="S504" s="3"/>
      <c r="T504" s="3"/>
      <c r="U504" s="3"/>
      <c r="V504" s="47"/>
      <c r="W504" s="47"/>
      <c r="X504" s="47"/>
      <c r="Y504" s="47"/>
      <c r="Z504" s="47"/>
      <c r="AA504" s="198"/>
      <c r="AB504" s="198"/>
      <c r="AC504" s="198"/>
      <c r="AD504" s="198"/>
      <c r="AE504" s="198"/>
      <c r="AF504" s="198"/>
      <c r="AG504" s="198"/>
      <c r="AH504" s="198"/>
      <c r="AI504" s="198"/>
      <c r="AJ504" s="198"/>
      <c r="AK504" s="198"/>
      <c r="AL504" s="198"/>
      <c r="AM504" s="52"/>
      <c r="AN504" s="52"/>
      <c r="AO504" s="52"/>
      <c r="AP504" s="52"/>
      <c r="AQ504" s="52"/>
    </row>
    <row r="505" spans="1:43">
      <c r="A505" s="331">
        <v>44589</v>
      </c>
      <c r="B505" s="332">
        <v>4431.8999999999996</v>
      </c>
      <c r="C505" s="30">
        <v>382.51</v>
      </c>
      <c r="D505" s="22">
        <f t="shared" si="14"/>
        <v>-1.8535742758437578E-2</v>
      </c>
      <c r="E505" s="22">
        <f t="shared" si="15"/>
        <v>-1.0016046379212187E-2</v>
      </c>
      <c r="F505" s="12"/>
      <c r="G505" s="12"/>
      <c r="H505" s="3"/>
      <c r="I505" s="3"/>
      <c r="J505" s="3"/>
      <c r="K505" s="3"/>
      <c r="L505" s="3"/>
      <c r="M505" s="3"/>
      <c r="N505" s="3"/>
      <c r="O505" s="3"/>
      <c r="P505" s="3"/>
      <c r="Q505" s="3"/>
      <c r="R505" s="3"/>
      <c r="S505" s="3"/>
      <c r="T505" s="3"/>
      <c r="U505" s="3"/>
      <c r="V505" s="47"/>
      <c r="W505" s="47"/>
      <c r="X505" s="47"/>
      <c r="Y505" s="47"/>
      <c r="Z505" s="47"/>
      <c r="AA505" s="198"/>
      <c r="AB505" s="198"/>
      <c r="AC505" s="198"/>
      <c r="AD505" s="198"/>
      <c r="AE505" s="198"/>
      <c r="AF505" s="198"/>
      <c r="AG505" s="198"/>
      <c r="AH505" s="198"/>
      <c r="AI505" s="198"/>
      <c r="AJ505" s="198"/>
      <c r="AK505" s="198"/>
      <c r="AL505" s="198"/>
      <c r="AM505" s="52"/>
      <c r="AN505" s="52"/>
      <c r="AO505" s="52"/>
      <c r="AP505" s="52"/>
      <c r="AQ505" s="52"/>
    </row>
    <row r="506" spans="1:43">
      <c r="A506" s="331">
        <v>44588</v>
      </c>
      <c r="B506" s="332">
        <v>4326.5</v>
      </c>
      <c r="C506" s="30">
        <v>350.53</v>
      </c>
      <c r="D506" s="22">
        <f t="shared" si="14"/>
        <v>-2.3782125047947751E-2</v>
      </c>
      <c r="E506" s="22">
        <f t="shared" si="15"/>
        <v>-8.3605657368434866E-2</v>
      </c>
      <c r="F506" s="12"/>
      <c r="G506" s="12"/>
      <c r="H506" s="3"/>
      <c r="I506" s="3"/>
      <c r="J506" s="3"/>
      <c r="K506" s="3"/>
      <c r="L506" s="3"/>
      <c r="M506" s="3"/>
      <c r="N506" s="3"/>
      <c r="O506" s="3"/>
      <c r="P506" s="3"/>
      <c r="Q506" s="3"/>
      <c r="R506" s="3"/>
      <c r="S506" s="3"/>
      <c r="T506" s="3"/>
      <c r="U506" s="3"/>
      <c r="V506" s="47"/>
      <c r="W506" s="47"/>
      <c r="X506" s="47"/>
      <c r="Y506" s="47"/>
      <c r="Z506" s="47"/>
      <c r="AA506" s="198"/>
      <c r="AB506" s="198"/>
      <c r="AC506" s="198"/>
      <c r="AD506" s="198"/>
      <c r="AE506" s="198"/>
      <c r="AF506" s="198"/>
      <c r="AG506" s="198"/>
      <c r="AH506" s="198"/>
      <c r="AI506" s="198"/>
      <c r="AJ506" s="198"/>
      <c r="AK506" s="198"/>
      <c r="AL506" s="198"/>
      <c r="AM506" s="52"/>
      <c r="AN506" s="52"/>
      <c r="AO506" s="52"/>
      <c r="AP506" s="52"/>
      <c r="AQ506" s="52"/>
    </row>
    <row r="507" spans="1:43">
      <c r="A507" s="331">
        <v>44587</v>
      </c>
      <c r="B507" s="332">
        <v>4349.8999999999996</v>
      </c>
      <c r="C507" s="30">
        <v>344.66</v>
      </c>
      <c r="D507" s="22">
        <f t="shared" si="14"/>
        <v>5.408528833930345E-3</v>
      </c>
      <c r="E507" s="22">
        <f t="shared" si="15"/>
        <v>-1.6746070236498867E-2</v>
      </c>
      <c r="F507" s="12"/>
      <c r="G507" s="12"/>
      <c r="H507" s="3"/>
      <c r="I507" s="3"/>
      <c r="J507" s="3"/>
      <c r="K507" s="3"/>
      <c r="L507" s="3"/>
      <c r="M507" s="3"/>
      <c r="N507" s="3"/>
      <c r="O507" s="3"/>
      <c r="P507" s="3"/>
      <c r="Q507" s="3"/>
      <c r="R507" s="3"/>
      <c r="S507" s="3"/>
      <c r="T507" s="3"/>
      <c r="U507" s="3"/>
      <c r="V507" s="47"/>
      <c r="W507" s="47"/>
      <c r="X507" s="47"/>
      <c r="Y507" s="47"/>
      <c r="Z507" s="47"/>
      <c r="AA507" s="198"/>
      <c r="AB507" s="198"/>
      <c r="AC507" s="198"/>
      <c r="AD507" s="198"/>
      <c r="AE507" s="198"/>
      <c r="AF507" s="198"/>
      <c r="AG507" s="198"/>
      <c r="AH507" s="198"/>
      <c r="AI507" s="198"/>
      <c r="AJ507" s="198"/>
      <c r="AK507" s="198"/>
      <c r="AL507" s="198"/>
      <c r="AM507" s="52"/>
      <c r="AN507" s="52"/>
      <c r="AO507" s="52"/>
      <c r="AP507" s="52"/>
      <c r="AQ507" s="52"/>
    </row>
    <row r="508" spans="1:43">
      <c r="A508" s="331">
        <v>44586</v>
      </c>
      <c r="B508" s="332">
        <v>4356.3999999999996</v>
      </c>
      <c r="C508" s="30">
        <v>338.76</v>
      </c>
      <c r="D508" s="22">
        <f t="shared" si="14"/>
        <v>1.4942872249936782E-3</v>
      </c>
      <c r="E508" s="22">
        <f t="shared" si="15"/>
        <v>-1.7118319503278689E-2</v>
      </c>
      <c r="F508" s="12"/>
      <c r="G508" s="12"/>
      <c r="H508" s="3"/>
      <c r="I508" s="3"/>
      <c r="J508" s="3"/>
      <c r="K508" s="3"/>
      <c r="L508" s="3"/>
      <c r="M508" s="3"/>
      <c r="N508" s="3"/>
      <c r="O508" s="3"/>
      <c r="P508" s="3"/>
      <c r="Q508" s="3"/>
      <c r="R508" s="3"/>
      <c r="S508" s="3"/>
      <c r="T508" s="3"/>
      <c r="U508" s="3"/>
      <c r="V508" s="47"/>
      <c r="W508" s="47"/>
      <c r="X508" s="47"/>
      <c r="Y508" s="47"/>
      <c r="Z508" s="47"/>
      <c r="AA508" s="198"/>
      <c r="AB508" s="198"/>
      <c r="AC508" s="198"/>
      <c r="AD508" s="198"/>
      <c r="AE508" s="198"/>
      <c r="AF508" s="198"/>
      <c r="AG508" s="198"/>
      <c r="AH508" s="198"/>
      <c r="AI508" s="198"/>
      <c r="AJ508" s="198"/>
      <c r="AK508" s="198"/>
      <c r="AL508" s="198"/>
      <c r="AM508" s="52"/>
      <c r="AN508" s="52"/>
      <c r="AO508" s="52"/>
      <c r="AP508" s="52"/>
      <c r="AQ508" s="52"/>
    </row>
    <row r="509" spans="1:43">
      <c r="A509" s="331">
        <v>44585</v>
      </c>
      <c r="B509" s="332">
        <v>4410.1000000000004</v>
      </c>
      <c r="C509" s="30">
        <v>349.42</v>
      </c>
      <c r="D509" s="22">
        <f t="shared" si="14"/>
        <v>1.2326691763841872E-2</v>
      </c>
      <c r="E509" s="22">
        <f t="shared" si="15"/>
        <v>3.146770575038383E-2</v>
      </c>
      <c r="F509" s="12"/>
      <c r="G509" s="12"/>
      <c r="H509" s="3"/>
      <c r="I509" s="3"/>
      <c r="J509" s="3"/>
      <c r="K509" s="3"/>
      <c r="L509" s="3"/>
      <c r="M509" s="3"/>
      <c r="N509" s="3"/>
      <c r="O509" s="3"/>
      <c r="P509" s="3"/>
      <c r="Q509" s="3"/>
      <c r="R509" s="3"/>
      <c r="S509" s="3"/>
      <c r="T509" s="3"/>
      <c r="U509" s="3"/>
      <c r="V509" s="47"/>
      <c r="W509" s="47"/>
      <c r="X509" s="47"/>
      <c r="Y509" s="47"/>
      <c r="Z509" s="47"/>
      <c r="AA509" s="198"/>
      <c r="AB509" s="198"/>
      <c r="AC509" s="198"/>
      <c r="AD509" s="198"/>
      <c r="AE509" s="198"/>
      <c r="AF509" s="198"/>
      <c r="AG509" s="198"/>
      <c r="AH509" s="198"/>
      <c r="AI509" s="198"/>
      <c r="AJ509" s="198"/>
      <c r="AK509" s="198"/>
      <c r="AL509" s="198"/>
      <c r="AM509" s="52"/>
      <c r="AN509" s="52"/>
      <c r="AO509" s="52"/>
      <c r="AP509" s="52"/>
      <c r="AQ509" s="52"/>
    </row>
    <row r="510" spans="1:43">
      <c r="A510" s="331">
        <v>44582</v>
      </c>
      <c r="B510" s="332">
        <v>4397.8999999999996</v>
      </c>
      <c r="C510" s="30">
        <v>355.08</v>
      </c>
      <c r="D510" s="22">
        <f t="shared" si="14"/>
        <v>-2.766377179655955E-3</v>
      </c>
      <c r="E510" s="22">
        <f t="shared" si="15"/>
        <v>1.6198271421212204E-2</v>
      </c>
      <c r="F510" s="12"/>
      <c r="G510" s="12"/>
      <c r="H510" s="3"/>
      <c r="I510" s="3"/>
      <c r="J510" s="3"/>
      <c r="K510" s="3"/>
      <c r="L510" s="3"/>
      <c r="M510" s="3"/>
      <c r="N510" s="3"/>
      <c r="O510" s="3"/>
      <c r="P510" s="3"/>
      <c r="Q510" s="3"/>
      <c r="R510" s="3"/>
      <c r="S510" s="3"/>
      <c r="T510" s="3"/>
      <c r="U510" s="3"/>
      <c r="V510" s="47"/>
      <c r="W510" s="47"/>
      <c r="X510" s="47"/>
      <c r="Y510" s="47"/>
      <c r="Z510" s="47"/>
      <c r="AA510" s="198"/>
      <c r="AB510" s="198"/>
      <c r="AC510" s="198"/>
      <c r="AD510" s="198"/>
      <c r="AE510" s="198"/>
      <c r="AF510" s="198"/>
      <c r="AG510" s="198"/>
      <c r="AH510" s="198"/>
      <c r="AI510" s="198"/>
      <c r="AJ510" s="198"/>
      <c r="AK510" s="198"/>
      <c r="AL510" s="198"/>
      <c r="AM510" s="52"/>
      <c r="AN510" s="52"/>
      <c r="AO510" s="52"/>
      <c r="AP510" s="52"/>
      <c r="AQ510" s="52"/>
    </row>
    <row r="511" spans="1:43">
      <c r="A511" s="331">
        <v>44581</v>
      </c>
      <c r="B511" s="332">
        <v>4482.7</v>
      </c>
      <c r="C511" s="30">
        <v>364</v>
      </c>
      <c r="D511" s="22">
        <f t="shared" si="14"/>
        <v>1.9281930012051248E-2</v>
      </c>
      <c r="E511" s="22">
        <f t="shared" si="15"/>
        <v>2.5121099470541895E-2</v>
      </c>
      <c r="F511" s="12"/>
      <c r="G511" s="12"/>
      <c r="H511" s="3"/>
      <c r="I511" s="3"/>
      <c r="J511" s="3"/>
      <c r="K511" s="3"/>
      <c r="L511" s="3"/>
      <c r="M511" s="3"/>
      <c r="N511" s="3"/>
      <c r="O511" s="3"/>
      <c r="P511" s="3"/>
      <c r="Q511" s="3"/>
      <c r="R511" s="3"/>
      <c r="S511" s="3"/>
      <c r="T511" s="3"/>
      <c r="U511" s="3"/>
      <c r="V511" s="47"/>
      <c r="W511" s="47"/>
      <c r="X511" s="47"/>
      <c r="Y511" s="47"/>
      <c r="Z511" s="47"/>
      <c r="AA511" s="198"/>
      <c r="AB511" s="198"/>
      <c r="AC511" s="198"/>
      <c r="AD511" s="198"/>
      <c r="AE511" s="198"/>
      <c r="AF511" s="198"/>
      <c r="AG511" s="198"/>
      <c r="AH511" s="198"/>
      <c r="AI511" s="198"/>
      <c r="AJ511" s="198"/>
      <c r="AK511" s="198"/>
      <c r="AL511" s="198"/>
      <c r="AM511" s="52"/>
      <c r="AN511" s="52"/>
      <c r="AO511" s="52"/>
      <c r="AP511" s="52"/>
      <c r="AQ511" s="52"/>
    </row>
    <row r="512" spans="1:43">
      <c r="A512" s="331">
        <v>44580</v>
      </c>
      <c r="B512" s="332">
        <v>4532.8</v>
      </c>
      <c r="C512" s="30">
        <v>360.73</v>
      </c>
      <c r="D512" s="22">
        <f t="shared" si="14"/>
        <v>1.1176299997769283E-2</v>
      </c>
      <c r="E512" s="22">
        <f t="shared" si="15"/>
        <v>-8.9835164835164339E-3</v>
      </c>
      <c r="F512" s="12"/>
      <c r="G512" s="12"/>
      <c r="H512" s="3"/>
      <c r="I512" s="3"/>
      <c r="J512" s="3"/>
      <c r="K512" s="3"/>
      <c r="L512" s="3"/>
      <c r="M512" s="3"/>
      <c r="N512" s="3"/>
      <c r="O512" s="3"/>
      <c r="P512" s="3"/>
      <c r="Q512" s="3"/>
      <c r="R512" s="3"/>
      <c r="S512" s="3"/>
      <c r="T512" s="3"/>
      <c r="U512" s="3"/>
      <c r="V512" s="47"/>
      <c r="W512" s="47"/>
      <c r="X512" s="47"/>
      <c r="Y512" s="47"/>
      <c r="Z512" s="47"/>
      <c r="AA512" s="198"/>
      <c r="AB512" s="198"/>
      <c r="AC512" s="198"/>
      <c r="AD512" s="198"/>
      <c r="AE512" s="198"/>
      <c r="AF512" s="198"/>
      <c r="AG512" s="198"/>
      <c r="AH512" s="198"/>
      <c r="AI512" s="198"/>
      <c r="AJ512" s="198"/>
      <c r="AK512" s="198"/>
      <c r="AL512" s="198"/>
      <c r="AM512" s="52"/>
      <c r="AN512" s="52"/>
      <c r="AO512" s="52"/>
      <c r="AP512" s="52"/>
      <c r="AQ512" s="52"/>
    </row>
    <row r="513" spans="1:43">
      <c r="A513" s="331">
        <v>44579</v>
      </c>
      <c r="B513" s="332">
        <v>4577.1000000000004</v>
      </c>
      <c r="C513" s="30">
        <v>366.3</v>
      </c>
      <c r="D513" s="22">
        <f t="shared" si="14"/>
        <v>9.7732086127780143E-3</v>
      </c>
      <c r="E513" s="22">
        <f t="shared" si="15"/>
        <v>1.5440911485044196E-2</v>
      </c>
      <c r="F513" s="12"/>
      <c r="G513" s="12"/>
      <c r="H513" s="3"/>
      <c r="I513" s="3"/>
      <c r="J513" s="3"/>
      <c r="K513" s="3"/>
      <c r="L513" s="3"/>
      <c r="M513" s="3"/>
      <c r="N513" s="3"/>
      <c r="O513" s="3"/>
      <c r="P513" s="3"/>
      <c r="Q513" s="3"/>
      <c r="R513" s="3"/>
      <c r="S513" s="3"/>
      <c r="T513" s="3"/>
      <c r="U513" s="3"/>
      <c r="V513" s="47"/>
      <c r="W513" s="47"/>
      <c r="X513" s="47"/>
      <c r="Y513" s="47"/>
      <c r="Z513" s="47"/>
      <c r="AA513" s="198"/>
      <c r="AB513" s="198"/>
      <c r="AC513" s="198"/>
      <c r="AD513" s="198"/>
      <c r="AE513" s="198"/>
      <c r="AF513" s="198"/>
      <c r="AG513" s="198"/>
      <c r="AH513" s="198"/>
      <c r="AI513" s="198"/>
      <c r="AJ513" s="198"/>
      <c r="AK513" s="198"/>
      <c r="AL513" s="198"/>
      <c r="AM513" s="52"/>
      <c r="AN513" s="52"/>
      <c r="AO513" s="52"/>
      <c r="AP513" s="52"/>
      <c r="AQ513" s="52"/>
    </row>
    <row r="514" spans="1:43">
      <c r="A514" s="331">
        <v>44575</v>
      </c>
      <c r="B514" s="332">
        <v>4662.8999999999996</v>
      </c>
      <c r="C514" s="30">
        <v>372.14</v>
      </c>
      <c r="D514" s="22">
        <f t="shared" si="14"/>
        <v>1.8745493871665304E-2</v>
      </c>
      <c r="E514" s="22">
        <f t="shared" si="15"/>
        <v>1.5943215943215874E-2</v>
      </c>
      <c r="F514" s="12"/>
      <c r="G514" s="12"/>
      <c r="H514" s="3"/>
      <c r="I514" s="3"/>
      <c r="J514" s="3"/>
      <c r="K514" s="3"/>
      <c r="L514" s="3"/>
      <c r="M514" s="3"/>
      <c r="N514" s="3"/>
      <c r="O514" s="3"/>
      <c r="P514" s="3"/>
      <c r="Q514" s="3"/>
      <c r="R514" s="3"/>
      <c r="S514" s="3"/>
      <c r="T514" s="3"/>
      <c r="U514" s="3"/>
      <c r="V514" s="47"/>
      <c r="W514" s="47"/>
      <c r="X514" s="47"/>
      <c r="Y514" s="47"/>
      <c r="Z514" s="47"/>
      <c r="AA514" s="198"/>
      <c r="AB514" s="198"/>
      <c r="AC514" s="198"/>
      <c r="AD514" s="198"/>
      <c r="AE514" s="198"/>
      <c r="AF514" s="198"/>
      <c r="AG514" s="198"/>
      <c r="AH514" s="198"/>
      <c r="AI514" s="198"/>
      <c r="AJ514" s="198"/>
      <c r="AK514" s="198"/>
      <c r="AL514" s="198"/>
      <c r="AM514" s="52"/>
      <c r="AN514" s="52"/>
      <c r="AO514" s="52"/>
      <c r="AP514" s="52"/>
      <c r="AQ514" s="52"/>
    </row>
    <row r="515" spans="1:43">
      <c r="A515" s="331">
        <v>44574</v>
      </c>
      <c r="B515" s="332">
        <v>4659</v>
      </c>
      <c r="C515" s="30">
        <v>369.52</v>
      </c>
      <c r="D515" s="22">
        <f t="shared" si="14"/>
        <v>-8.3638937142114058E-4</v>
      </c>
      <c r="E515" s="22">
        <f t="shared" si="15"/>
        <v>-7.0403611544042691E-3</v>
      </c>
      <c r="F515" s="12"/>
      <c r="G515" s="12"/>
      <c r="H515" s="3"/>
      <c r="I515" s="3"/>
      <c r="J515" s="3"/>
      <c r="K515" s="3"/>
      <c r="L515" s="3"/>
      <c r="M515" s="3"/>
      <c r="N515" s="3"/>
      <c r="O515" s="3"/>
      <c r="P515" s="3"/>
      <c r="Q515" s="3"/>
      <c r="R515" s="3"/>
      <c r="S515" s="3"/>
      <c r="T515" s="3"/>
      <c r="U515" s="3"/>
      <c r="V515" s="47"/>
      <c r="W515" s="47"/>
      <c r="X515" s="47"/>
      <c r="Y515" s="47"/>
      <c r="Z515" s="47"/>
      <c r="AA515" s="198"/>
      <c r="AB515" s="198"/>
      <c r="AC515" s="198"/>
      <c r="AD515" s="198"/>
      <c r="AE515" s="198"/>
      <c r="AF515" s="198"/>
      <c r="AG515" s="198"/>
      <c r="AH515" s="198"/>
      <c r="AI515" s="198"/>
      <c r="AJ515" s="198"/>
      <c r="AK515" s="198"/>
      <c r="AL515" s="198"/>
      <c r="AM515" s="52"/>
      <c r="AN515" s="52"/>
      <c r="AO515" s="52"/>
      <c r="AP515" s="52"/>
      <c r="AQ515" s="52"/>
    </row>
    <row r="516" spans="1:43">
      <c r="A516" s="331">
        <v>44573</v>
      </c>
      <c r="B516" s="332">
        <v>4726.3999999999996</v>
      </c>
      <c r="C516" s="30">
        <v>367.31</v>
      </c>
      <c r="D516" s="22">
        <f t="shared" ref="D516:D523" si="16">(B516-B515)/B515</f>
        <v>1.4466623738999707E-2</v>
      </c>
      <c r="E516" s="22">
        <f t="shared" si="15"/>
        <v>-5.9807317601211834E-3</v>
      </c>
      <c r="F516" s="12"/>
      <c r="G516" s="12"/>
      <c r="H516" s="3"/>
      <c r="I516" s="3"/>
      <c r="J516" s="3"/>
      <c r="K516" s="3"/>
      <c r="L516" s="3"/>
      <c r="M516" s="3"/>
      <c r="N516" s="3"/>
      <c r="O516" s="3"/>
      <c r="P516" s="3"/>
      <c r="Q516" s="3"/>
      <c r="R516" s="3"/>
      <c r="S516" s="3"/>
      <c r="T516" s="3"/>
      <c r="U516" s="3"/>
      <c r="V516" s="47"/>
      <c r="W516" s="47"/>
      <c r="X516" s="47"/>
      <c r="Y516" s="47"/>
      <c r="Z516" s="47"/>
      <c r="AA516" s="198"/>
      <c r="AB516" s="198"/>
      <c r="AC516" s="198"/>
      <c r="AD516" s="198"/>
      <c r="AE516" s="198"/>
      <c r="AF516" s="198"/>
      <c r="AG516" s="198"/>
      <c r="AH516" s="198"/>
      <c r="AI516" s="198"/>
      <c r="AJ516" s="198"/>
      <c r="AK516" s="198"/>
      <c r="AL516" s="198"/>
      <c r="AM516" s="52"/>
      <c r="AN516" s="52"/>
      <c r="AO516" s="52"/>
      <c r="AP516" s="52"/>
      <c r="AQ516" s="52"/>
    </row>
    <row r="517" spans="1:43">
      <c r="A517" s="331">
        <v>44572</v>
      </c>
      <c r="B517" s="332">
        <v>4713.1000000000004</v>
      </c>
      <c r="C517" s="30">
        <v>366.29</v>
      </c>
      <c r="D517" s="22">
        <f t="shared" si="16"/>
        <v>-2.8139810426538749E-3</v>
      </c>
      <c r="E517" s="22">
        <f t="shared" ref="E517:E523" si="17">(C517-C516)/C516</f>
        <v>-2.776945904004742E-3</v>
      </c>
      <c r="F517" s="12"/>
      <c r="G517" s="12"/>
      <c r="H517" s="3"/>
      <c r="I517" s="3"/>
      <c r="J517" s="3"/>
      <c r="K517" s="3"/>
      <c r="L517" s="3"/>
      <c r="M517" s="3"/>
      <c r="N517" s="3"/>
      <c r="O517" s="3"/>
      <c r="P517" s="3"/>
      <c r="Q517" s="3"/>
      <c r="R517" s="3"/>
      <c r="S517" s="3"/>
      <c r="T517" s="3"/>
      <c r="U517" s="3"/>
      <c r="V517" s="47"/>
      <c r="W517" s="47"/>
      <c r="X517" s="47"/>
      <c r="Y517" s="47"/>
      <c r="Z517" s="47"/>
      <c r="AA517" s="198"/>
      <c r="AB517" s="198"/>
      <c r="AC517" s="198"/>
      <c r="AD517" s="198"/>
      <c r="AE517" s="198"/>
      <c r="AF517" s="198"/>
      <c r="AG517" s="198"/>
      <c r="AH517" s="198"/>
      <c r="AI517" s="198"/>
      <c r="AJ517" s="198"/>
      <c r="AK517" s="198"/>
      <c r="AL517" s="198"/>
      <c r="AM517" s="52"/>
      <c r="AN517" s="52"/>
      <c r="AO517" s="52"/>
      <c r="AP517" s="52"/>
      <c r="AQ517" s="52"/>
    </row>
    <row r="518" spans="1:43">
      <c r="A518" s="331">
        <v>44571</v>
      </c>
      <c r="B518" s="332">
        <v>4670.3</v>
      </c>
      <c r="C518" s="30">
        <v>363.91</v>
      </c>
      <c r="D518" s="22">
        <f t="shared" si="16"/>
        <v>-9.081071905964265E-3</v>
      </c>
      <c r="E518" s="22">
        <f t="shared" si="17"/>
        <v>-6.4975838816238368E-3</v>
      </c>
      <c r="F518" s="12"/>
      <c r="G518" s="12"/>
      <c r="H518" s="3"/>
      <c r="I518" s="3"/>
      <c r="J518" s="3"/>
      <c r="K518" s="3"/>
      <c r="L518" s="3"/>
      <c r="M518" s="3"/>
      <c r="N518" s="3"/>
      <c r="O518" s="3"/>
      <c r="P518" s="3"/>
      <c r="Q518" s="3"/>
      <c r="R518" s="3"/>
      <c r="S518" s="3"/>
      <c r="T518" s="3"/>
      <c r="U518" s="3"/>
      <c r="V518" s="47"/>
      <c r="W518" s="47"/>
      <c r="X518" s="47"/>
      <c r="Y518" s="47"/>
      <c r="Z518" s="47"/>
      <c r="AA518" s="198"/>
      <c r="AB518" s="198"/>
      <c r="AC518" s="198"/>
      <c r="AD518" s="198"/>
      <c r="AE518" s="198"/>
      <c r="AF518" s="198"/>
      <c r="AG518" s="198"/>
      <c r="AH518" s="198"/>
      <c r="AI518" s="198"/>
      <c r="AJ518" s="198"/>
      <c r="AK518" s="198"/>
      <c r="AL518" s="198"/>
      <c r="AM518" s="52"/>
      <c r="AN518" s="52"/>
      <c r="AO518" s="52"/>
      <c r="AP518" s="52"/>
      <c r="AQ518" s="52"/>
    </row>
    <row r="519" spans="1:43">
      <c r="A519" s="331">
        <v>44568</v>
      </c>
      <c r="B519" s="332">
        <v>4677</v>
      </c>
      <c r="C519" s="30">
        <v>369.65</v>
      </c>
      <c r="D519" s="22">
        <f t="shared" si="16"/>
        <v>1.4345973492066501E-3</v>
      </c>
      <c r="E519" s="22">
        <f t="shared" si="17"/>
        <v>1.5773130719133721E-2</v>
      </c>
      <c r="F519" s="12"/>
      <c r="G519" s="12"/>
      <c r="H519" s="3"/>
      <c r="I519" s="3"/>
      <c r="J519" s="3"/>
      <c r="K519" s="3"/>
      <c r="L519" s="3"/>
      <c r="M519" s="3"/>
      <c r="N519" s="3"/>
      <c r="O519" s="3"/>
      <c r="P519" s="3"/>
      <c r="Q519" s="3"/>
      <c r="R519" s="3"/>
      <c r="S519" s="3"/>
      <c r="T519" s="3"/>
      <c r="U519" s="3"/>
      <c r="V519" s="47"/>
      <c r="W519" s="47"/>
      <c r="X519" s="47"/>
      <c r="Y519" s="47"/>
      <c r="Z519" s="47"/>
      <c r="AA519" s="198"/>
      <c r="AB519" s="198"/>
      <c r="AC519" s="198"/>
      <c r="AD519" s="198"/>
      <c r="AE519" s="198"/>
      <c r="AF519" s="198"/>
      <c r="AG519" s="198"/>
      <c r="AH519" s="198"/>
      <c r="AI519" s="198"/>
      <c r="AJ519" s="198"/>
      <c r="AK519" s="198"/>
      <c r="AL519" s="198"/>
      <c r="AM519" s="52"/>
      <c r="AN519" s="52"/>
      <c r="AO519" s="52"/>
      <c r="AP519" s="52"/>
      <c r="AQ519" s="52"/>
    </row>
    <row r="520" spans="1:43">
      <c r="A520" s="331">
        <v>44567</v>
      </c>
      <c r="B520" s="332">
        <v>4696.1000000000004</v>
      </c>
      <c r="C520" s="30">
        <v>370</v>
      </c>
      <c r="D520" s="22">
        <f t="shared" si="16"/>
        <v>4.0838144109472665E-3</v>
      </c>
      <c r="E520" s="22">
        <f t="shared" si="17"/>
        <v>9.4684160692553156E-4</v>
      </c>
      <c r="F520" s="12"/>
      <c r="G520" s="12"/>
      <c r="H520" s="3"/>
      <c r="I520" s="3"/>
      <c r="J520" s="3"/>
      <c r="K520" s="3"/>
      <c r="L520" s="3"/>
      <c r="M520" s="3"/>
      <c r="N520" s="3"/>
      <c r="O520" s="3"/>
      <c r="P520" s="3"/>
      <c r="Q520" s="3"/>
      <c r="R520" s="3"/>
      <c r="S520" s="3"/>
      <c r="T520" s="3"/>
      <c r="U520" s="3"/>
      <c r="V520" s="47"/>
      <c r="W520" s="47"/>
      <c r="X520" s="47"/>
      <c r="Y520" s="47"/>
      <c r="Z520" s="47"/>
      <c r="AA520" s="198"/>
      <c r="AB520" s="198"/>
      <c r="AC520" s="198"/>
      <c r="AD520" s="198"/>
      <c r="AE520" s="198"/>
      <c r="AF520" s="198"/>
      <c r="AG520" s="198"/>
      <c r="AH520" s="198"/>
      <c r="AI520" s="198"/>
      <c r="AJ520" s="198"/>
      <c r="AK520" s="198"/>
      <c r="AL520" s="198"/>
      <c r="AM520" s="52"/>
      <c r="AN520" s="52"/>
      <c r="AO520" s="52"/>
      <c r="AP520" s="52"/>
      <c r="AQ520" s="52"/>
    </row>
    <row r="521" spans="1:43">
      <c r="A521" s="331">
        <v>44566</v>
      </c>
      <c r="B521" s="332">
        <v>4700.6000000000004</v>
      </c>
      <c r="C521" s="30">
        <v>373.9</v>
      </c>
      <c r="D521" s="22">
        <f t="shared" si="16"/>
        <v>9.5824194544409181E-4</v>
      </c>
      <c r="E521" s="22">
        <f t="shared" si="17"/>
        <v>1.054054054054048E-2</v>
      </c>
      <c r="F521" s="12"/>
      <c r="G521" s="12"/>
      <c r="H521" s="3"/>
      <c r="I521" s="3"/>
      <c r="J521" s="3"/>
      <c r="K521" s="3"/>
      <c r="L521" s="3"/>
      <c r="M521" s="3"/>
      <c r="N521" s="3"/>
      <c r="O521" s="3"/>
      <c r="P521" s="3"/>
      <c r="Q521" s="3"/>
      <c r="R521" s="3"/>
      <c r="S521" s="3"/>
      <c r="T521" s="3"/>
      <c r="U521" s="3"/>
      <c r="V521" s="47"/>
      <c r="W521" s="47"/>
      <c r="X521" s="47"/>
      <c r="Y521" s="47"/>
      <c r="Z521" s="47"/>
      <c r="AA521" s="198"/>
      <c r="AB521" s="198"/>
      <c r="AC521" s="198"/>
      <c r="AD521" s="198"/>
      <c r="AE521" s="198"/>
      <c r="AF521" s="198"/>
      <c r="AG521" s="198"/>
      <c r="AH521" s="198"/>
      <c r="AI521" s="198"/>
      <c r="AJ521" s="198"/>
      <c r="AK521" s="198"/>
      <c r="AL521" s="198"/>
      <c r="AM521" s="52"/>
      <c r="AN521" s="52"/>
      <c r="AO521" s="52"/>
      <c r="AP521" s="52"/>
      <c r="AQ521" s="52"/>
    </row>
    <row r="522" spans="1:43">
      <c r="A522" s="331">
        <v>44565</v>
      </c>
      <c r="B522" s="332">
        <v>4793.5</v>
      </c>
      <c r="C522" s="30">
        <v>375.39</v>
      </c>
      <c r="D522" s="22">
        <f t="shared" si="16"/>
        <v>1.9763434455175855E-2</v>
      </c>
      <c r="E522" s="22">
        <f t="shared" si="17"/>
        <v>3.9850227333511883E-3</v>
      </c>
      <c r="F522" s="12"/>
      <c r="G522" s="12"/>
      <c r="H522" s="3"/>
      <c r="I522" s="3"/>
      <c r="J522" s="3"/>
      <c r="K522" s="3"/>
      <c r="L522" s="3"/>
      <c r="M522" s="3"/>
      <c r="N522" s="3"/>
      <c r="O522" s="3"/>
      <c r="P522" s="3"/>
      <c r="Q522" s="3"/>
      <c r="R522" s="3"/>
      <c r="S522" s="3"/>
      <c r="T522" s="3"/>
      <c r="U522" s="3"/>
      <c r="V522" s="47"/>
      <c r="W522" s="47"/>
      <c r="X522" s="47"/>
      <c r="Y522" s="47"/>
      <c r="Z522" s="47"/>
      <c r="AA522" s="198"/>
      <c r="AB522" s="198"/>
      <c r="AC522" s="198"/>
      <c r="AD522" s="198"/>
      <c r="AE522" s="198"/>
      <c r="AF522" s="198"/>
      <c r="AG522" s="198"/>
      <c r="AH522" s="198"/>
      <c r="AI522" s="198"/>
      <c r="AJ522" s="198"/>
      <c r="AK522" s="198"/>
      <c r="AL522" s="198"/>
      <c r="AM522" s="52"/>
      <c r="AN522" s="52"/>
      <c r="AO522" s="52"/>
      <c r="AP522" s="52"/>
      <c r="AQ522" s="52"/>
    </row>
    <row r="523" spans="1:43">
      <c r="A523" s="331">
        <v>44564</v>
      </c>
      <c r="B523" s="332">
        <v>4796.6000000000004</v>
      </c>
      <c r="C523" s="30">
        <v>370.95</v>
      </c>
      <c r="D523" s="22">
        <f t="shared" si="16"/>
        <v>6.4670908521964404E-4</v>
      </c>
      <c r="E523" s="22">
        <f t="shared" si="17"/>
        <v>-1.1827699192839441E-2</v>
      </c>
      <c r="F523" s="12"/>
      <c r="G523" s="12"/>
      <c r="H523" s="3"/>
      <c r="I523" s="3"/>
      <c r="J523" s="3"/>
      <c r="K523" s="3"/>
      <c r="L523" s="3"/>
      <c r="M523" s="3"/>
      <c r="N523" s="3"/>
      <c r="O523" s="3"/>
      <c r="P523" s="3"/>
      <c r="Q523" s="3"/>
      <c r="R523" s="3"/>
      <c r="S523" s="3"/>
      <c r="T523" s="3"/>
      <c r="U523" s="3"/>
      <c r="V523" s="47"/>
      <c r="W523" s="47"/>
      <c r="X523" s="47"/>
      <c r="Y523" s="47"/>
      <c r="Z523" s="47"/>
      <c r="AA523" s="198"/>
      <c r="AB523" s="198"/>
      <c r="AC523" s="198"/>
      <c r="AD523" s="198"/>
      <c r="AE523" s="198"/>
      <c r="AF523" s="198"/>
      <c r="AG523" s="198"/>
      <c r="AH523" s="198"/>
      <c r="AI523" s="198"/>
      <c r="AJ523" s="198"/>
      <c r="AK523" s="198"/>
      <c r="AL523" s="198"/>
      <c r="AM523" s="52"/>
      <c r="AN523" s="52"/>
      <c r="AO523" s="52"/>
      <c r="AP523" s="52"/>
      <c r="AQ523" s="52"/>
    </row>
    <row r="524" spans="1:43">
      <c r="A524" s="300"/>
      <c r="B524" s="476"/>
      <c r="C524" s="12"/>
      <c r="D524" s="22"/>
      <c r="E524" s="22"/>
      <c r="F524" s="12"/>
      <c r="G524" s="12"/>
      <c r="H524" s="3"/>
      <c r="I524" s="3"/>
      <c r="J524" s="3"/>
      <c r="K524" s="3"/>
      <c r="L524" s="3"/>
      <c r="M524" s="3"/>
      <c r="N524" s="3"/>
      <c r="O524" s="3"/>
      <c r="P524" s="3"/>
      <c r="Q524" s="3"/>
      <c r="R524" s="3"/>
      <c r="S524" s="3"/>
      <c r="T524" s="3"/>
      <c r="U524" s="3"/>
      <c r="V524" s="47"/>
      <c r="W524" s="47"/>
      <c r="X524" s="47"/>
      <c r="Y524" s="47"/>
      <c r="Z524" s="47"/>
      <c r="AA524" s="198"/>
      <c r="AB524" s="198"/>
      <c r="AC524" s="198"/>
      <c r="AD524" s="198"/>
      <c r="AE524" s="198"/>
      <c r="AF524" s="198"/>
      <c r="AG524" s="198"/>
      <c r="AH524" s="198"/>
      <c r="AI524" s="198"/>
      <c r="AJ524" s="198"/>
      <c r="AK524" s="198"/>
      <c r="AL524" s="198"/>
      <c r="AM524" s="52"/>
      <c r="AN524" s="52"/>
      <c r="AO524" s="52"/>
      <c r="AP524" s="52"/>
      <c r="AQ524" s="52"/>
    </row>
    <row r="525" spans="1:43">
      <c r="A525" s="300"/>
      <c r="B525" s="476"/>
      <c r="C525" s="12"/>
      <c r="D525" s="22"/>
      <c r="E525" s="22"/>
      <c r="F525" s="12"/>
      <c r="G525" s="12"/>
      <c r="H525" s="3"/>
      <c r="I525" s="3"/>
      <c r="J525" s="3"/>
      <c r="K525" s="3"/>
      <c r="L525" s="3"/>
      <c r="M525" s="3"/>
      <c r="N525" s="3"/>
      <c r="O525" s="3"/>
      <c r="P525" s="3"/>
      <c r="Q525" s="3"/>
      <c r="R525" s="3"/>
      <c r="S525" s="3"/>
      <c r="T525" s="3"/>
      <c r="U525" s="3"/>
      <c r="V525" s="47"/>
      <c r="W525" s="47"/>
      <c r="X525" s="47"/>
      <c r="Y525" s="47"/>
      <c r="Z525" s="47"/>
      <c r="AA525" s="198"/>
      <c r="AB525" s="198"/>
      <c r="AC525" s="198"/>
      <c r="AD525" s="198"/>
      <c r="AE525" s="198"/>
      <c r="AF525" s="198"/>
      <c r="AG525" s="198"/>
      <c r="AH525" s="198"/>
      <c r="AI525" s="198"/>
      <c r="AJ525" s="198"/>
      <c r="AK525" s="198"/>
      <c r="AL525" s="198"/>
      <c r="AM525" s="52"/>
      <c r="AN525" s="52"/>
      <c r="AO525" s="52"/>
      <c r="AP525" s="52"/>
      <c r="AQ525" s="52"/>
    </row>
    <row r="526" spans="1:43">
      <c r="A526" s="300"/>
      <c r="B526" s="476"/>
      <c r="C526" s="12"/>
      <c r="D526" s="22"/>
      <c r="E526" s="22"/>
      <c r="F526" s="12"/>
      <c r="G526" s="12"/>
      <c r="H526" s="3"/>
      <c r="I526" s="3"/>
      <c r="J526" s="3"/>
      <c r="K526" s="3"/>
      <c r="L526" s="3"/>
      <c r="M526" s="3"/>
      <c r="N526" s="3"/>
      <c r="O526" s="3"/>
      <c r="P526" s="3"/>
      <c r="Q526" s="3"/>
      <c r="R526" s="3"/>
      <c r="S526" s="3"/>
      <c r="T526" s="3"/>
      <c r="U526" s="3"/>
      <c r="V526" s="47"/>
      <c r="W526" s="47"/>
      <c r="X526" s="47"/>
      <c r="Y526" s="47"/>
      <c r="Z526" s="47"/>
      <c r="AA526" s="198"/>
      <c r="AB526" s="198"/>
      <c r="AC526" s="198"/>
      <c r="AD526" s="198"/>
      <c r="AE526" s="198"/>
      <c r="AF526" s="198"/>
      <c r="AG526" s="198"/>
      <c r="AH526" s="198"/>
      <c r="AI526" s="198"/>
      <c r="AJ526" s="198"/>
      <c r="AK526" s="198"/>
      <c r="AL526" s="198"/>
      <c r="AM526" s="52"/>
      <c r="AN526" s="52"/>
      <c r="AO526" s="52"/>
      <c r="AP526" s="52"/>
      <c r="AQ526" s="52"/>
    </row>
    <row r="527" spans="1:43">
      <c r="A527" s="150"/>
      <c r="B527" s="477"/>
      <c r="C527" s="125"/>
      <c r="D527" s="478"/>
      <c r="E527" s="478"/>
      <c r="F527" s="125"/>
      <c r="G527" s="125"/>
      <c r="H527" s="53"/>
      <c r="I527" s="53"/>
      <c r="J527" s="53"/>
      <c r="K527" s="53"/>
      <c r="L527" s="53"/>
      <c r="M527" s="53"/>
      <c r="N527" s="53"/>
      <c r="O527" s="53"/>
      <c r="P527" s="53"/>
      <c r="Q527" s="53"/>
      <c r="R527" s="53"/>
      <c r="S527" s="53"/>
      <c r="T527" s="53"/>
      <c r="U527" s="53"/>
      <c r="V527" s="50"/>
      <c r="W527" s="50"/>
      <c r="X527" s="50"/>
      <c r="Y527" s="50"/>
      <c r="Z527" s="50"/>
      <c r="AA527" s="57"/>
      <c r="AB527" s="57"/>
      <c r="AC527" s="57"/>
      <c r="AD527" s="57"/>
      <c r="AE527" s="57"/>
      <c r="AF527" s="57"/>
      <c r="AG527" s="57"/>
      <c r="AH527" s="57"/>
      <c r="AI527" s="57"/>
      <c r="AJ527" s="57"/>
      <c r="AK527" s="57"/>
      <c r="AL527" s="57"/>
      <c r="AM527" s="52"/>
      <c r="AN527" s="52"/>
      <c r="AO527" s="52"/>
      <c r="AP527" s="52"/>
      <c r="AQ527" s="52"/>
    </row>
    <row r="528" spans="1:43">
      <c r="A528" s="150"/>
      <c r="B528" s="477"/>
      <c r="C528" s="125"/>
      <c r="D528" s="478"/>
      <c r="E528" s="478"/>
      <c r="F528" s="125"/>
      <c r="G528" s="125"/>
      <c r="H528" s="53"/>
      <c r="I528" s="53"/>
      <c r="J528" s="53"/>
      <c r="K528" s="53"/>
      <c r="L528" s="53"/>
      <c r="M528" s="53"/>
      <c r="N528" s="53"/>
      <c r="O528" s="53"/>
      <c r="P528" s="53"/>
      <c r="Q528" s="53"/>
      <c r="R528" s="53"/>
      <c r="S528" s="53"/>
      <c r="T528" s="53"/>
      <c r="U528" s="53"/>
      <c r="V528" s="50"/>
      <c r="W528" s="50"/>
      <c r="X528" s="50"/>
      <c r="Y528" s="50"/>
      <c r="Z528" s="50"/>
      <c r="AA528" s="57"/>
      <c r="AB528" s="57"/>
      <c r="AC528" s="57"/>
      <c r="AD528" s="57"/>
      <c r="AE528" s="57"/>
      <c r="AF528" s="57"/>
      <c r="AG528" s="57"/>
      <c r="AH528" s="57"/>
      <c r="AI528" s="57"/>
      <c r="AJ528" s="57"/>
      <c r="AK528" s="57"/>
      <c r="AL528" s="57"/>
      <c r="AM528" s="52"/>
      <c r="AN528" s="52"/>
      <c r="AO528" s="52"/>
      <c r="AP528" s="52"/>
      <c r="AQ528" s="52"/>
    </row>
    <row r="529" spans="1:43">
      <c r="A529" s="150"/>
      <c r="B529" s="477"/>
      <c r="C529" s="125"/>
      <c r="D529" s="478"/>
      <c r="E529" s="478"/>
      <c r="F529" s="125"/>
      <c r="G529" s="125"/>
      <c r="H529" s="53"/>
      <c r="I529" s="53"/>
      <c r="J529" s="53"/>
      <c r="K529" s="53"/>
      <c r="L529" s="53"/>
      <c r="M529" s="53"/>
      <c r="N529" s="53"/>
      <c r="O529" s="53"/>
      <c r="P529" s="53"/>
      <c r="Q529" s="53"/>
      <c r="R529" s="53"/>
      <c r="S529" s="53"/>
      <c r="T529" s="53"/>
      <c r="U529" s="53"/>
      <c r="V529" s="50"/>
      <c r="W529" s="50"/>
      <c r="X529" s="50"/>
      <c r="Y529" s="50"/>
      <c r="Z529" s="50"/>
      <c r="AA529" s="57"/>
      <c r="AB529" s="57"/>
      <c r="AC529" s="57"/>
      <c r="AD529" s="57"/>
      <c r="AE529" s="57"/>
      <c r="AF529" s="57"/>
      <c r="AG529" s="57"/>
      <c r="AH529" s="57"/>
      <c r="AI529" s="57"/>
      <c r="AJ529" s="57"/>
      <c r="AK529" s="57"/>
      <c r="AL529" s="57"/>
      <c r="AM529" s="52"/>
      <c r="AN529" s="52"/>
      <c r="AO529" s="52"/>
      <c r="AP529" s="52"/>
      <c r="AQ529" s="52"/>
    </row>
    <row r="530" spans="1:43">
      <c r="A530" s="150"/>
      <c r="B530" s="477"/>
      <c r="C530" s="125"/>
      <c r="D530" s="478"/>
      <c r="E530" s="478"/>
      <c r="F530" s="125"/>
      <c r="G530" s="125"/>
      <c r="H530" s="53"/>
      <c r="I530" s="53"/>
      <c r="J530" s="53"/>
      <c r="K530" s="53"/>
      <c r="L530" s="53"/>
      <c r="M530" s="53"/>
      <c r="N530" s="53"/>
      <c r="O530" s="53"/>
      <c r="P530" s="53"/>
      <c r="Q530" s="53"/>
      <c r="R530" s="53"/>
      <c r="S530" s="53"/>
      <c r="T530" s="53"/>
      <c r="U530" s="53"/>
      <c r="V530" s="50"/>
      <c r="W530" s="50"/>
      <c r="X530" s="50"/>
      <c r="Y530" s="50"/>
      <c r="Z530" s="50"/>
      <c r="AA530" s="57"/>
      <c r="AB530" s="57"/>
      <c r="AC530" s="57"/>
      <c r="AD530" s="57"/>
      <c r="AE530" s="57"/>
      <c r="AF530" s="57"/>
      <c r="AG530" s="57"/>
      <c r="AH530" s="57"/>
      <c r="AI530" s="57"/>
      <c r="AJ530" s="57"/>
      <c r="AK530" s="57"/>
      <c r="AL530" s="57"/>
      <c r="AM530" s="52"/>
      <c r="AN530" s="52"/>
      <c r="AO530" s="52"/>
      <c r="AP530" s="52"/>
      <c r="AQ530" s="52"/>
    </row>
    <row r="531" spans="1:43">
      <c r="A531" s="150"/>
      <c r="B531" s="477"/>
      <c r="C531" s="125"/>
      <c r="D531" s="478"/>
      <c r="E531" s="478"/>
      <c r="F531" s="125"/>
      <c r="G531" s="125"/>
      <c r="H531" s="53"/>
      <c r="I531" s="53"/>
      <c r="J531" s="53"/>
      <c r="K531" s="53"/>
      <c r="L531" s="53"/>
      <c r="M531" s="53"/>
      <c r="N531" s="53"/>
      <c r="O531" s="53"/>
      <c r="P531" s="53"/>
      <c r="Q531" s="53"/>
      <c r="R531" s="53"/>
      <c r="S531" s="53"/>
      <c r="T531" s="53"/>
      <c r="U531" s="53"/>
      <c r="V531" s="50"/>
      <c r="W531" s="50"/>
      <c r="X531" s="50"/>
      <c r="Y531" s="50"/>
      <c r="Z531" s="50"/>
      <c r="AA531" s="57"/>
      <c r="AB531" s="57"/>
      <c r="AC531" s="57"/>
      <c r="AD531" s="57"/>
      <c r="AE531" s="57"/>
      <c r="AF531" s="57"/>
      <c r="AG531" s="57"/>
      <c r="AH531" s="57"/>
      <c r="AI531" s="57"/>
      <c r="AJ531" s="57"/>
      <c r="AK531" s="57"/>
      <c r="AL531" s="57"/>
      <c r="AM531" s="52"/>
      <c r="AN531" s="52"/>
      <c r="AO531" s="52"/>
      <c r="AP531" s="52"/>
      <c r="AQ531" s="52"/>
    </row>
    <row r="532" spans="1:43">
      <c r="A532" s="150"/>
      <c r="B532" s="477"/>
      <c r="C532" s="125"/>
      <c r="D532" s="478"/>
      <c r="E532" s="478"/>
      <c r="F532" s="125"/>
      <c r="G532" s="125"/>
      <c r="H532" s="53"/>
      <c r="I532" s="53"/>
      <c r="J532" s="53"/>
      <c r="K532" s="53"/>
      <c r="L532" s="53"/>
      <c r="M532" s="53"/>
      <c r="N532" s="53"/>
      <c r="O532" s="53"/>
      <c r="P532" s="53"/>
      <c r="Q532" s="53"/>
      <c r="R532" s="53"/>
      <c r="S532" s="53"/>
      <c r="T532" s="53"/>
      <c r="U532" s="53"/>
      <c r="V532" s="50"/>
      <c r="W532" s="50"/>
      <c r="X532" s="50"/>
      <c r="Y532" s="50"/>
      <c r="Z532" s="50"/>
      <c r="AA532" s="57"/>
      <c r="AB532" s="57"/>
      <c r="AC532" s="57"/>
      <c r="AD532" s="57"/>
      <c r="AE532" s="57"/>
      <c r="AF532" s="57"/>
      <c r="AG532" s="57"/>
      <c r="AH532" s="57"/>
      <c r="AI532" s="57"/>
      <c r="AJ532" s="57"/>
      <c r="AK532" s="57"/>
      <c r="AL532" s="57"/>
      <c r="AM532" s="52"/>
      <c r="AN532" s="52"/>
      <c r="AO532" s="52"/>
      <c r="AP532" s="52"/>
      <c r="AQ532" s="52"/>
    </row>
    <row r="533" spans="1:43">
      <c r="A533" s="150"/>
      <c r="B533" s="477"/>
      <c r="C533" s="125"/>
      <c r="D533" s="478"/>
      <c r="E533" s="478"/>
      <c r="F533" s="125"/>
      <c r="G533" s="125"/>
      <c r="H533" s="53"/>
      <c r="I533" s="53"/>
      <c r="J533" s="53"/>
      <c r="K533" s="53"/>
      <c r="L533" s="53"/>
      <c r="M533" s="53"/>
      <c r="N533" s="53"/>
      <c r="O533" s="53"/>
      <c r="P533" s="53"/>
      <c r="Q533" s="53"/>
      <c r="R533" s="53"/>
      <c r="S533" s="53"/>
      <c r="T533" s="53"/>
      <c r="U533" s="53"/>
      <c r="V533" s="50"/>
      <c r="W533" s="50"/>
      <c r="X533" s="50"/>
      <c r="Y533" s="50"/>
      <c r="Z533" s="50"/>
      <c r="AA533" s="57"/>
      <c r="AB533" s="57"/>
      <c r="AC533" s="57"/>
      <c r="AD533" s="57"/>
      <c r="AE533" s="57"/>
      <c r="AF533" s="57"/>
      <c r="AG533" s="57"/>
      <c r="AH533" s="57"/>
      <c r="AI533" s="57"/>
      <c r="AJ533" s="57"/>
      <c r="AK533" s="57"/>
      <c r="AL533" s="57"/>
      <c r="AM533" s="52"/>
      <c r="AN533" s="52"/>
      <c r="AO533" s="52"/>
      <c r="AP533" s="52"/>
      <c r="AQ533" s="52"/>
    </row>
    <row r="534" spans="1:43">
      <c r="A534" s="150"/>
      <c r="B534" s="477"/>
      <c r="C534" s="125"/>
      <c r="D534" s="478"/>
      <c r="E534" s="478"/>
      <c r="F534" s="125"/>
      <c r="G534" s="125"/>
      <c r="H534" s="53"/>
      <c r="I534" s="53"/>
      <c r="J534" s="53"/>
      <c r="K534" s="53"/>
      <c r="L534" s="53"/>
      <c r="M534" s="53"/>
      <c r="N534" s="53"/>
      <c r="O534" s="53"/>
      <c r="P534" s="53"/>
      <c r="Q534" s="53"/>
      <c r="R534" s="53"/>
      <c r="S534" s="53"/>
      <c r="T534" s="53"/>
      <c r="U534" s="53"/>
      <c r="V534" s="50"/>
      <c r="W534" s="50"/>
      <c r="X534" s="50"/>
      <c r="Y534" s="50"/>
      <c r="Z534" s="50"/>
      <c r="AA534" s="57"/>
      <c r="AB534" s="57"/>
      <c r="AC534" s="57"/>
      <c r="AD534" s="57"/>
      <c r="AE534" s="57"/>
      <c r="AF534" s="57"/>
      <c r="AG534" s="57"/>
      <c r="AH534" s="57"/>
      <c r="AI534" s="57"/>
      <c r="AJ534" s="57"/>
      <c r="AK534" s="57"/>
      <c r="AL534" s="57"/>
      <c r="AM534" s="52"/>
      <c r="AN534" s="52"/>
      <c r="AO534" s="52"/>
      <c r="AP534" s="52"/>
      <c r="AQ534" s="52"/>
    </row>
    <row r="535" spans="1:43">
      <c r="A535" s="150"/>
      <c r="B535" s="477"/>
      <c r="C535" s="125"/>
      <c r="D535" s="478"/>
      <c r="E535" s="478"/>
      <c r="F535" s="125"/>
      <c r="G535" s="125"/>
      <c r="H535" s="53"/>
      <c r="I535" s="53"/>
      <c r="J535" s="53"/>
      <c r="K535" s="53"/>
      <c r="L535" s="53"/>
      <c r="M535" s="53"/>
      <c r="N535" s="53"/>
      <c r="O535" s="53"/>
      <c r="P535" s="53"/>
      <c r="Q535" s="53"/>
      <c r="R535" s="53"/>
      <c r="S535" s="53"/>
      <c r="T535" s="53"/>
      <c r="U535" s="53"/>
      <c r="V535" s="50"/>
      <c r="W535" s="50"/>
      <c r="X535" s="50"/>
      <c r="Y535" s="50"/>
      <c r="Z535" s="50"/>
      <c r="AA535" s="57"/>
      <c r="AB535" s="57"/>
      <c r="AC535" s="57"/>
      <c r="AD535" s="57"/>
      <c r="AE535" s="57"/>
      <c r="AF535" s="57"/>
      <c r="AG535" s="57"/>
      <c r="AH535" s="57"/>
      <c r="AI535" s="57"/>
      <c r="AJ535" s="57"/>
      <c r="AK535" s="57"/>
      <c r="AL535" s="57"/>
      <c r="AM535" s="52"/>
      <c r="AN535" s="52"/>
      <c r="AO535" s="52"/>
      <c r="AP535" s="52"/>
      <c r="AQ535" s="52"/>
    </row>
    <row r="536" spans="1:43">
      <c r="A536" s="150"/>
      <c r="B536" s="477"/>
      <c r="C536" s="125"/>
      <c r="D536" s="478"/>
      <c r="E536" s="478"/>
      <c r="F536" s="125"/>
      <c r="G536" s="125"/>
      <c r="H536" s="53"/>
      <c r="I536" s="53"/>
      <c r="J536" s="53"/>
      <c r="K536" s="53"/>
      <c r="L536" s="53"/>
      <c r="M536" s="53"/>
      <c r="N536" s="53"/>
      <c r="O536" s="53"/>
      <c r="P536" s="53"/>
      <c r="Q536" s="53"/>
      <c r="R536" s="53"/>
      <c r="S536" s="53"/>
      <c r="T536" s="53"/>
      <c r="U536" s="53"/>
      <c r="V536" s="50"/>
      <c r="W536" s="50"/>
      <c r="X536" s="50"/>
      <c r="Y536" s="50"/>
      <c r="Z536" s="50"/>
      <c r="AA536" s="57"/>
      <c r="AB536" s="57"/>
      <c r="AC536" s="57"/>
      <c r="AD536" s="57"/>
      <c r="AE536" s="57"/>
      <c r="AF536" s="57"/>
      <c r="AG536" s="57"/>
      <c r="AH536" s="57"/>
      <c r="AI536" s="57"/>
      <c r="AJ536" s="57"/>
      <c r="AK536" s="57"/>
      <c r="AL536" s="57"/>
      <c r="AM536" s="52"/>
      <c r="AN536" s="52"/>
      <c r="AO536" s="52"/>
      <c r="AP536" s="52"/>
      <c r="AQ536" s="52"/>
    </row>
    <row r="537" spans="1:43">
      <c r="A537" s="150"/>
      <c r="B537" s="477"/>
      <c r="C537" s="125"/>
      <c r="D537" s="478"/>
      <c r="E537" s="478"/>
      <c r="F537" s="125"/>
      <c r="G537" s="125"/>
      <c r="H537" s="53"/>
      <c r="I537" s="53"/>
      <c r="J537" s="53"/>
      <c r="K537" s="53"/>
      <c r="L537" s="53"/>
      <c r="M537" s="53"/>
      <c r="N537" s="53"/>
      <c r="O537" s="53"/>
      <c r="P537" s="53"/>
      <c r="Q537" s="53"/>
      <c r="R537" s="53"/>
      <c r="S537" s="53"/>
      <c r="T537" s="53"/>
      <c r="U537" s="53"/>
      <c r="V537" s="50"/>
      <c r="W537" s="50"/>
      <c r="X537" s="50"/>
      <c r="Y537" s="50"/>
      <c r="Z537" s="50"/>
      <c r="AA537" s="57"/>
      <c r="AB537" s="57"/>
      <c r="AC537" s="57"/>
      <c r="AD537" s="57"/>
      <c r="AE537" s="57"/>
      <c r="AF537" s="57"/>
      <c r="AG537" s="57"/>
      <c r="AH537" s="57"/>
      <c r="AI537" s="57"/>
      <c r="AJ537" s="57"/>
      <c r="AK537" s="57"/>
      <c r="AL537" s="57"/>
      <c r="AM537" s="52"/>
      <c r="AN537" s="52"/>
      <c r="AO537" s="52"/>
      <c r="AP537" s="52"/>
      <c r="AQ537" s="52"/>
    </row>
    <row r="538" spans="1:43">
      <c r="A538" s="150"/>
      <c r="B538" s="477"/>
      <c r="C538" s="125"/>
      <c r="D538" s="478"/>
      <c r="E538" s="478"/>
      <c r="F538" s="125"/>
      <c r="G538" s="125"/>
      <c r="H538" s="53"/>
      <c r="I538" s="53"/>
      <c r="J538" s="53"/>
      <c r="K538" s="53"/>
      <c r="L538" s="53"/>
      <c r="M538" s="53"/>
      <c r="N538" s="53"/>
      <c r="O538" s="53"/>
      <c r="P538" s="53"/>
      <c r="Q538" s="53"/>
      <c r="R538" s="53"/>
      <c r="S538" s="53"/>
      <c r="T538" s="53"/>
      <c r="U538" s="53"/>
      <c r="V538" s="50"/>
      <c r="W538" s="50"/>
      <c r="X538" s="50"/>
      <c r="Y538" s="50"/>
      <c r="Z538" s="50"/>
      <c r="AA538" s="57"/>
      <c r="AB538" s="57"/>
      <c r="AC538" s="57"/>
      <c r="AD538" s="57"/>
      <c r="AE538" s="57"/>
      <c r="AF538" s="57"/>
      <c r="AG538" s="57"/>
      <c r="AH538" s="57"/>
      <c r="AI538" s="57"/>
      <c r="AJ538" s="57"/>
      <c r="AK538" s="57"/>
      <c r="AL538" s="57"/>
      <c r="AM538" s="52"/>
      <c r="AN538" s="52"/>
      <c r="AO538" s="52"/>
      <c r="AP538" s="52"/>
      <c r="AQ538" s="52"/>
    </row>
    <row r="539" spans="1:43">
      <c r="A539" s="150"/>
      <c r="B539" s="477"/>
      <c r="C539" s="125"/>
      <c r="D539" s="478"/>
      <c r="E539" s="478"/>
      <c r="F539" s="125"/>
      <c r="G539" s="125"/>
      <c r="H539" s="53"/>
      <c r="I539" s="53"/>
      <c r="J539" s="53"/>
      <c r="K539" s="53"/>
      <c r="L539" s="53"/>
      <c r="M539" s="53"/>
      <c r="N539" s="53"/>
      <c r="O539" s="53"/>
      <c r="P539" s="53"/>
      <c r="Q539" s="53"/>
      <c r="R539" s="53"/>
      <c r="S539" s="53"/>
      <c r="T539" s="53"/>
      <c r="U539" s="53"/>
      <c r="V539" s="50"/>
      <c r="W539" s="50"/>
      <c r="X539" s="50"/>
      <c r="Y539" s="50"/>
      <c r="Z539" s="50"/>
      <c r="AA539" s="57"/>
      <c r="AB539" s="57"/>
      <c r="AC539" s="57"/>
      <c r="AD539" s="57"/>
      <c r="AE539" s="57"/>
      <c r="AF539" s="57"/>
      <c r="AG539" s="57"/>
      <c r="AH539" s="57"/>
      <c r="AI539" s="57"/>
      <c r="AJ539" s="57"/>
      <c r="AK539" s="57"/>
      <c r="AL539" s="57"/>
      <c r="AM539" s="52"/>
      <c r="AN539" s="52"/>
      <c r="AO539" s="52"/>
      <c r="AP539" s="52"/>
      <c r="AQ539" s="52"/>
    </row>
    <row r="540" spans="1:43">
      <c r="A540" s="150"/>
      <c r="B540" s="477"/>
      <c r="C540" s="125"/>
      <c r="D540" s="478"/>
      <c r="E540" s="478"/>
      <c r="F540" s="125"/>
      <c r="G540" s="125"/>
      <c r="H540" s="53"/>
      <c r="I540" s="53"/>
      <c r="J540" s="53"/>
      <c r="K540" s="53"/>
      <c r="L540" s="53"/>
      <c r="M540" s="53"/>
      <c r="N540" s="53"/>
      <c r="O540" s="53"/>
      <c r="P540" s="53"/>
      <c r="Q540" s="53"/>
      <c r="R540" s="53"/>
      <c r="S540" s="53"/>
      <c r="T540" s="53"/>
      <c r="U540" s="53"/>
      <c r="V540" s="50"/>
      <c r="W540" s="50"/>
      <c r="X540" s="50"/>
      <c r="Y540" s="50"/>
      <c r="Z540" s="50"/>
      <c r="AA540" s="57"/>
      <c r="AB540" s="57"/>
      <c r="AC540" s="57"/>
      <c r="AD540" s="57"/>
      <c r="AE540" s="57"/>
      <c r="AF540" s="57"/>
      <c r="AG540" s="57"/>
      <c r="AH540" s="57"/>
      <c r="AI540" s="57"/>
      <c r="AJ540" s="57"/>
      <c r="AK540" s="57"/>
      <c r="AL540" s="57"/>
      <c r="AM540" s="52"/>
      <c r="AN540" s="52"/>
      <c r="AO540" s="52"/>
      <c r="AP540" s="52"/>
      <c r="AQ540" s="52"/>
    </row>
    <row r="541" spans="1:43">
      <c r="A541" s="150"/>
      <c r="B541" s="477"/>
      <c r="C541" s="125"/>
      <c r="D541" s="478"/>
      <c r="E541" s="478"/>
      <c r="F541" s="125"/>
      <c r="G541" s="125"/>
      <c r="H541" s="53"/>
      <c r="I541" s="53"/>
      <c r="J541" s="53"/>
      <c r="K541" s="53"/>
      <c r="L541" s="53"/>
      <c r="M541" s="53"/>
      <c r="N541" s="53"/>
      <c r="O541" s="53"/>
      <c r="P541" s="53"/>
      <c r="Q541" s="53"/>
      <c r="R541" s="53"/>
      <c r="S541" s="53"/>
      <c r="T541" s="53"/>
      <c r="U541" s="53"/>
      <c r="V541" s="50"/>
      <c r="W541" s="50"/>
      <c r="X541" s="50"/>
      <c r="Y541" s="50"/>
      <c r="Z541" s="50"/>
      <c r="AA541" s="57"/>
      <c r="AB541" s="57"/>
      <c r="AC541" s="57"/>
      <c r="AD541" s="57"/>
      <c r="AE541" s="57"/>
      <c r="AF541" s="57"/>
      <c r="AG541" s="57"/>
      <c r="AH541" s="57"/>
      <c r="AI541" s="57"/>
      <c r="AJ541" s="57"/>
      <c r="AK541" s="57"/>
      <c r="AL541" s="57"/>
      <c r="AM541" s="52"/>
      <c r="AN541" s="52"/>
      <c r="AO541" s="52"/>
      <c r="AP541" s="52"/>
      <c r="AQ541" s="52"/>
    </row>
    <row r="542" spans="1:43">
      <c r="A542" s="150"/>
      <c r="B542" s="477"/>
      <c r="C542" s="125"/>
      <c r="D542" s="478"/>
      <c r="E542" s="478"/>
      <c r="F542" s="125"/>
      <c r="G542" s="125"/>
      <c r="H542" s="53"/>
      <c r="I542" s="53"/>
      <c r="J542" s="53"/>
      <c r="K542" s="53"/>
      <c r="L542" s="53"/>
      <c r="M542" s="53"/>
      <c r="N542" s="53"/>
      <c r="O542" s="53"/>
      <c r="P542" s="53"/>
      <c r="Q542" s="53"/>
      <c r="R542" s="53"/>
      <c r="S542" s="53"/>
      <c r="T542" s="53"/>
      <c r="U542" s="53"/>
      <c r="V542" s="50"/>
      <c r="W542" s="50"/>
      <c r="X542" s="50"/>
      <c r="Y542" s="50"/>
      <c r="Z542" s="50"/>
      <c r="AA542" s="57"/>
      <c r="AB542" s="57"/>
      <c r="AC542" s="57"/>
      <c r="AD542" s="57"/>
      <c r="AE542" s="57"/>
      <c r="AF542" s="57"/>
      <c r="AG542" s="57"/>
      <c r="AH542" s="57"/>
      <c r="AI542" s="57"/>
      <c r="AJ542" s="57"/>
      <c r="AK542" s="57"/>
      <c r="AL542" s="57"/>
      <c r="AM542" s="52"/>
      <c r="AN542" s="52"/>
      <c r="AO542" s="52"/>
      <c r="AP542" s="52"/>
      <c r="AQ542" s="52"/>
    </row>
    <row r="543" spans="1:43">
      <c r="A543" s="150"/>
      <c r="B543" s="477"/>
      <c r="C543" s="125"/>
      <c r="D543" s="478"/>
      <c r="E543" s="478"/>
      <c r="F543" s="125"/>
      <c r="G543" s="125"/>
      <c r="H543" s="53"/>
      <c r="I543" s="53"/>
      <c r="J543" s="53"/>
      <c r="K543" s="53"/>
      <c r="L543" s="53"/>
      <c r="M543" s="53"/>
      <c r="N543" s="53"/>
      <c r="O543" s="53"/>
      <c r="P543" s="53"/>
      <c r="Q543" s="53"/>
      <c r="R543" s="53"/>
      <c r="S543" s="53"/>
      <c r="T543" s="53"/>
      <c r="U543" s="53"/>
      <c r="V543" s="50"/>
      <c r="W543" s="50"/>
      <c r="X543" s="50"/>
      <c r="Y543" s="50"/>
      <c r="Z543" s="50"/>
      <c r="AA543" s="57"/>
      <c r="AB543" s="57"/>
      <c r="AC543" s="57"/>
      <c r="AD543" s="57"/>
      <c r="AE543" s="57"/>
      <c r="AF543" s="57"/>
      <c r="AG543" s="57"/>
      <c r="AH543" s="57"/>
      <c r="AI543" s="57"/>
      <c r="AJ543" s="57"/>
      <c r="AK543" s="57"/>
      <c r="AL543" s="57"/>
      <c r="AM543" s="52"/>
      <c r="AN543" s="52"/>
      <c r="AO543" s="52"/>
      <c r="AP543" s="52"/>
      <c r="AQ543" s="52"/>
    </row>
    <row r="544" spans="1:43">
      <c r="A544" s="150"/>
      <c r="B544" s="477"/>
      <c r="C544" s="125"/>
      <c r="D544" s="478"/>
      <c r="E544" s="478"/>
      <c r="F544" s="125"/>
      <c r="G544" s="125"/>
      <c r="H544" s="53"/>
      <c r="I544" s="53"/>
      <c r="J544" s="53"/>
      <c r="K544" s="53"/>
      <c r="L544" s="53"/>
      <c r="M544" s="53"/>
      <c r="N544" s="53"/>
      <c r="O544" s="53"/>
      <c r="P544" s="53"/>
      <c r="Q544" s="53"/>
      <c r="R544" s="53"/>
      <c r="S544" s="53"/>
      <c r="T544" s="53"/>
      <c r="U544" s="53"/>
      <c r="V544" s="50"/>
      <c r="W544" s="50"/>
      <c r="X544" s="50"/>
      <c r="Y544" s="50"/>
      <c r="Z544" s="50"/>
      <c r="AA544" s="57"/>
      <c r="AB544" s="57"/>
      <c r="AC544" s="57"/>
      <c r="AD544" s="57"/>
      <c r="AE544" s="57"/>
      <c r="AF544" s="57"/>
      <c r="AG544" s="57"/>
      <c r="AH544" s="57"/>
      <c r="AI544" s="57"/>
      <c r="AJ544" s="57"/>
      <c r="AK544" s="57"/>
      <c r="AL544" s="57"/>
      <c r="AM544" s="52"/>
      <c r="AN544" s="52"/>
      <c r="AO544" s="52"/>
      <c r="AP544" s="52"/>
      <c r="AQ544" s="52"/>
    </row>
    <row r="545" spans="1:43">
      <c r="A545" s="150"/>
      <c r="B545" s="477"/>
      <c r="C545" s="125"/>
      <c r="D545" s="478"/>
      <c r="E545" s="478"/>
      <c r="F545" s="125"/>
      <c r="G545" s="125"/>
      <c r="H545" s="53"/>
      <c r="I545" s="53"/>
      <c r="J545" s="53"/>
      <c r="K545" s="53"/>
      <c r="L545" s="53"/>
      <c r="M545" s="53"/>
      <c r="N545" s="53"/>
      <c r="O545" s="53"/>
      <c r="P545" s="53"/>
      <c r="Q545" s="53"/>
      <c r="R545" s="53"/>
      <c r="S545" s="53"/>
      <c r="T545" s="53"/>
      <c r="U545" s="53"/>
      <c r="V545" s="50"/>
      <c r="W545" s="50"/>
      <c r="X545" s="50"/>
      <c r="Y545" s="50"/>
      <c r="Z545" s="50"/>
      <c r="AA545" s="57"/>
      <c r="AB545" s="57"/>
      <c r="AC545" s="57"/>
      <c r="AD545" s="57"/>
      <c r="AE545" s="57"/>
      <c r="AF545" s="57"/>
      <c r="AG545" s="57"/>
      <c r="AH545" s="57"/>
      <c r="AI545" s="57"/>
      <c r="AJ545" s="57"/>
      <c r="AK545" s="57"/>
      <c r="AL545" s="57"/>
      <c r="AM545" s="52"/>
      <c r="AN545" s="52"/>
      <c r="AO545" s="52"/>
      <c r="AP545" s="52"/>
      <c r="AQ545" s="52"/>
    </row>
    <row r="546" spans="1:43">
      <c r="A546" s="150"/>
      <c r="B546" s="477"/>
      <c r="C546" s="125"/>
      <c r="D546" s="478"/>
      <c r="E546" s="478"/>
      <c r="F546" s="125"/>
      <c r="G546" s="125"/>
      <c r="H546" s="53"/>
      <c r="I546" s="53"/>
      <c r="J546" s="53"/>
      <c r="K546" s="53"/>
      <c r="L546" s="53"/>
      <c r="M546" s="53"/>
      <c r="N546" s="53"/>
      <c r="O546" s="53"/>
      <c r="P546" s="53"/>
      <c r="Q546" s="53"/>
      <c r="R546" s="53"/>
      <c r="S546" s="53"/>
      <c r="T546" s="53"/>
      <c r="U546" s="53"/>
      <c r="V546" s="50"/>
      <c r="W546" s="50"/>
      <c r="X546" s="50"/>
      <c r="Y546" s="50"/>
      <c r="Z546" s="50"/>
      <c r="AA546" s="57"/>
      <c r="AB546" s="57"/>
      <c r="AC546" s="57"/>
      <c r="AD546" s="57"/>
      <c r="AE546" s="57"/>
      <c r="AF546" s="57"/>
      <c r="AG546" s="57"/>
      <c r="AH546" s="57"/>
      <c r="AI546" s="57"/>
      <c r="AJ546" s="57"/>
      <c r="AK546" s="57"/>
      <c r="AL546" s="57"/>
      <c r="AM546" s="52"/>
      <c r="AN546" s="52"/>
      <c r="AO546" s="52"/>
      <c r="AP546" s="52"/>
      <c r="AQ546" s="52"/>
    </row>
    <row r="547" spans="1:43">
      <c r="A547" s="150"/>
      <c r="B547" s="477"/>
      <c r="C547" s="125"/>
      <c r="D547" s="478"/>
      <c r="E547" s="478"/>
      <c r="F547" s="125"/>
      <c r="G547" s="125"/>
      <c r="H547" s="53"/>
      <c r="I547" s="53"/>
      <c r="J547" s="53"/>
      <c r="K547" s="53"/>
      <c r="L547" s="53"/>
      <c r="M547" s="53"/>
      <c r="N547" s="53"/>
      <c r="O547" s="53"/>
      <c r="P547" s="53"/>
      <c r="Q547" s="53"/>
      <c r="R547" s="53"/>
      <c r="S547" s="53"/>
      <c r="T547" s="53"/>
      <c r="U547" s="53"/>
      <c r="V547" s="50"/>
      <c r="W547" s="50"/>
      <c r="X547" s="50"/>
      <c r="Y547" s="50"/>
      <c r="Z547" s="50"/>
      <c r="AA547" s="57"/>
      <c r="AB547" s="57"/>
      <c r="AC547" s="57"/>
      <c r="AD547" s="57"/>
      <c r="AE547" s="57"/>
      <c r="AF547" s="57"/>
      <c r="AG547" s="57"/>
      <c r="AH547" s="57"/>
      <c r="AI547" s="57"/>
      <c r="AJ547" s="57"/>
      <c r="AK547" s="57"/>
      <c r="AL547" s="57"/>
      <c r="AM547" s="52"/>
      <c r="AN547" s="52"/>
      <c r="AO547" s="52"/>
      <c r="AP547" s="52"/>
      <c r="AQ547" s="52"/>
    </row>
    <row r="548" spans="1:43">
      <c r="A548" s="150"/>
      <c r="B548" s="477"/>
      <c r="C548" s="125"/>
      <c r="D548" s="478"/>
      <c r="E548" s="478"/>
      <c r="F548" s="125"/>
      <c r="G548" s="125"/>
      <c r="H548" s="53"/>
      <c r="I548" s="53"/>
      <c r="J548" s="53"/>
      <c r="K548" s="53"/>
      <c r="L548" s="53"/>
      <c r="M548" s="53"/>
      <c r="N548" s="53"/>
      <c r="O548" s="53"/>
      <c r="P548" s="53"/>
      <c r="Q548" s="53"/>
      <c r="R548" s="53"/>
      <c r="S548" s="53"/>
      <c r="T548" s="53"/>
      <c r="U548" s="53"/>
      <c r="V548" s="50"/>
      <c r="W548" s="50"/>
      <c r="X548" s="50"/>
      <c r="Y548" s="50"/>
      <c r="Z548" s="50"/>
      <c r="AA548" s="57"/>
      <c r="AB548" s="57"/>
      <c r="AC548" s="57"/>
      <c r="AD548" s="57"/>
      <c r="AE548" s="57"/>
      <c r="AF548" s="57"/>
      <c r="AG548" s="57"/>
      <c r="AH548" s="57"/>
      <c r="AI548" s="57"/>
      <c r="AJ548" s="57"/>
      <c r="AK548" s="57"/>
      <c r="AL548" s="57"/>
      <c r="AM548" s="52"/>
      <c r="AN548" s="52"/>
      <c r="AO548" s="52"/>
      <c r="AP548" s="52"/>
      <c r="AQ548" s="52"/>
    </row>
    <row r="549" spans="1:43">
      <c r="A549" s="150"/>
      <c r="B549" s="477"/>
      <c r="C549" s="125"/>
      <c r="D549" s="478"/>
      <c r="E549" s="478"/>
      <c r="F549" s="125"/>
      <c r="G549" s="125"/>
      <c r="H549" s="53"/>
      <c r="I549" s="53"/>
      <c r="J549" s="53"/>
      <c r="K549" s="53"/>
      <c r="L549" s="53"/>
      <c r="M549" s="53"/>
      <c r="N549" s="53"/>
      <c r="O549" s="53"/>
      <c r="P549" s="53"/>
      <c r="Q549" s="53"/>
      <c r="R549" s="53"/>
      <c r="S549" s="53"/>
      <c r="T549" s="53"/>
      <c r="U549" s="53"/>
      <c r="V549" s="50"/>
      <c r="W549" s="50"/>
      <c r="X549" s="50"/>
      <c r="Y549" s="50"/>
      <c r="Z549" s="50"/>
      <c r="AA549" s="57"/>
      <c r="AB549" s="57"/>
      <c r="AC549" s="57"/>
      <c r="AD549" s="57"/>
      <c r="AE549" s="57"/>
      <c r="AF549" s="57"/>
      <c r="AG549" s="57"/>
      <c r="AH549" s="57"/>
      <c r="AI549" s="57"/>
      <c r="AJ549" s="57"/>
      <c r="AK549" s="57"/>
      <c r="AL549" s="57"/>
      <c r="AM549" s="52"/>
      <c r="AN549" s="52"/>
      <c r="AO549" s="52"/>
      <c r="AP549" s="52"/>
      <c r="AQ549" s="52"/>
    </row>
    <row r="550" spans="1:43">
      <c r="A550" s="150"/>
      <c r="B550" s="477"/>
      <c r="C550" s="125"/>
      <c r="D550" s="478"/>
      <c r="E550" s="478"/>
      <c r="F550" s="125"/>
      <c r="G550" s="125"/>
      <c r="H550" s="53"/>
      <c r="I550" s="53"/>
      <c r="J550" s="53"/>
      <c r="K550" s="53"/>
      <c r="L550" s="53"/>
      <c r="M550" s="53"/>
      <c r="N550" s="53"/>
      <c r="O550" s="53"/>
      <c r="P550" s="53"/>
      <c r="Q550" s="53"/>
      <c r="R550" s="53"/>
      <c r="S550" s="53"/>
      <c r="T550" s="53"/>
      <c r="U550" s="53"/>
      <c r="V550" s="50"/>
      <c r="W550" s="50"/>
      <c r="X550" s="50"/>
      <c r="Y550" s="50"/>
      <c r="Z550" s="50"/>
      <c r="AA550" s="57"/>
      <c r="AB550" s="57"/>
      <c r="AC550" s="57"/>
      <c r="AD550" s="57"/>
      <c r="AE550" s="57"/>
      <c r="AF550" s="57"/>
      <c r="AG550" s="57"/>
      <c r="AH550" s="57"/>
      <c r="AI550" s="57"/>
      <c r="AJ550" s="57"/>
      <c r="AK550" s="57"/>
      <c r="AL550" s="57"/>
      <c r="AM550" s="52"/>
      <c r="AN550" s="52"/>
      <c r="AO550" s="52"/>
      <c r="AP550" s="52"/>
      <c r="AQ550" s="52"/>
    </row>
    <row r="551" spans="1:43">
      <c r="A551" s="150"/>
      <c r="B551" s="477"/>
      <c r="C551" s="125"/>
      <c r="D551" s="478"/>
      <c r="E551" s="478"/>
      <c r="F551" s="125"/>
      <c r="G551" s="125"/>
      <c r="H551" s="53"/>
      <c r="I551" s="53"/>
      <c r="J551" s="53"/>
      <c r="K551" s="53"/>
      <c r="L551" s="53"/>
      <c r="M551" s="53"/>
      <c r="N551" s="53"/>
      <c r="O551" s="53"/>
      <c r="P551" s="53"/>
      <c r="Q551" s="53"/>
      <c r="R551" s="53"/>
      <c r="S551" s="53"/>
      <c r="T551" s="53"/>
      <c r="U551" s="53"/>
      <c r="V551" s="50"/>
      <c r="W551" s="50"/>
      <c r="X551" s="50"/>
      <c r="Y551" s="50"/>
      <c r="Z551" s="50"/>
      <c r="AA551" s="57"/>
      <c r="AB551" s="57"/>
      <c r="AC551" s="57"/>
      <c r="AD551" s="57"/>
      <c r="AE551" s="57"/>
      <c r="AF551" s="57"/>
      <c r="AG551" s="57"/>
      <c r="AH551" s="57"/>
      <c r="AI551" s="57"/>
      <c r="AJ551" s="57"/>
      <c r="AK551" s="57"/>
      <c r="AL551" s="57"/>
      <c r="AM551" s="52"/>
      <c r="AN551" s="52"/>
      <c r="AO551" s="52"/>
      <c r="AP551" s="52"/>
      <c r="AQ551" s="52"/>
    </row>
    <row r="552" spans="1:43">
      <c r="A552" s="150"/>
      <c r="B552" s="477"/>
      <c r="C552" s="125"/>
      <c r="D552" s="478"/>
      <c r="E552" s="478"/>
      <c r="F552" s="125"/>
      <c r="G552" s="125"/>
      <c r="H552" s="53"/>
      <c r="I552" s="53"/>
      <c r="J552" s="53"/>
      <c r="K552" s="53"/>
      <c r="L552" s="53"/>
      <c r="M552" s="53"/>
      <c r="N552" s="53"/>
      <c r="O552" s="53"/>
      <c r="P552" s="53"/>
      <c r="Q552" s="53"/>
      <c r="R552" s="53"/>
      <c r="S552" s="53"/>
      <c r="T552" s="53"/>
      <c r="U552" s="53"/>
      <c r="V552" s="50"/>
      <c r="W552" s="50"/>
      <c r="X552" s="50"/>
      <c r="Y552" s="50"/>
      <c r="Z552" s="50"/>
      <c r="AA552" s="57"/>
      <c r="AB552" s="57"/>
      <c r="AC552" s="57"/>
      <c r="AD552" s="57"/>
      <c r="AE552" s="57"/>
      <c r="AF552" s="57"/>
      <c r="AG552" s="57"/>
      <c r="AH552" s="57"/>
      <c r="AI552" s="57"/>
      <c r="AJ552" s="57"/>
      <c r="AK552" s="57"/>
      <c r="AL552" s="57"/>
      <c r="AM552" s="52"/>
      <c r="AN552" s="52"/>
      <c r="AO552" s="52"/>
      <c r="AP552" s="52"/>
      <c r="AQ552" s="52"/>
    </row>
    <row r="553" spans="1:43">
      <c r="A553" s="150"/>
      <c r="B553" s="477"/>
      <c r="C553" s="125"/>
      <c r="D553" s="478"/>
      <c r="E553" s="478"/>
      <c r="F553" s="53"/>
      <c r="G553" s="53"/>
      <c r="H553" s="53"/>
      <c r="I553" s="53"/>
      <c r="J553" s="53"/>
      <c r="K553" s="53"/>
      <c r="L553" s="53"/>
      <c r="M553" s="53"/>
      <c r="N553" s="53"/>
      <c r="O553" s="53"/>
      <c r="P553" s="53"/>
      <c r="Q553" s="53"/>
      <c r="R553" s="53"/>
      <c r="S553" s="53"/>
      <c r="T553" s="53"/>
      <c r="U553" s="53"/>
      <c r="V553" s="50"/>
      <c r="W553" s="50"/>
      <c r="X553" s="50"/>
      <c r="Y553" s="50"/>
      <c r="Z553" s="50"/>
      <c r="AA553" s="57"/>
      <c r="AB553" s="57"/>
      <c r="AC553" s="57"/>
      <c r="AD553" s="57"/>
      <c r="AE553" s="57"/>
      <c r="AF553" s="57"/>
      <c r="AG553" s="57"/>
      <c r="AH553" s="57"/>
      <c r="AI553" s="57"/>
      <c r="AJ553" s="57"/>
      <c r="AK553" s="57"/>
      <c r="AL553" s="57"/>
      <c r="AM553" s="52"/>
      <c r="AN553" s="52"/>
      <c r="AO553" s="52"/>
      <c r="AP553" s="52"/>
      <c r="AQ553" s="52"/>
    </row>
    <row r="554" spans="1:43">
      <c r="A554" s="150"/>
      <c r="B554" s="477"/>
      <c r="C554" s="125"/>
      <c r="D554" s="478"/>
      <c r="E554" s="478"/>
      <c r="F554" s="53"/>
      <c r="G554" s="53"/>
      <c r="H554" s="53"/>
      <c r="I554" s="53"/>
      <c r="J554" s="53"/>
      <c r="K554" s="53"/>
      <c r="L554" s="53"/>
      <c r="M554" s="53"/>
      <c r="N554" s="53"/>
      <c r="O554" s="53"/>
      <c r="P554" s="53"/>
      <c r="Q554" s="53"/>
      <c r="R554" s="53"/>
      <c r="S554" s="53"/>
      <c r="T554" s="53"/>
      <c r="U554" s="53"/>
      <c r="V554" s="50"/>
      <c r="W554" s="50"/>
      <c r="X554" s="50"/>
      <c r="Y554" s="50"/>
      <c r="Z554" s="50"/>
      <c r="AA554" s="57"/>
      <c r="AB554" s="57"/>
      <c r="AC554" s="57"/>
      <c r="AD554" s="57"/>
      <c r="AE554" s="57"/>
      <c r="AF554" s="57"/>
      <c r="AG554" s="57"/>
      <c r="AH554" s="57"/>
      <c r="AI554" s="57"/>
      <c r="AJ554" s="57"/>
      <c r="AK554" s="57"/>
      <c r="AL554" s="57"/>
      <c r="AM554" s="52"/>
      <c r="AN554" s="52"/>
      <c r="AO554" s="52"/>
      <c r="AP554" s="52"/>
      <c r="AQ554" s="52"/>
    </row>
    <row r="555" spans="1:43">
      <c r="A555" s="150"/>
      <c r="B555" s="477"/>
      <c r="C555" s="125"/>
      <c r="D555" s="478"/>
      <c r="E555" s="478"/>
      <c r="F555" s="53"/>
      <c r="G555" s="53"/>
      <c r="H555" s="53"/>
      <c r="I555" s="53"/>
      <c r="J555" s="53"/>
      <c r="K555" s="53"/>
      <c r="L555" s="53"/>
      <c r="M555" s="53"/>
      <c r="N555" s="53"/>
      <c r="O555" s="53"/>
      <c r="P555" s="53"/>
      <c r="Q555" s="53"/>
      <c r="R555" s="53"/>
      <c r="S555" s="53"/>
      <c r="T555" s="53"/>
      <c r="U555" s="53"/>
      <c r="V555" s="50"/>
      <c r="W555" s="50"/>
      <c r="X555" s="50"/>
      <c r="Y555" s="50"/>
      <c r="Z555" s="50"/>
      <c r="AA555" s="57"/>
      <c r="AB555" s="57"/>
      <c r="AC555" s="57"/>
      <c r="AD555" s="57"/>
      <c r="AE555" s="57"/>
      <c r="AF555" s="57"/>
      <c r="AG555" s="57"/>
      <c r="AH555" s="57"/>
      <c r="AI555" s="57"/>
      <c r="AJ555" s="57"/>
      <c r="AK555" s="57"/>
      <c r="AL555" s="57"/>
      <c r="AM555" s="52"/>
      <c r="AN555" s="52"/>
      <c r="AO555" s="52"/>
      <c r="AP555" s="52"/>
      <c r="AQ555" s="52"/>
    </row>
    <row r="556" spans="1:43">
      <c r="A556" s="150"/>
      <c r="B556" s="477"/>
      <c r="C556" s="125"/>
      <c r="D556" s="478"/>
      <c r="E556" s="478"/>
      <c r="F556" s="53"/>
      <c r="G556" s="53"/>
      <c r="H556" s="53"/>
      <c r="I556" s="53"/>
      <c r="J556" s="53"/>
      <c r="K556" s="53"/>
      <c r="L556" s="53"/>
      <c r="M556" s="53"/>
      <c r="N556" s="53"/>
      <c r="O556" s="53"/>
      <c r="P556" s="53"/>
      <c r="Q556" s="53"/>
      <c r="R556" s="53"/>
      <c r="S556" s="53"/>
      <c r="T556" s="53"/>
      <c r="U556" s="53"/>
      <c r="V556" s="50"/>
      <c r="W556" s="50"/>
      <c r="X556" s="50"/>
      <c r="Y556" s="50"/>
      <c r="Z556" s="50"/>
      <c r="AA556" s="57"/>
      <c r="AB556" s="57"/>
      <c r="AC556" s="57"/>
      <c r="AD556" s="57"/>
      <c r="AE556" s="57"/>
      <c r="AF556" s="57"/>
      <c r="AG556" s="57"/>
      <c r="AH556" s="57"/>
      <c r="AI556" s="57"/>
      <c r="AJ556" s="57"/>
      <c r="AK556" s="57"/>
      <c r="AL556" s="57"/>
      <c r="AM556" s="52"/>
      <c r="AN556" s="52"/>
      <c r="AO556" s="52"/>
      <c r="AP556" s="52"/>
      <c r="AQ556" s="52"/>
    </row>
    <row r="557" spans="1:43">
      <c r="A557" s="150"/>
      <c r="B557" s="477"/>
      <c r="C557" s="125"/>
      <c r="D557" s="478"/>
      <c r="E557" s="478"/>
      <c r="F557" s="53"/>
      <c r="G557" s="53"/>
      <c r="H557" s="53"/>
      <c r="I557" s="53"/>
      <c r="J557" s="53"/>
      <c r="K557" s="53"/>
      <c r="L557" s="53"/>
      <c r="M557" s="53"/>
      <c r="N557" s="53"/>
      <c r="O557" s="53"/>
      <c r="P557" s="53"/>
      <c r="Q557" s="53"/>
      <c r="R557" s="53"/>
      <c r="S557" s="53"/>
      <c r="T557" s="53"/>
      <c r="U557" s="53"/>
      <c r="V557" s="50"/>
      <c r="W557" s="50"/>
      <c r="X557" s="50"/>
      <c r="Y557" s="50"/>
      <c r="Z557" s="50"/>
      <c r="AA557" s="57"/>
      <c r="AB557" s="57"/>
      <c r="AC557" s="57"/>
      <c r="AD557" s="57"/>
      <c r="AE557" s="57"/>
      <c r="AF557" s="57"/>
      <c r="AG557" s="57"/>
      <c r="AH557" s="57"/>
      <c r="AI557" s="57"/>
      <c r="AJ557" s="57"/>
      <c r="AK557" s="57"/>
      <c r="AL557" s="57"/>
      <c r="AM557" s="52"/>
      <c r="AN557" s="52"/>
      <c r="AO557" s="52"/>
      <c r="AP557" s="52"/>
      <c r="AQ557" s="52"/>
    </row>
    <row r="558" spans="1:43">
      <c r="A558" s="150"/>
      <c r="B558" s="477"/>
      <c r="C558" s="125"/>
      <c r="D558" s="478"/>
      <c r="E558" s="478"/>
      <c r="F558" s="53"/>
      <c r="G558" s="53"/>
      <c r="H558" s="53"/>
      <c r="I558" s="53"/>
      <c r="J558" s="53"/>
      <c r="K558" s="53"/>
      <c r="L558" s="53"/>
      <c r="M558" s="53"/>
      <c r="N558" s="53"/>
      <c r="O558" s="53"/>
      <c r="P558" s="53"/>
      <c r="Q558" s="53"/>
      <c r="R558" s="53"/>
      <c r="S558" s="53"/>
      <c r="T558" s="53"/>
      <c r="U558" s="53"/>
      <c r="V558" s="50"/>
      <c r="W558" s="50"/>
      <c r="X558" s="50"/>
      <c r="Y558" s="50"/>
      <c r="Z558" s="50"/>
      <c r="AA558" s="57"/>
      <c r="AB558" s="57"/>
      <c r="AC558" s="57"/>
      <c r="AD558" s="57"/>
      <c r="AE558" s="57"/>
      <c r="AF558" s="57"/>
      <c r="AG558" s="57"/>
      <c r="AH558" s="57"/>
      <c r="AI558" s="57"/>
      <c r="AJ558" s="57"/>
      <c r="AK558" s="57"/>
      <c r="AL558" s="57"/>
      <c r="AM558" s="52"/>
      <c r="AN558" s="52"/>
      <c r="AO558" s="52"/>
      <c r="AP558" s="52"/>
      <c r="AQ558" s="52"/>
    </row>
    <row r="559" spans="1:43">
      <c r="A559" s="150"/>
      <c r="B559" s="477"/>
      <c r="C559" s="125"/>
      <c r="D559" s="478"/>
      <c r="E559" s="478"/>
      <c r="F559" s="53"/>
      <c r="G559" s="53"/>
      <c r="H559" s="53"/>
      <c r="I559" s="53"/>
      <c r="J559" s="53"/>
      <c r="K559" s="53"/>
      <c r="L559" s="53"/>
      <c r="M559" s="53"/>
      <c r="N559" s="53"/>
      <c r="O559" s="53"/>
      <c r="P559" s="53"/>
      <c r="Q559" s="53"/>
      <c r="R559" s="53"/>
      <c r="S559" s="53"/>
      <c r="T559" s="53"/>
      <c r="U559" s="53"/>
      <c r="V559" s="50"/>
      <c r="W559" s="50"/>
      <c r="X559" s="50"/>
      <c r="Y559" s="50"/>
      <c r="Z559" s="50"/>
      <c r="AA559" s="57"/>
      <c r="AB559" s="57"/>
      <c r="AC559" s="57"/>
      <c r="AD559" s="57"/>
      <c r="AE559" s="57"/>
      <c r="AF559" s="57"/>
      <c r="AG559" s="57"/>
      <c r="AH559" s="57"/>
      <c r="AI559" s="57"/>
      <c r="AJ559" s="57"/>
      <c r="AK559" s="57"/>
      <c r="AL559" s="57"/>
      <c r="AM559" s="52"/>
      <c r="AN559" s="52"/>
      <c r="AO559" s="52"/>
      <c r="AP559" s="52"/>
      <c r="AQ559" s="52"/>
    </row>
    <row r="560" spans="1:43">
      <c r="A560" s="150"/>
      <c r="B560" s="477"/>
      <c r="C560" s="125"/>
      <c r="D560" s="478"/>
      <c r="E560" s="478"/>
      <c r="F560" s="53"/>
      <c r="G560" s="53"/>
      <c r="H560" s="53"/>
      <c r="I560" s="53"/>
      <c r="J560" s="53"/>
      <c r="K560" s="53"/>
      <c r="L560" s="53"/>
      <c r="M560" s="53"/>
      <c r="N560" s="53"/>
      <c r="O560" s="53"/>
      <c r="P560" s="53"/>
      <c r="Q560" s="53"/>
      <c r="R560" s="53"/>
      <c r="S560" s="53"/>
      <c r="T560" s="53"/>
      <c r="U560" s="53"/>
      <c r="V560" s="50"/>
      <c r="W560" s="50"/>
      <c r="X560" s="50"/>
      <c r="Y560" s="50"/>
      <c r="Z560" s="50"/>
      <c r="AA560" s="57"/>
      <c r="AB560" s="57"/>
      <c r="AC560" s="57"/>
      <c r="AD560" s="57"/>
      <c r="AE560" s="57"/>
      <c r="AF560" s="57"/>
      <c r="AG560" s="57"/>
      <c r="AH560" s="57"/>
      <c r="AI560" s="57"/>
      <c r="AJ560" s="57"/>
      <c r="AK560" s="57"/>
      <c r="AL560" s="57"/>
      <c r="AM560" s="52"/>
      <c r="AN560" s="52"/>
      <c r="AO560" s="52"/>
      <c r="AP560" s="52"/>
      <c r="AQ560" s="52"/>
    </row>
    <row r="561" spans="1:43">
      <c r="A561" s="150"/>
      <c r="B561" s="477"/>
      <c r="C561" s="125"/>
      <c r="D561" s="478"/>
      <c r="E561" s="478"/>
      <c r="F561" s="53"/>
      <c r="G561" s="53"/>
      <c r="H561" s="53"/>
      <c r="I561" s="53"/>
      <c r="J561" s="53"/>
      <c r="K561" s="53"/>
      <c r="L561" s="53"/>
      <c r="M561" s="53"/>
      <c r="N561" s="53"/>
      <c r="O561" s="53"/>
      <c r="P561" s="53"/>
      <c r="Q561" s="53"/>
      <c r="R561" s="53"/>
      <c r="S561" s="53"/>
      <c r="T561" s="53"/>
      <c r="U561" s="53"/>
      <c r="V561" s="50"/>
      <c r="W561" s="50"/>
      <c r="X561" s="50"/>
      <c r="Y561" s="50"/>
      <c r="Z561" s="50"/>
      <c r="AA561" s="57"/>
      <c r="AB561" s="57"/>
      <c r="AC561" s="57"/>
      <c r="AD561" s="57"/>
      <c r="AE561" s="57"/>
      <c r="AF561" s="57"/>
      <c r="AG561" s="57"/>
      <c r="AH561" s="57"/>
      <c r="AI561" s="57"/>
      <c r="AJ561" s="57"/>
      <c r="AK561" s="57"/>
      <c r="AL561" s="57"/>
      <c r="AM561" s="52"/>
      <c r="AN561" s="52"/>
      <c r="AO561" s="52"/>
      <c r="AP561" s="52"/>
      <c r="AQ561" s="52"/>
    </row>
    <row r="562" spans="1:43">
      <c r="A562" s="150"/>
      <c r="B562" s="477"/>
      <c r="C562" s="125"/>
      <c r="D562" s="478"/>
      <c r="E562" s="478"/>
      <c r="F562" s="53"/>
      <c r="G562" s="53"/>
      <c r="H562" s="53"/>
      <c r="I562" s="53"/>
      <c r="J562" s="53"/>
      <c r="K562" s="53"/>
      <c r="L562" s="53"/>
      <c r="M562" s="53"/>
      <c r="N562" s="53"/>
      <c r="O562" s="53"/>
      <c r="P562" s="53"/>
      <c r="Q562" s="53"/>
      <c r="R562" s="53"/>
      <c r="S562" s="53"/>
      <c r="T562" s="53"/>
      <c r="U562" s="53"/>
      <c r="V562" s="50"/>
      <c r="W562" s="50"/>
      <c r="X562" s="50"/>
      <c r="Y562" s="50"/>
      <c r="Z562" s="50"/>
      <c r="AA562" s="57"/>
      <c r="AB562" s="57"/>
      <c r="AC562" s="57"/>
      <c r="AD562" s="57"/>
      <c r="AE562" s="57"/>
      <c r="AF562" s="57"/>
      <c r="AG562" s="57"/>
      <c r="AH562" s="57"/>
      <c r="AI562" s="57"/>
      <c r="AJ562" s="57"/>
      <c r="AK562" s="57"/>
      <c r="AL562" s="57"/>
      <c r="AM562" s="52"/>
      <c r="AN562" s="52"/>
      <c r="AO562" s="52"/>
      <c r="AP562" s="52"/>
      <c r="AQ562" s="52"/>
    </row>
    <row r="563" spans="1:43">
      <c r="A563" s="150"/>
      <c r="B563" s="477"/>
      <c r="C563" s="125"/>
      <c r="D563" s="478"/>
      <c r="E563" s="478"/>
      <c r="F563" s="53"/>
      <c r="G563" s="53"/>
      <c r="H563" s="53"/>
      <c r="I563" s="53"/>
      <c r="J563" s="53"/>
      <c r="K563" s="53"/>
      <c r="L563" s="53"/>
      <c r="M563" s="53"/>
      <c r="N563" s="53"/>
      <c r="O563" s="53"/>
      <c r="P563" s="53"/>
      <c r="Q563" s="53"/>
      <c r="R563" s="53"/>
      <c r="S563" s="53"/>
      <c r="T563" s="53"/>
      <c r="U563" s="53"/>
      <c r="V563" s="50"/>
      <c r="W563" s="50"/>
      <c r="X563" s="50"/>
      <c r="Y563" s="50"/>
      <c r="Z563" s="50"/>
      <c r="AA563" s="57"/>
      <c r="AB563" s="57"/>
      <c r="AC563" s="57"/>
      <c r="AD563" s="57"/>
      <c r="AE563" s="57"/>
      <c r="AF563" s="57"/>
      <c r="AG563" s="57"/>
      <c r="AH563" s="57"/>
      <c r="AI563" s="57"/>
      <c r="AJ563" s="57"/>
      <c r="AK563" s="57"/>
      <c r="AL563" s="57"/>
      <c r="AM563" s="52"/>
      <c r="AN563" s="52"/>
      <c r="AO563" s="52"/>
      <c r="AP563" s="52"/>
      <c r="AQ563" s="52"/>
    </row>
    <row r="564" spans="1:43">
      <c r="A564" s="150"/>
      <c r="B564" s="477"/>
      <c r="C564" s="125"/>
      <c r="D564" s="478"/>
      <c r="E564" s="478"/>
      <c r="F564" s="53"/>
      <c r="G564" s="53"/>
      <c r="H564" s="53"/>
      <c r="I564" s="53"/>
      <c r="J564" s="53"/>
      <c r="K564" s="53"/>
      <c r="L564" s="53"/>
      <c r="M564" s="53"/>
      <c r="N564" s="53"/>
      <c r="O564" s="53"/>
      <c r="P564" s="53"/>
      <c r="Q564" s="53"/>
      <c r="R564" s="53"/>
      <c r="S564" s="53"/>
      <c r="T564" s="53"/>
      <c r="U564" s="53"/>
      <c r="V564" s="50"/>
      <c r="W564" s="50"/>
      <c r="X564" s="50"/>
      <c r="Y564" s="50"/>
      <c r="Z564" s="50"/>
      <c r="AA564" s="57"/>
      <c r="AB564" s="57"/>
      <c r="AC564" s="57"/>
      <c r="AD564" s="57"/>
      <c r="AE564" s="57"/>
      <c r="AF564" s="57"/>
      <c r="AG564" s="57"/>
      <c r="AH564" s="57"/>
      <c r="AI564" s="57"/>
      <c r="AJ564" s="57"/>
      <c r="AK564" s="57"/>
      <c r="AL564" s="57"/>
      <c r="AM564" s="52"/>
      <c r="AN564" s="52"/>
      <c r="AO564" s="52"/>
      <c r="AP564" s="52"/>
      <c r="AQ564" s="52"/>
    </row>
    <row r="565" spans="1:43">
      <c r="A565" s="150"/>
      <c r="B565" s="477"/>
      <c r="C565" s="125"/>
      <c r="D565" s="478"/>
      <c r="E565" s="478"/>
      <c r="F565" s="53"/>
      <c r="G565" s="53"/>
      <c r="H565" s="53"/>
      <c r="I565" s="53"/>
      <c r="J565" s="53"/>
      <c r="K565" s="53"/>
      <c r="L565" s="53"/>
      <c r="M565" s="53"/>
      <c r="N565" s="53"/>
      <c r="O565" s="53"/>
      <c r="P565" s="53"/>
      <c r="Q565" s="53"/>
      <c r="R565" s="53"/>
      <c r="S565" s="53"/>
      <c r="T565" s="53"/>
      <c r="U565" s="53"/>
      <c r="V565" s="50"/>
      <c r="W565" s="50"/>
      <c r="X565" s="50"/>
      <c r="Y565" s="50"/>
      <c r="Z565" s="50"/>
      <c r="AA565" s="57"/>
      <c r="AB565" s="57"/>
      <c r="AC565" s="57"/>
      <c r="AD565" s="57"/>
      <c r="AE565" s="57"/>
      <c r="AF565" s="57"/>
      <c r="AG565" s="57"/>
      <c r="AH565" s="57"/>
      <c r="AI565" s="57"/>
      <c r="AJ565" s="57"/>
      <c r="AK565" s="57"/>
      <c r="AL565" s="57"/>
      <c r="AM565" s="52"/>
      <c r="AN565" s="52"/>
      <c r="AO565" s="52"/>
      <c r="AP565" s="52"/>
      <c r="AQ565" s="52"/>
    </row>
    <row r="566" spans="1:43">
      <c r="A566" s="150"/>
      <c r="B566" s="477"/>
      <c r="C566" s="125"/>
      <c r="D566" s="478"/>
      <c r="E566" s="478"/>
      <c r="F566" s="53"/>
      <c r="G566" s="53"/>
      <c r="H566" s="53"/>
      <c r="I566" s="53"/>
      <c r="J566" s="53"/>
      <c r="K566" s="53"/>
      <c r="L566" s="53"/>
      <c r="M566" s="53"/>
      <c r="N566" s="53"/>
      <c r="O566" s="53"/>
      <c r="P566" s="53"/>
      <c r="Q566" s="53"/>
      <c r="R566" s="53"/>
      <c r="S566" s="53"/>
      <c r="T566" s="53"/>
      <c r="U566" s="53"/>
      <c r="V566" s="50"/>
      <c r="W566" s="50"/>
      <c r="X566" s="50"/>
      <c r="Y566" s="50"/>
      <c r="Z566" s="50"/>
      <c r="AA566" s="57"/>
      <c r="AB566" s="57"/>
      <c r="AC566" s="57"/>
      <c r="AD566" s="57"/>
      <c r="AE566" s="57"/>
      <c r="AF566" s="57"/>
      <c r="AG566" s="57"/>
      <c r="AH566" s="57"/>
      <c r="AI566" s="57"/>
      <c r="AJ566" s="57"/>
      <c r="AK566" s="57"/>
      <c r="AL566" s="57"/>
      <c r="AM566" s="52"/>
      <c r="AN566" s="52"/>
      <c r="AO566" s="52"/>
      <c r="AP566" s="52"/>
      <c r="AQ566" s="52"/>
    </row>
    <row r="567" spans="1:43">
      <c r="A567" s="150"/>
      <c r="B567" s="477"/>
      <c r="C567" s="125"/>
      <c r="D567" s="478"/>
      <c r="E567" s="478"/>
      <c r="F567" s="53"/>
      <c r="G567" s="53"/>
      <c r="H567" s="53"/>
      <c r="I567" s="53"/>
      <c r="J567" s="53"/>
      <c r="K567" s="53"/>
      <c r="L567" s="53"/>
      <c r="M567" s="53"/>
      <c r="N567" s="53"/>
      <c r="O567" s="53"/>
      <c r="P567" s="53"/>
      <c r="Q567" s="53"/>
      <c r="R567" s="53"/>
      <c r="S567" s="53"/>
      <c r="T567" s="53"/>
      <c r="U567" s="53"/>
      <c r="V567" s="50"/>
      <c r="W567" s="50"/>
      <c r="X567" s="50"/>
      <c r="Y567" s="50"/>
      <c r="Z567" s="50"/>
      <c r="AA567" s="57"/>
      <c r="AB567" s="57"/>
      <c r="AC567" s="57"/>
      <c r="AD567" s="57"/>
      <c r="AE567" s="57"/>
      <c r="AF567" s="57"/>
      <c r="AG567" s="57"/>
      <c r="AH567" s="57"/>
      <c r="AI567" s="57"/>
      <c r="AJ567" s="57"/>
      <c r="AK567" s="57"/>
      <c r="AL567" s="57"/>
      <c r="AM567" s="52"/>
      <c r="AN567" s="52"/>
      <c r="AO567" s="52"/>
      <c r="AP567" s="52"/>
      <c r="AQ567" s="52"/>
    </row>
    <row r="568" spans="1:43">
      <c r="A568" s="150"/>
      <c r="B568" s="477"/>
      <c r="C568" s="125"/>
      <c r="D568" s="478"/>
      <c r="E568" s="478"/>
      <c r="F568" s="53"/>
      <c r="G568" s="53"/>
      <c r="H568" s="53"/>
      <c r="I568" s="53"/>
      <c r="J568" s="53"/>
      <c r="K568" s="53"/>
      <c r="L568" s="53"/>
      <c r="M568" s="53"/>
      <c r="N568" s="53"/>
      <c r="O568" s="53"/>
      <c r="P568" s="53"/>
      <c r="Q568" s="53"/>
      <c r="R568" s="53"/>
      <c r="S568" s="53"/>
      <c r="T568" s="53"/>
      <c r="U568" s="53"/>
      <c r="V568" s="50"/>
      <c r="W568" s="50"/>
      <c r="X568" s="50"/>
      <c r="Y568" s="50"/>
      <c r="Z568" s="50"/>
      <c r="AA568" s="57"/>
      <c r="AB568" s="57"/>
      <c r="AC568" s="57"/>
      <c r="AD568" s="57"/>
      <c r="AE568" s="57"/>
      <c r="AF568" s="57"/>
      <c r="AG568" s="57"/>
      <c r="AH568" s="57"/>
      <c r="AI568" s="57"/>
      <c r="AJ568" s="57"/>
      <c r="AK568" s="57"/>
      <c r="AL568" s="57"/>
      <c r="AM568" s="52"/>
      <c r="AN568" s="52"/>
      <c r="AO568" s="52"/>
      <c r="AP568" s="52"/>
      <c r="AQ568" s="52"/>
    </row>
    <row r="569" spans="1:43">
      <c r="A569" s="150"/>
      <c r="B569" s="477"/>
      <c r="C569" s="125"/>
      <c r="D569" s="478"/>
      <c r="E569" s="478"/>
      <c r="F569" s="53"/>
      <c r="G569" s="53"/>
      <c r="H569" s="53"/>
      <c r="I569" s="53"/>
      <c r="J569" s="53"/>
      <c r="K569" s="53"/>
      <c r="L569" s="53"/>
      <c r="M569" s="53"/>
      <c r="N569" s="53"/>
      <c r="O569" s="53"/>
      <c r="P569" s="53"/>
      <c r="Q569" s="53"/>
      <c r="R569" s="53"/>
      <c r="S569" s="53"/>
      <c r="T569" s="53"/>
      <c r="U569" s="53"/>
      <c r="V569" s="50"/>
      <c r="W569" s="50"/>
      <c r="X569" s="50"/>
      <c r="Y569" s="50"/>
      <c r="Z569" s="50"/>
      <c r="AA569" s="57"/>
      <c r="AB569" s="57"/>
      <c r="AC569" s="57"/>
      <c r="AD569" s="57"/>
      <c r="AE569" s="57"/>
      <c r="AF569" s="57"/>
      <c r="AG569" s="57"/>
      <c r="AH569" s="57"/>
      <c r="AI569" s="57"/>
      <c r="AJ569" s="57"/>
      <c r="AK569" s="57"/>
      <c r="AL569" s="57"/>
      <c r="AM569" s="52"/>
      <c r="AN569" s="52"/>
      <c r="AO569" s="52"/>
      <c r="AP569" s="52"/>
      <c r="AQ569" s="52"/>
    </row>
    <row r="570" spans="1:43">
      <c r="A570" s="150"/>
      <c r="B570" s="477"/>
      <c r="C570" s="125"/>
      <c r="D570" s="478"/>
      <c r="E570" s="478"/>
      <c r="F570" s="53"/>
      <c r="G570" s="53"/>
      <c r="H570" s="53"/>
      <c r="I570" s="53"/>
      <c r="J570" s="53"/>
      <c r="K570" s="53"/>
      <c r="L570" s="53"/>
      <c r="M570" s="53"/>
      <c r="N570" s="53"/>
      <c r="O570" s="53"/>
      <c r="P570" s="53"/>
      <c r="Q570" s="53"/>
      <c r="R570" s="53"/>
      <c r="S570" s="53"/>
      <c r="T570" s="53"/>
      <c r="U570" s="53"/>
      <c r="V570" s="50"/>
      <c r="W570" s="50"/>
      <c r="X570" s="50"/>
      <c r="Y570" s="50"/>
      <c r="Z570" s="50"/>
      <c r="AA570" s="57"/>
      <c r="AB570" s="57"/>
      <c r="AC570" s="57"/>
      <c r="AD570" s="57"/>
      <c r="AE570" s="57"/>
      <c r="AF570" s="57"/>
      <c r="AG570" s="57"/>
      <c r="AH570" s="57"/>
      <c r="AI570" s="57"/>
      <c r="AJ570" s="57"/>
      <c r="AK570" s="57"/>
      <c r="AL570" s="57"/>
      <c r="AM570" s="52"/>
      <c r="AN570" s="52"/>
      <c r="AO570" s="52"/>
      <c r="AP570" s="52"/>
      <c r="AQ570" s="52"/>
    </row>
    <row r="571" spans="1:43">
      <c r="A571" s="150"/>
      <c r="B571" s="477"/>
      <c r="C571" s="125"/>
      <c r="D571" s="478"/>
      <c r="E571" s="478"/>
      <c r="F571" s="53"/>
      <c r="G571" s="53"/>
      <c r="H571" s="53"/>
      <c r="I571" s="53"/>
      <c r="J571" s="53"/>
      <c r="K571" s="53"/>
      <c r="L571" s="53"/>
      <c r="M571" s="53"/>
      <c r="N571" s="53"/>
      <c r="O571" s="53"/>
      <c r="P571" s="53"/>
      <c r="Q571" s="53"/>
      <c r="R571" s="53"/>
      <c r="S571" s="53"/>
      <c r="T571" s="53"/>
      <c r="U571" s="53"/>
      <c r="V571" s="50"/>
      <c r="W571" s="50"/>
      <c r="X571" s="50"/>
      <c r="Y571" s="50"/>
      <c r="Z571" s="50"/>
      <c r="AA571" s="57"/>
      <c r="AB571" s="57"/>
      <c r="AC571" s="57"/>
      <c r="AD571" s="57"/>
      <c r="AE571" s="57"/>
      <c r="AF571" s="57"/>
      <c r="AG571" s="57"/>
      <c r="AH571" s="57"/>
      <c r="AI571" s="57"/>
      <c r="AJ571" s="57"/>
      <c r="AK571" s="57"/>
      <c r="AL571" s="57"/>
      <c r="AM571" s="52"/>
      <c r="AN571" s="52"/>
      <c r="AO571" s="52"/>
      <c r="AP571" s="52"/>
      <c r="AQ571" s="52"/>
    </row>
    <row r="572" spans="1:43">
      <c r="A572" s="150"/>
      <c r="B572" s="477"/>
      <c r="C572" s="125"/>
      <c r="D572" s="478"/>
      <c r="E572" s="478"/>
      <c r="F572" s="53"/>
      <c r="G572" s="53"/>
      <c r="H572" s="53"/>
      <c r="I572" s="53"/>
      <c r="J572" s="53"/>
      <c r="K572" s="53"/>
      <c r="L572" s="53"/>
      <c r="M572" s="53"/>
      <c r="N572" s="53"/>
      <c r="O572" s="53"/>
      <c r="P572" s="53"/>
      <c r="Q572" s="53"/>
      <c r="R572" s="53"/>
      <c r="S572" s="53"/>
      <c r="T572" s="53"/>
      <c r="U572" s="53"/>
      <c r="V572" s="50"/>
      <c r="W572" s="50"/>
      <c r="X572" s="50"/>
      <c r="Y572" s="50"/>
      <c r="Z572" s="50"/>
      <c r="AA572" s="57"/>
      <c r="AB572" s="57"/>
      <c r="AC572" s="57"/>
      <c r="AD572" s="57"/>
      <c r="AE572" s="57"/>
      <c r="AF572" s="57"/>
      <c r="AG572" s="57"/>
      <c r="AH572" s="57"/>
      <c r="AI572" s="57"/>
      <c r="AJ572" s="57"/>
      <c r="AK572" s="57"/>
      <c r="AL572" s="57"/>
      <c r="AM572" s="52"/>
      <c r="AN572" s="52"/>
      <c r="AO572" s="52"/>
      <c r="AP572" s="52"/>
      <c r="AQ572" s="52"/>
    </row>
    <row r="573" spans="1:43">
      <c r="A573" s="150"/>
      <c r="B573" s="477"/>
      <c r="C573" s="125"/>
      <c r="D573" s="478"/>
      <c r="E573" s="478"/>
      <c r="F573" s="53"/>
      <c r="G573" s="53"/>
      <c r="H573" s="53"/>
      <c r="I573" s="53"/>
      <c r="J573" s="53"/>
      <c r="K573" s="53"/>
      <c r="L573" s="53"/>
      <c r="M573" s="53"/>
      <c r="N573" s="53"/>
      <c r="O573" s="53"/>
      <c r="P573" s="53"/>
      <c r="Q573" s="53"/>
      <c r="R573" s="53"/>
      <c r="S573" s="53"/>
      <c r="T573" s="53"/>
      <c r="U573" s="53"/>
      <c r="V573" s="50"/>
      <c r="W573" s="50"/>
      <c r="X573" s="50"/>
      <c r="Y573" s="50"/>
      <c r="Z573" s="50"/>
      <c r="AA573" s="57"/>
      <c r="AB573" s="57"/>
      <c r="AC573" s="57"/>
      <c r="AD573" s="57"/>
      <c r="AE573" s="57"/>
      <c r="AF573" s="57"/>
      <c r="AG573" s="57"/>
      <c r="AH573" s="57"/>
      <c r="AI573" s="57"/>
      <c r="AJ573" s="57"/>
      <c r="AK573" s="57"/>
      <c r="AL573" s="57"/>
      <c r="AM573" s="52"/>
      <c r="AN573" s="52"/>
      <c r="AO573" s="52"/>
      <c r="AP573" s="52"/>
      <c r="AQ573" s="52"/>
    </row>
    <row r="574" spans="1:43">
      <c r="A574" s="150"/>
      <c r="B574" s="477"/>
      <c r="C574" s="125"/>
      <c r="D574" s="478"/>
      <c r="E574" s="478"/>
      <c r="F574" s="53"/>
      <c r="G574" s="53"/>
      <c r="H574" s="53"/>
      <c r="I574" s="53"/>
      <c r="J574" s="53"/>
      <c r="K574" s="53"/>
      <c r="L574" s="53"/>
      <c r="M574" s="53"/>
      <c r="N574" s="53"/>
      <c r="O574" s="53"/>
      <c r="P574" s="53"/>
      <c r="Q574" s="53"/>
      <c r="R574" s="53"/>
      <c r="S574" s="53"/>
      <c r="T574" s="53"/>
      <c r="U574" s="53"/>
      <c r="V574" s="50"/>
      <c r="W574" s="50"/>
      <c r="X574" s="50"/>
      <c r="Y574" s="50"/>
      <c r="Z574" s="50"/>
      <c r="AA574" s="57"/>
      <c r="AB574" s="57"/>
      <c r="AC574" s="57"/>
      <c r="AD574" s="57"/>
      <c r="AE574" s="57"/>
      <c r="AF574" s="57"/>
      <c r="AG574" s="57"/>
      <c r="AH574" s="57"/>
      <c r="AI574" s="57"/>
      <c r="AJ574" s="57"/>
      <c r="AK574" s="57"/>
      <c r="AL574" s="57"/>
      <c r="AM574" s="52"/>
      <c r="AN574" s="52"/>
      <c r="AO574" s="52"/>
      <c r="AP574" s="52"/>
      <c r="AQ574" s="52"/>
    </row>
    <row r="575" spans="1:43">
      <c r="A575" s="150"/>
      <c r="B575" s="477"/>
      <c r="C575" s="125"/>
      <c r="D575" s="478"/>
      <c r="E575" s="478"/>
      <c r="F575" s="53"/>
      <c r="G575" s="53"/>
      <c r="H575" s="53"/>
      <c r="I575" s="53"/>
      <c r="J575" s="53"/>
      <c r="K575" s="53"/>
      <c r="L575" s="53"/>
      <c r="M575" s="53"/>
      <c r="N575" s="53"/>
      <c r="O575" s="53"/>
      <c r="P575" s="53"/>
      <c r="Q575" s="53"/>
      <c r="R575" s="53"/>
      <c r="S575" s="53"/>
      <c r="T575" s="53"/>
      <c r="U575" s="53"/>
      <c r="V575" s="50"/>
      <c r="W575" s="50"/>
      <c r="X575" s="50"/>
      <c r="Y575" s="50"/>
      <c r="Z575" s="50"/>
      <c r="AA575" s="57"/>
      <c r="AB575" s="57"/>
      <c r="AC575" s="57"/>
      <c r="AD575" s="57"/>
      <c r="AE575" s="57"/>
      <c r="AF575" s="57"/>
      <c r="AG575" s="57"/>
      <c r="AH575" s="57"/>
      <c r="AI575" s="57"/>
      <c r="AJ575" s="57"/>
      <c r="AK575" s="57"/>
      <c r="AL575" s="57"/>
      <c r="AM575" s="52"/>
      <c r="AN575" s="52"/>
      <c r="AO575" s="52"/>
      <c r="AP575" s="52"/>
      <c r="AQ575" s="52"/>
    </row>
    <row r="576" spans="1:43">
      <c r="A576" s="150"/>
      <c r="B576" s="477"/>
      <c r="C576" s="125"/>
      <c r="D576" s="478"/>
      <c r="E576" s="478"/>
      <c r="F576" s="53"/>
      <c r="G576" s="53"/>
      <c r="H576" s="53"/>
      <c r="I576" s="53"/>
      <c r="J576" s="53"/>
      <c r="K576" s="53"/>
      <c r="L576" s="53"/>
      <c r="M576" s="53"/>
      <c r="N576" s="53"/>
      <c r="O576" s="53"/>
      <c r="P576" s="53"/>
      <c r="Q576" s="53"/>
      <c r="R576" s="53"/>
      <c r="S576" s="53"/>
      <c r="T576" s="53"/>
      <c r="U576" s="53"/>
      <c r="V576" s="50"/>
      <c r="W576" s="50"/>
      <c r="X576" s="50"/>
      <c r="Y576" s="50"/>
      <c r="Z576" s="50"/>
      <c r="AA576" s="57"/>
      <c r="AB576" s="57"/>
      <c r="AC576" s="57"/>
      <c r="AD576" s="57"/>
      <c r="AE576" s="57"/>
      <c r="AF576" s="57"/>
      <c r="AG576" s="57"/>
      <c r="AH576" s="57"/>
      <c r="AI576" s="57"/>
      <c r="AJ576" s="57"/>
      <c r="AK576" s="57"/>
      <c r="AL576" s="57"/>
      <c r="AM576" s="52"/>
      <c r="AN576" s="52"/>
      <c r="AO576" s="52"/>
      <c r="AP576" s="52"/>
      <c r="AQ576" s="52"/>
    </row>
    <row r="577" spans="1:43">
      <c r="A577" s="150"/>
      <c r="B577" s="477"/>
      <c r="C577" s="125"/>
      <c r="D577" s="478"/>
      <c r="E577" s="478"/>
      <c r="F577" s="53"/>
      <c r="G577" s="53"/>
      <c r="H577" s="53"/>
      <c r="I577" s="53"/>
      <c r="J577" s="53"/>
      <c r="K577" s="53"/>
      <c r="L577" s="53"/>
      <c r="M577" s="53"/>
      <c r="N577" s="53"/>
      <c r="O577" s="53"/>
      <c r="P577" s="53"/>
      <c r="Q577" s="53"/>
      <c r="R577" s="53"/>
      <c r="S577" s="53"/>
      <c r="T577" s="53"/>
      <c r="U577" s="53"/>
      <c r="V577" s="50"/>
      <c r="W577" s="50"/>
      <c r="X577" s="50"/>
      <c r="Y577" s="50"/>
      <c r="Z577" s="50"/>
      <c r="AA577" s="57"/>
      <c r="AB577" s="57"/>
      <c r="AC577" s="57"/>
      <c r="AD577" s="57"/>
      <c r="AE577" s="57"/>
      <c r="AF577" s="57"/>
      <c r="AG577" s="57"/>
      <c r="AH577" s="57"/>
      <c r="AI577" s="57"/>
      <c r="AJ577" s="57"/>
      <c r="AK577" s="57"/>
      <c r="AL577" s="57"/>
      <c r="AM577" s="52"/>
      <c r="AN577" s="52"/>
      <c r="AO577" s="52"/>
      <c r="AP577" s="52"/>
      <c r="AQ577" s="52"/>
    </row>
    <row r="578" spans="1:43">
      <c r="A578" s="150"/>
      <c r="B578" s="477"/>
      <c r="C578" s="125"/>
      <c r="D578" s="478"/>
      <c r="E578" s="478"/>
      <c r="F578" s="53"/>
      <c r="G578" s="53"/>
      <c r="H578" s="53"/>
      <c r="I578" s="53"/>
      <c r="J578" s="53"/>
      <c r="K578" s="53"/>
      <c r="L578" s="53"/>
      <c r="M578" s="53"/>
      <c r="N578" s="53"/>
      <c r="O578" s="53"/>
      <c r="P578" s="53"/>
      <c r="Q578" s="53"/>
      <c r="R578" s="53"/>
      <c r="S578" s="53"/>
      <c r="T578" s="53"/>
      <c r="U578" s="53"/>
      <c r="V578" s="50"/>
      <c r="W578" s="50"/>
      <c r="X578" s="50"/>
      <c r="Y578" s="50"/>
      <c r="Z578" s="50"/>
      <c r="AA578" s="57"/>
      <c r="AB578" s="57"/>
      <c r="AC578" s="57"/>
      <c r="AD578" s="57"/>
      <c r="AE578" s="57"/>
      <c r="AF578" s="57"/>
      <c r="AG578" s="57"/>
      <c r="AH578" s="57"/>
      <c r="AI578" s="57"/>
      <c r="AJ578" s="57"/>
      <c r="AK578" s="57"/>
      <c r="AL578" s="57"/>
      <c r="AM578" s="52"/>
      <c r="AN578" s="52"/>
      <c r="AO578" s="52"/>
      <c r="AP578" s="52"/>
      <c r="AQ578" s="52"/>
    </row>
    <row r="579" spans="1:43">
      <c r="A579" s="150"/>
      <c r="B579" s="477"/>
      <c r="C579" s="125"/>
      <c r="D579" s="478"/>
      <c r="E579" s="478"/>
      <c r="F579" s="53"/>
      <c r="G579" s="53"/>
      <c r="H579" s="53"/>
      <c r="I579" s="53"/>
      <c r="J579" s="53"/>
      <c r="K579" s="53"/>
      <c r="L579" s="53"/>
      <c r="M579" s="53"/>
      <c r="N579" s="53"/>
      <c r="O579" s="53"/>
      <c r="P579" s="53"/>
      <c r="Q579" s="53"/>
      <c r="R579" s="53"/>
      <c r="S579" s="53"/>
      <c r="T579" s="53"/>
      <c r="U579" s="53"/>
      <c r="V579" s="50"/>
      <c r="W579" s="50"/>
      <c r="X579" s="50"/>
      <c r="Y579" s="50"/>
      <c r="Z579" s="50"/>
      <c r="AA579" s="57"/>
      <c r="AB579" s="57"/>
      <c r="AC579" s="57"/>
      <c r="AD579" s="57"/>
      <c r="AE579" s="57"/>
      <c r="AF579" s="57"/>
      <c r="AG579" s="57"/>
      <c r="AH579" s="57"/>
      <c r="AI579" s="57"/>
      <c r="AJ579" s="57"/>
      <c r="AK579" s="57"/>
      <c r="AL579" s="57"/>
      <c r="AM579" s="52"/>
      <c r="AN579" s="52"/>
      <c r="AO579" s="52"/>
      <c r="AP579" s="52"/>
      <c r="AQ579" s="52"/>
    </row>
    <row r="580" spans="1:43">
      <c r="A580" s="150"/>
      <c r="B580" s="477"/>
      <c r="C580" s="125"/>
      <c r="D580" s="478"/>
      <c r="E580" s="478"/>
      <c r="F580" s="53"/>
      <c r="G580" s="53"/>
      <c r="H580" s="53"/>
      <c r="I580" s="53"/>
      <c r="J580" s="53"/>
      <c r="K580" s="53"/>
      <c r="L580" s="53"/>
      <c r="M580" s="53"/>
      <c r="N580" s="53"/>
      <c r="O580" s="53"/>
      <c r="P580" s="53"/>
      <c r="Q580" s="53"/>
      <c r="R580" s="53"/>
      <c r="S580" s="53"/>
      <c r="T580" s="53"/>
      <c r="U580" s="53"/>
      <c r="V580" s="50"/>
      <c r="W580" s="50"/>
      <c r="X580" s="50"/>
      <c r="Y580" s="50"/>
      <c r="Z580" s="50"/>
      <c r="AA580" s="57"/>
      <c r="AB580" s="57"/>
      <c r="AC580" s="57"/>
      <c r="AD580" s="57"/>
      <c r="AE580" s="57"/>
      <c r="AF580" s="57"/>
      <c r="AG580" s="57"/>
      <c r="AH580" s="57"/>
      <c r="AI580" s="57"/>
      <c r="AJ580" s="57"/>
      <c r="AK580" s="57"/>
      <c r="AL580" s="57"/>
      <c r="AM580" s="52"/>
      <c r="AN580" s="52"/>
      <c r="AO580" s="52"/>
      <c r="AP580" s="52"/>
      <c r="AQ580" s="52"/>
    </row>
    <row r="581" spans="1:43">
      <c r="A581" s="150"/>
      <c r="B581" s="477"/>
      <c r="C581" s="125"/>
      <c r="D581" s="478"/>
      <c r="E581" s="478"/>
      <c r="F581" s="53"/>
      <c r="G581" s="53"/>
      <c r="H581" s="53"/>
      <c r="I581" s="53"/>
      <c r="J581" s="53"/>
      <c r="K581" s="53"/>
      <c r="L581" s="53"/>
      <c r="M581" s="53"/>
      <c r="N581" s="53"/>
      <c r="O581" s="53"/>
      <c r="P581" s="53"/>
      <c r="Q581" s="53"/>
      <c r="R581" s="53"/>
      <c r="S581" s="53"/>
      <c r="T581" s="53"/>
      <c r="U581" s="53"/>
      <c r="V581" s="50"/>
      <c r="W581" s="50"/>
      <c r="X581" s="50"/>
      <c r="Y581" s="50"/>
      <c r="Z581" s="50"/>
      <c r="AA581" s="57"/>
      <c r="AB581" s="57"/>
      <c r="AC581" s="57"/>
      <c r="AD581" s="57"/>
      <c r="AE581" s="57"/>
      <c r="AF581" s="57"/>
      <c r="AG581" s="57"/>
      <c r="AH581" s="57"/>
      <c r="AI581" s="57"/>
      <c r="AJ581" s="57"/>
      <c r="AK581" s="57"/>
      <c r="AL581" s="57"/>
      <c r="AM581" s="52"/>
      <c r="AN581" s="52"/>
      <c r="AO581" s="52"/>
      <c r="AP581" s="52"/>
      <c r="AQ581" s="52"/>
    </row>
    <row r="582" spans="1:43">
      <c r="A582" s="150"/>
      <c r="B582" s="477"/>
      <c r="C582" s="125"/>
      <c r="D582" s="478"/>
      <c r="E582" s="478"/>
      <c r="F582" s="53"/>
      <c r="G582" s="53"/>
      <c r="H582" s="53"/>
      <c r="I582" s="53"/>
      <c r="J582" s="53"/>
      <c r="K582" s="53"/>
      <c r="L582" s="53"/>
      <c r="M582" s="53"/>
      <c r="N582" s="53"/>
      <c r="O582" s="53"/>
      <c r="P582" s="53"/>
      <c r="Q582" s="53"/>
      <c r="R582" s="53"/>
      <c r="S582" s="53"/>
      <c r="T582" s="53"/>
      <c r="U582" s="53"/>
      <c r="V582" s="50"/>
      <c r="W582" s="50"/>
      <c r="X582" s="50"/>
      <c r="Y582" s="50"/>
      <c r="Z582" s="50"/>
      <c r="AA582" s="57"/>
      <c r="AB582" s="57"/>
      <c r="AC582" s="57"/>
      <c r="AD582" s="57"/>
      <c r="AE582" s="57"/>
      <c r="AF582" s="57"/>
      <c r="AG582" s="57"/>
      <c r="AH582" s="57"/>
      <c r="AI582" s="57"/>
      <c r="AJ582" s="57"/>
      <c r="AK582" s="57"/>
      <c r="AL582" s="57"/>
      <c r="AM582" s="52"/>
      <c r="AN582" s="52"/>
      <c r="AO582" s="52"/>
      <c r="AP582" s="52"/>
      <c r="AQ582" s="52"/>
    </row>
    <row r="583" spans="1:43">
      <c r="A583" s="150"/>
      <c r="B583" s="477"/>
      <c r="C583" s="125"/>
      <c r="D583" s="478"/>
      <c r="E583" s="478"/>
      <c r="F583" s="53"/>
      <c r="G583" s="53"/>
      <c r="H583" s="53"/>
      <c r="I583" s="53"/>
      <c r="J583" s="53"/>
      <c r="K583" s="53"/>
      <c r="L583" s="53"/>
      <c r="M583" s="53"/>
      <c r="N583" s="53"/>
      <c r="O583" s="53"/>
      <c r="P583" s="53"/>
      <c r="Q583" s="53"/>
      <c r="R583" s="53"/>
      <c r="S583" s="53"/>
      <c r="T583" s="53"/>
      <c r="U583" s="53"/>
      <c r="V583" s="50"/>
      <c r="W583" s="50"/>
      <c r="X583" s="50"/>
      <c r="Y583" s="50"/>
      <c r="Z583" s="50"/>
      <c r="AA583" s="57"/>
      <c r="AB583" s="57"/>
      <c r="AC583" s="57"/>
      <c r="AD583" s="57"/>
      <c r="AE583" s="57"/>
      <c r="AF583" s="57"/>
      <c r="AG583" s="57"/>
      <c r="AH583" s="57"/>
      <c r="AI583" s="57"/>
      <c r="AJ583" s="57"/>
      <c r="AK583" s="57"/>
      <c r="AL583" s="57"/>
      <c r="AM583" s="52"/>
      <c r="AN583" s="52"/>
      <c r="AO583" s="52"/>
      <c r="AP583" s="52"/>
      <c r="AQ583" s="52"/>
    </row>
    <row r="584" spans="1:43">
      <c r="A584" s="150"/>
      <c r="B584" s="477"/>
      <c r="C584" s="125"/>
      <c r="D584" s="478"/>
      <c r="E584" s="478"/>
      <c r="F584" s="53"/>
      <c r="G584" s="53"/>
      <c r="H584" s="53"/>
      <c r="I584" s="53"/>
      <c r="J584" s="53"/>
      <c r="K584" s="53"/>
      <c r="L584" s="53"/>
      <c r="M584" s="53"/>
      <c r="N584" s="53"/>
      <c r="O584" s="53"/>
      <c r="P584" s="53"/>
      <c r="Q584" s="53"/>
      <c r="R584" s="53"/>
      <c r="S584" s="53"/>
      <c r="T584" s="53"/>
      <c r="U584" s="53"/>
      <c r="V584" s="50"/>
      <c r="W584" s="50"/>
      <c r="X584" s="50"/>
      <c r="Y584" s="50"/>
      <c r="Z584" s="50"/>
      <c r="AA584" s="57"/>
      <c r="AB584" s="57"/>
      <c r="AC584" s="57"/>
      <c r="AD584" s="57"/>
      <c r="AE584" s="57"/>
      <c r="AF584" s="57"/>
      <c r="AG584" s="57"/>
      <c r="AH584" s="57"/>
      <c r="AI584" s="57"/>
      <c r="AJ584" s="57"/>
      <c r="AK584" s="57"/>
      <c r="AL584" s="57"/>
      <c r="AM584" s="52"/>
      <c r="AN584" s="52"/>
      <c r="AO584" s="52"/>
      <c r="AP584" s="52"/>
      <c r="AQ584" s="52"/>
    </row>
    <row r="585" spans="1:43">
      <c r="A585" s="150"/>
      <c r="B585" s="477"/>
      <c r="C585" s="125"/>
      <c r="D585" s="478"/>
      <c r="E585" s="478"/>
      <c r="F585" s="53"/>
      <c r="G585" s="53"/>
      <c r="H585" s="53"/>
      <c r="I585" s="53"/>
      <c r="J585" s="53"/>
      <c r="K585" s="53"/>
      <c r="L585" s="53"/>
      <c r="M585" s="53"/>
      <c r="N585" s="53"/>
      <c r="O585" s="53"/>
      <c r="P585" s="53"/>
      <c r="Q585" s="53"/>
      <c r="R585" s="53"/>
      <c r="S585" s="53"/>
      <c r="T585" s="53"/>
      <c r="U585" s="53"/>
      <c r="V585" s="50"/>
      <c r="W585" s="50"/>
      <c r="X585" s="50"/>
      <c r="Y585" s="50"/>
      <c r="Z585" s="50"/>
      <c r="AA585" s="57"/>
      <c r="AB585" s="57"/>
      <c r="AC585" s="57"/>
      <c r="AD585" s="57"/>
      <c r="AE585" s="57"/>
      <c r="AF585" s="57"/>
      <c r="AG585" s="57"/>
      <c r="AH585" s="57"/>
      <c r="AI585" s="57"/>
      <c r="AJ585" s="57"/>
      <c r="AK585" s="57"/>
      <c r="AL585" s="57"/>
      <c r="AM585" s="52"/>
      <c r="AN585" s="52"/>
      <c r="AO585" s="52"/>
      <c r="AP585" s="52"/>
      <c r="AQ585" s="52"/>
    </row>
    <row r="586" spans="1:43">
      <c r="A586" s="150"/>
      <c r="B586" s="477"/>
      <c r="C586" s="125"/>
      <c r="D586" s="478"/>
      <c r="E586" s="478"/>
      <c r="F586" s="53"/>
      <c r="G586" s="53"/>
      <c r="H586" s="53"/>
      <c r="I586" s="53"/>
      <c r="J586" s="53"/>
      <c r="K586" s="53"/>
      <c r="L586" s="53"/>
      <c r="M586" s="53"/>
      <c r="N586" s="53"/>
      <c r="O586" s="53"/>
      <c r="P586" s="53"/>
      <c r="Q586" s="53"/>
      <c r="R586" s="53"/>
      <c r="S586" s="53"/>
      <c r="T586" s="53"/>
      <c r="U586" s="53"/>
      <c r="V586" s="50"/>
      <c r="W586" s="50"/>
      <c r="X586" s="50"/>
      <c r="Y586" s="50"/>
      <c r="Z586" s="50"/>
      <c r="AA586" s="57"/>
      <c r="AB586" s="57"/>
      <c r="AC586" s="57"/>
      <c r="AD586" s="57"/>
      <c r="AE586" s="57"/>
      <c r="AF586" s="57"/>
      <c r="AG586" s="57"/>
      <c r="AH586" s="57"/>
      <c r="AI586" s="57"/>
      <c r="AJ586" s="57"/>
      <c r="AK586" s="57"/>
      <c r="AL586" s="57"/>
      <c r="AM586" s="52"/>
      <c r="AN586" s="52"/>
      <c r="AO586" s="52"/>
      <c r="AP586" s="52"/>
      <c r="AQ586" s="52"/>
    </row>
    <row r="587" spans="1:43">
      <c r="A587" s="150"/>
      <c r="B587" s="477"/>
      <c r="C587" s="125"/>
      <c r="D587" s="478"/>
      <c r="E587" s="478"/>
      <c r="F587" s="53"/>
      <c r="G587" s="53"/>
      <c r="H587" s="53"/>
      <c r="I587" s="53"/>
      <c r="J587" s="53"/>
      <c r="K587" s="53"/>
      <c r="L587" s="53"/>
      <c r="M587" s="53"/>
      <c r="N587" s="53"/>
      <c r="O587" s="53"/>
      <c r="P587" s="53"/>
      <c r="Q587" s="53"/>
      <c r="R587" s="53"/>
      <c r="S587" s="53"/>
      <c r="T587" s="53"/>
      <c r="U587" s="53"/>
      <c r="V587" s="50"/>
      <c r="W587" s="50"/>
      <c r="X587" s="50"/>
      <c r="Y587" s="50"/>
      <c r="Z587" s="50"/>
      <c r="AA587" s="57"/>
      <c r="AB587" s="57"/>
      <c r="AC587" s="57"/>
      <c r="AD587" s="57"/>
      <c r="AE587" s="57"/>
      <c r="AF587" s="57"/>
      <c r="AG587" s="57"/>
      <c r="AH587" s="57"/>
      <c r="AI587" s="57"/>
      <c r="AJ587" s="57"/>
      <c r="AK587" s="57"/>
      <c r="AL587" s="57"/>
      <c r="AM587" s="52"/>
      <c r="AN587" s="52"/>
      <c r="AO587" s="52"/>
      <c r="AP587" s="52"/>
      <c r="AQ587" s="52"/>
    </row>
    <row r="588" spans="1:43">
      <c r="A588" s="150"/>
      <c r="B588" s="477"/>
      <c r="C588" s="125"/>
      <c r="D588" s="478"/>
      <c r="E588" s="478"/>
      <c r="F588" s="53"/>
      <c r="G588" s="53"/>
      <c r="H588" s="53"/>
      <c r="I588" s="53"/>
      <c r="J588" s="53"/>
      <c r="K588" s="53"/>
      <c r="L588" s="53"/>
      <c r="M588" s="53"/>
      <c r="N588" s="53"/>
      <c r="O588" s="53"/>
      <c r="P588" s="53"/>
      <c r="Q588" s="53"/>
      <c r="R588" s="53"/>
      <c r="S588" s="53"/>
      <c r="T588" s="53"/>
      <c r="U588" s="53"/>
      <c r="V588" s="50"/>
      <c r="W588" s="50"/>
      <c r="X588" s="50"/>
      <c r="Y588" s="50"/>
      <c r="Z588" s="50"/>
      <c r="AA588" s="57"/>
      <c r="AB588" s="57"/>
      <c r="AC588" s="57"/>
      <c r="AD588" s="57"/>
      <c r="AE588" s="57"/>
      <c r="AF588" s="57"/>
      <c r="AG588" s="57"/>
      <c r="AH588" s="57"/>
      <c r="AI588" s="57"/>
      <c r="AJ588" s="57"/>
      <c r="AK588" s="57"/>
      <c r="AL588" s="57"/>
      <c r="AM588" s="52"/>
      <c r="AN588" s="52"/>
      <c r="AO588" s="52"/>
      <c r="AP588" s="52"/>
      <c r="AQ588" s="52"/>
    </row>
    <row r="589" spans="1:43">
      <c r="A589" s="150"/>
      <c r="B589" s="477"/>
      <c r="C589" s="125"/>
      <c r="D589" s="478"/>
      <c r="E589" s="478"/>
      <c r="F589" s="53"/>
      <c r="G589" s="53"/>
      <c r="H589" s="53"/>
      <c r="I589" s="53"/>
      <c r="J589" s="53"/>
      <c r="K589" s="53"/>
      <c r="L589" s="53"/>
      <c r="M589" s="53"/>
      <c r="N589" s="53"/>
      <c r="O589" s="53"/>
      <c r="P589" s="53"/>
      <c r="Q589" s="53"/>
      <c r="R589" s="53"/>
      <c r="S589" s="53"/>
      <c r="T589" s="53"/>
      <c r="U589" s="53"/>
      <c r="V589" s="50"/>
      <c r="W589" s="50"/>
      <c r="X589" s="50"/>
      <c r="Y589" s="50"/>
      <c r="Z589" s="50"/>
      <c r="AA589" s="57"/>
      <c r="AB589" s="57"/>
      <c r="AC589" s="57"/>
      <c r="AD589" s="57"/>
      <c r="AE589" s="57"/>
      <c r="AF589" s="57"/>
      <c r="AG589" s="57"/>
      <c r="AH589" s="57"/>
      <c r="AI589" s="57"/>
      <c r="AJ589" s="57"/>
      <c r="AK589" s="57"/>
      <c r="AL589" s="57"/>
      <c r="AM589" s="52"/>
      <c r="AN589" s="52"/>
      <c r="AO589" s="52"/>
      <c r="AP589" s="52"/>
      <c r="AQ589" s="52"/>
    </row>
    <row r="590" spans="1:43">
      <c r="A590" s="150"/>
      <c r="B590" s="477"/>
      <c r="C590" s="125"/>
      <c r="D590" s="478"/>
      <c r="E590" s="478"/>
      <c r="F590" s="53"/>
      <c r="G590" s="53"/>
      <c r="H590" s="53"/>
      <c r="I590" s="53"/>
      <c r="J590" s="53"/>
      <c r="K590" s="53"/>
      <c r="L590" s="53"/>
      <c r="M590" s="53"/>
      <c r="N590" s="53"/>
      <c r="O590" s="53"/>
      <c r="P590" s="53"/>
      <c r="Q590" s="53"/>
      <c r="R590" s="53"/>
      <c r="S590" s="53"/>
      <c r="T590" s="53"/>
      <c r="U590" s="53"/>
      <c r="V590" s="50"/>
      <c r="W590" s="50"/>
      <c r="X590" s="50"/>
      <c r="Y590" s="50"/>
      <c r="Z590" s="50"/>
      <c r="AA590" s="57"/>
      <c r="AB590" s="57"/>
      <c r="AC590" s="57"/>
      <c r="AD590" s="57"/>
      <c r="AE590" s="57"/>
      <c r="AF590" s="57"/>
      <c r="AG590" s="57"/>
      <c r="AH590" s="57"/>
      <c r="AI590" s="57"/>
      <c r="AJ590" s="57"/>
      <c r="AK590" s="57"/>
      <c r="AL590" s="57"/>
      <c r="AM590" s="52"/>
      <c r="AN590" s="52"/>
      <c r="AO590" s="52"/>
      <c r="AP590" s="52"/>
      <c r="AQ590" s="52"/>
    </row>
    <row r="591" spans="1:43">
      <c r="A591" s="150"/>
      <c r="B591" s="477"/>
      <c r="C591" s="125"/>
      <c r="D591" s="478"/>
      <c r="E591" s="478"/>
      <c r="F591" s="53"/>
      <c r="G591" s="53"/>
      <c r="H591" s="53"/>
      <c r="I591" s="53"/>
      <c r="J591" s="53"/>
      <c r="K591" s="53"/>
      <c r="L591" s="53"/>
      <c r="M591" s="53"/>
      <c r="N591" s="53"/>
      <c r="O591" s="53"/>
      <c r="P591" s="53"/>
      <c r="Q591" s="53"/>
      <c r="R591" s="53"/>
      <c r="S591" s="53"/>
      <c r="T591" s="53"/>
      <c r="U591" s="53"/>
      <c r="V591" s="50"/>
      <c r="W591" s="50"/>
      <c r="X591" s="50"/>
      <c r="Y591" s="50"/>
      <c r="Z591" s="50"/>
      <c r="AA591" s="57"/>
      <c r="AB591" s="57"/>
      <c r="AC591" s="57"/>
      <c r="AD591" s="57"/>
      <c r="AE591" s="57"/>
      <c r="AF591" s="57"/>
      <c r="AG591" s="57"/>
      <c r="AH591" s="57"/>
      <c r="AI591" s="57"/>
      <c r="AJ591" s="57"/>
      <c r="AK591" s="57"/>
      <c r="AL591" s="57"/>
      <c r="AM591" s="52"/>
      <c r="AN591" s="52"/>
      <c r="AO591" s="52"/>
      <c r="AP591" s="52"/>
      <c r="AQ591" s="52"/>
    </row>
    <row r="592" spans="1:43">
      <c r="A592" s="150"/>
      <c r="B592" s="477"/>
      <c r="C592" s="125"/>
      <c r="D592" s="478"/>
      <c r="E592" s="478"/>
      <c r="F592" s="53"/>
      <c r="G592" s="53"/>
      <c r="H592" s="53"/>
      <c r="I592" s="53"/>
      <c r="J592" s="53"/>
      <c r="K592" s="53"/>
      <c r="L592" s="53"/>
      <c r="M592" s="53"/>
      <c r="N592" s="53"/>
      <c r="O592" s="53"/>
      <c r="P592" s="53"/>
      <c r="Q592" s="53"/>
      <c r="R592" s="53"/>
      <c r="S592" s="53"/>
      <c r="T592" s="53"/>
      <c r="U592" s="53"/>
      <c r="V592" s="50"/>
      <c r="W592" s="50"/>
      <c r="X592" s="50"/>
      <c r="Y592" s="50"/>
      <c r="Z592" s="50"/>
      <c r="AA592" s="57"/>
      <c r="AB592" s="57"/>
      <c r="AC592" s="57"/>
      <c r="AD592" s="57"/>
      <c r="AE592" s="57"/>
      <c r="AF592" s="57"/>
      <c r="AG592" s="57"/>
      <c r="AH592" s="57"/>
      <c r="AI592" s="57"/>
      <c r="AJ592" s="57"/>
      <c r="AK592" s="57"/>
      <c r="AL592" s="57"/>
      <c r="AM592" s="52"/>
      <c r="AN592" s="52"/>
      <c r="AO592" s="52"/>
      <c r="AP592" s="52"/>
      <c r="AQ592" s="52"/>
    </row>
    <row r="593" spans="1:43">
      <c r="A593" s="150"/>
      <c r="B593" s="477"/>
      <c r="C593" s="125"/>
      <c r="D593" s="478"/>
      <c r="E593" s="478"/>
      <c r="F593" s="53"/>
      <c r="G593" s="53"/>
      <c r="H593" s="53"/>
      <c r="I593" s="53"/>
      <c r="J593" s="53"/>
      <c r="K593" s="53"/>
      <c r="L593" s="53"/>
      <c r="M593" s="53"/>
      <c r="N593" s="53"/>
      <c r="O593" s="53"/>
      <c r="P593" s="53"/>
      <c r="Q593" s="53"/>
      <c r="R593" s="53"/>
      <c r="S593" s="53"/>
      <c r="T593" s="53"/>
      <c r="U593" s="53"/>
      <c r="V593" s="50"/>
      <c r="W593" s="50"/>
      <c r="X593" s="50"/>
      <c r="Y593" s="50"/>
      <c r="Z593" s="50"/>
      <c r="AA593" s="57"/>
      <c r="AB593" s="57"/>
      <c r="AC593" s="57"/>
      <c r="AD593" s="57"/>
      <c r="AE593" s="57"/>
      <c r="AF593" s="57"/>
      <c r="AG593" s="57"/>
      <c r="AH593" s="57"/>
      <c r="AI593" s="57"/>
      <c r="AJ593" s="57"/>
      <c r="AK593" s="57"/>
      <c r="AL593" s="57"/>
      <c r="AM593" s="52"/>
      <c r="AN593" s="52"/>
      <c r="AO593" s="52"/>
      <c r="AP593" s="52"/>
      <c r="AQ593" s="52"/>
    </row>
    <row r="594" spans="1:43">
      <c r="A594" s="150"/>
      <c r="B594" s="477"/>
      <c r="C594" s="125"/>
      <c r="D594" s="478"/>
      <c r="E594" s="478"/>
      <c r="F594" s="53"/>
      <c r="G594" s="53"/>
      <c r="H594" s="53"/>
      <c r="I594" s="53"/>
      <c r="J594" s="53"/>
      <c r="K594" s="53"/>
      <c r="L594" s="53"/>
      <c r="M594" s="53"/>
      <c r="N594" s="53"/>
      <c r="O594" s="53"/>
      <c r="P594" s="53"/>
      <c r="Q594" s="53"/>
      <c r="R594" s="53"/>
      <c r="S594" s="53"/>
      <c r="T594" s="53"/>
      <c r="U594" s="53"/>
      <c r="V594" s="50"/>
      <c r="W594" s="50"/>
      <c r="X594" s="50"/>
      <c r="Y594" s="50"/>
      <c r="Z594" s="50"/>
      <c r="AA594" s="57"/>
      <c r="AB594" s="57"/>
      <c r="AC594" s="57"/>
      <c r="AD594" s="57"/>
      <c r="AE594" s="57"/>
      <c r="AF594" s="57"/>
      <c r="AG594" s="57"/>
      <c r="AH594" s="57"/>
      <c r="AI594" s="57"/>
      <c r="AJ594" s="57"/>
      <c r="AK594" s="57"/>
      <c r="AL594" s="57"/>
      <c r="AM594" s="52"/>
      <c r="AN594" s="52"/>
      <c r="AO594" s="52"/>
      <c r="AP594" s="52"/>
      <c r="AQ594" s="52"/>
    </row>
    <row r="595" spans="1:43">
      <c r="A595" s="150"/>
      <c r="B595" s="477"/>
      <c r="C595" s="125"/>
      <c r="D595" s="478"/>
      <c r="E595" s="478"/>
      <c r="F595" s="53"/>
      <c r="G595" s="53"/>
      <c r="H595" s="53"/>
      <c r="I595" s="53"/>
      <c r="J595" s="53"/>
      <c r="K595" s="53"/>
      <c r="L595" s="53"/>
      <c r="M595" s="53"/>
      <c r="N595" s="53"/>
      <c r="O595" s="53"/>
      <c r="P595" s="53"/>
      <c r="Q595" s="53"/>
      <c r="R595" s="53"/>
      <c r="S595" s="53"/>
      <c r="T595" s="53"/>
      <c r="U595" s="53"/>
      <c r="V595" s="50"/>
      <c r="W595" s="50"/>
      <c r="X595" s="50"/>
      <c r="Y595" s="50"/>
      <c r="Z595" s="50"/>
      <c r="AA595" s="57"/>
      <c r="AB595" s="57"/>
      <c r="AC595" s="57"/>
      <c r="AD595" s="57"/>
      <c r="AE595" s="57"/>
      <c r="AF595" s="57"/>
      <c r="AG595" s="57"/>
      <c r="AH595" s="57"/>
      <c r="AI595" s="57"/>
      <c r="AJ595" s="57"/>
      <c r="AK595" s="57"/>
      <c r="AL595" s="57"/>
      <c r="AM595" s="52"/>
      <c r="AN595" s="52"/>
      <c r="AO595" s="52"/>
      <c r="AP595" s="52"/>
      <c r="AQ595" s="52"/>
    </row>
    <row r="596" spans="1:43">
      <c r="A596" s="150"/>
      <c r="B596" s="477"/>
      <c r="C596" s="125"/>
      <c r="D596" s="478"/>
      <c r="E596" s="478"/>
      <c r="F596" s="53"/>
      <c r="G596" s="53"/>
      <c r="H596" s="53"/>
      <c r="I596" s="53"/>
      <c r="J596" s="53"/>
      <c r="K596" s="53"/>
      <c r="L596" s="53"/>
      <c r="M596" s="53"/>
      <c r="N596" s="53"/>
      <c r="O596" s="53"/>
      <c r="P596" s="53"/>
      <c r="Q596" s="53"/>
      <c r="R596" s="53"/>
      <c r="S596" s="53"/>
      <c r="T596" s="53"/>
      <c r="U596" s="53"/>
      <c r="V596" s="50"/>
      <c r="W596" s="50"/>
      <c r="X596" s="50"/>
      <c r="Y596" s="50"/>
      <c r="Z596" s="50"/>
      <c r="AA596" s="57"/>
      <c r="AB596" s="57"/>
      <c r="AC596" s="57"/>
      <c r="AD596" s="57"/>
      <c r="AE596" s="57"/>
      <c r="AF596" s="57"/>
      <c r="AG596" s="57"/>
      <c r="AH596" s="57"/>
      <c r="AI596" s="57"/>
      <c r="AJ596" s="57"/>
      <c r="AK596" s="57"/>
      <c r="AL596" s="57"/>
      <c r="AM596" s="52"/>
      <c r="AN596" s="52"/>
      <c r="AO596" s="52"/>
      <c r="AP596" s="52"/>
      <c r="AQ596" s="52"/>
    </row>
    <row r="597" spans="1:43">
      <c r="A597" s="150"/>
      <c r="B597" s="477"/>
      <c r="C597" s="125"/>
      <c r="D597" s="478"/>
      <c r="E597" s="478"/>
      <c r="F597" s="53"/>
      <c r="G597" s="53"/>
      <c r="H597" s="53"/>
      <c r="I597" s="53"/>
      <c r="J597" s="53"/>
      <c r="K597" s="53"/>
      <c r="L597" s="53"/>
      <c r="M597" s="53"/>
      <c r="N597" s="53"/>
      <c r="O597" s="53"/>
      <c r="P597" s="53"/>
      <c r="Q597" s="53"/>
      <c r="R597" s="53"/>
      <c r="S597" s="53"/>
      <c r="T597" s="53"/>
      <c r="U597" s="53"/>
      <c r="V597" s="50"/>
      <c r="W597" s="50"/>
      <c r="X597" s="50"/>
      <c r="Y597" s="50"/>
      <c r="Z597" s="50"/>
      <c r="AA597" s="57"/>
      <c r="AB597" s="57"/>
      <c r="AC597" s="57"/>
      <c r="AD597" s="57"/>
      <c r="AE597" s="57"/>
      <c r="AF597" s="57"/>
      <c r="AG597" s="57"/>
      <c r="AH597" s="57"/>
      <c r="AI597" s="57"/>
      <c r="AJ597" s="57"/>
      <c r="AK597" s="57"/>
      <c r="AL597" s="57"/>
      <c r="AM597" s="52"/>
      <c r="AN597" s="52"/>
      <c r="AO597" s="52"/>
      <c r="AP597" s="52"/>
      <c r="AQ597" s="52"/>
    </row>
    <row r="598" spans="1:43">
      <c r="A598" s="150"/>
      <c r="B598" s="477"/>
      <c r="C598" s="125"/>
      <c r="D598" s="478"/>
      <c r="E598" s="478"/>
      <c r="F598" s="53"/>
      <c r="G598" s="53"/>
      <c r="H598" s="53"/>
      <c r="I598" s="53"/>
      <c r="J598" s="53"/>
      <c r="K598" s="53"/>
      <c r="L598" s="53"/>
      <c r="M598" s="53"/>
      <c r="N598" s="53"/>
      <c r="O598" s="53"/>
      <c r="P598" s="53"/>
      <c r="Q598" s="53"/>
      <c r="R598" s="53"/>
      <c r="S598" s="53"/>
      <c r="T598" s="53"/>
      <c r="U598" s="53"/>
      <c r="V598" s="50"/>
      <c r="W598" s="50"/>
      <c r="X598" s="50"/>
      <c r="Y598" s="50"/>
      <c r="Z598" s="50"/>
      <c r="AA598" s="57"/>
      <c r="AB598" s="57"/>
      <c r="AC598" s="57"/>
      <c r="AD598" s="57"/>
      <c r="AE598" s="57"/>
      <c r="AF598" s="57"/>
      <c r="AG598" s="57"/>
      <c r="AH598" s="57"/>
      <c r="AI598" s="57"/>
      <c r="AJ598" s="57"/>
      <c r="AK598" s="57"/>
      <c r="AL598" s="57"/>
      <c r="AM598" s="52"/>
      <c r="AN598" s="52"/>
      <c r="AO598" s="52"/>
      <c r="AP598" s="52"/>
      <c r="AQ598" s="52"/>
    </row>
    <row r="599" spans="1:43">
      <c r="A599" s="150"/>
      <c r="B599" s="477"/>
      <c r="C599" s="125"/>
      <c r="D599" s="478"/>
      <c r="E599" s="478"/>
      <c r="F599" s="53"/>
      <c r="G599" s="53"/>
      <c r="H599" s="53"/>
      <c r="I599" s="53"/>
      <c r="J599" s="53"/>
      <c r="K599" s="53"/>
      <c r="L599" s="53"/>
      <c r="M599" s="53"/>
      <c r="N599" s="53"/>
      <c r="O599" s="53"/>
      <c r="P599" s="53"/>
      <c r="Q599" s="53"/>
      <c r="R599" s="53"/>
      <c r="S599" s="53"/>
      <c r="T599" s="53"/>
      <c r="U599" s="53"/>
      <c r="V599" s="50"/>
      <c r="W599" s="50"/>
      <c r="X599" s="50"/>
      <c r="Y599" s="50"/>
      <c r="Z599" s="50"/>
      <c r="AA599" s="57"/>
      <c r="AB599" s="57"/>
      <c r="AC599" s="57"/>
      <c r="AD599" s="57"/>
      <c r="AE599" s="57"/>
      <c r="AF599" s="57"/>
      <c r="AG599" s="57"/>
      <c r="AH599" s="57"/>
      <c r="AI599" s="57"/>
      <c r="AJ599" s="57"/>
      <c r="AK599" s="57"/>
      <c r="AL599" s="57"/>
      <c r="AM599" s="52"/>
      <c r="AN599" s="52"/>
      <c r="AO599" s="52"/>
      <c r="AP599" s="52"/>
      <c r="AQ599" s="52"/>
    </row>
    <row r="600" spans="1:43">
      <c r="A600" s="150"/>
      <c r="B600" s="477"/>
      <c r="C600" s="125"/>
      <c r="D600" s="478"/>
      <c r="E600" s="478"/>
      <c r="F600" s="53"/>
      <c r="G600" s="53"/>
      <c r="H600" s="53"/>
      <c r="I600" s="53"/>
      <c r="J600" s="53"/>
      <c r="K600" s="53"/>
      <c r="L600" s="53"/>
      <c r="M600" s="53"/>
      <c r="N600" s="53"/>
      <c r="O600" s="53"/>
      <c r="P600" s="53"/>
      <c r="Q600" s="53"/>
      <c r="R600" s="53"/>
      <c r="S600" s="53"/>
      <c r="T600" s="53"/>
      <c r="U600" s="53"/>
      <c r="V600" s="50"/>
      <c r="W600" s="50"/>
      <c r="X600" s="50"/>
      <c r="Y600" s="50"/>
      <c r="Z600" s="50"/>
      <c r="AA600" s="57"/>
      <c r="AB600" s="57"/>
      <c r="AC600" s="57"/>
      <c r="AD600" s="57"/>
      <c r="AE600" s="57"/>
      <c r="AF600" s="57"/>
      <c r="AG600" s="57"/>
      <c r="AH600" s="57"/>
      <c r="AI600" s="57"/>
      <c r="AJ600" s="57"/>
      <c r="AK600" s="57"/>
      <c r="AL600" s="57"/>
      <c r="AM600" s="52"/>
      <c r="AN600" s="52"/>
      <c r="AO600" s="52"/>
      <c r="AP600" s="52"/>
      <c r="AQ600" s="52"/>
    </row>
    <row r="601" spans="1:43">
      <c r="A601" s="150"/>
      <c r="B601" s="477"/>
      <c r="C601" s="125"/>
      <c r="D601" s="478"/>
      <c r="E601" s="478"/>
      <c r="F601" s="52"/>
      <c r="G601" s="52"/>
      <c r="H601" s="52"/>
      <c r="I601" s="52"/>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row>
    <row r="602" spans="1:43">
      <c r="A602" s="150"/>
      <c r="B602" s="477"/>
      <c r="C602" s="125"/>
      <c r="D602" s="478"/>
      <c r="E602" s="478"/>
      <c r="F602" s="52"/>
      <c r="G602" s="52"/>
      <c r="H602" s="52"/>
      <c r="I602" s="52"/>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row>
    <row r="603" spans="1:43">
      <c r="A603" s="150"/>
      <c r="B603" s="477"/>
      <c r="C603" s="125"/>
      <c r="D603" s="478"/>
      <c r="E603" s="478"/>
      <c r="F603" s="52"/>
      <c r="G603" s="52"/>
      <c r="H603" s="52"/>
      <c r="I603" s="52"/>
      <c r="J603" s="52"/>
      <c r="K603" s="52"/>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row>
    <row r="604" spans="1:43">
      <c r="A604" s="150"/>
      <c r="B604" s="477"/>
      <c r="C604" s="125"/>
      <c r="D604" s="478"/>
      <c r="E604" s="478"/>
      <c r="F604" s="52"/>
      <c r="G604" s="52"/>
      <c r="H604" s="52"/>
      <c r="I604" s="52"/>
      <c r="J604" s="52"/>
      <c r="K604" s="52"/>
      <c r="L604" s="52"/>
      <c r="M604" s="52"/>
      <c r="N604" s="52"/>
      <c r="O604" s="52"/>
      <c r="P604" s="52"/>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row>
    <row r="605" spans="1:43">
      <c r="A605" s="150"/>
      <c r="B605" s="477"/>
      <c r="C605" s="125"/>
      <c r="D605" s="478"/>
      <c r="E605" s="478"/>
      <c r="F605" s="52"/>
      <c r="G605" s="52"/>
      <c r="H605" s="52"/>
      <c r="I605" s="52"/>
      <c r="J605" s="52"/>
      <c r="K605" s="52"/>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row>
    <row r="606" spans="1:43">
      <c r="A606" s="150"/>
      <c r="B606" s="477"/>
      <c r="C606" s="125"/>
      <c r="D606" s="478"/>
      <c r="E606" s="478"/>
      <c r="F606" s="52"/>
      <c r="G606" s="52"/>
      <c r="H606" s="52"/>
      <c r="I606" s="52"/>
      <c r="J606" s="52"/>
      <c r="K606" s="52"/>
      <c r="L606" s="52"/>
      <c r="M606" s="52"/>
      <c r="N606" s="52"/>
      <c r="O606" s="52"/>
      <c r="P606" s="52"/>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row>
    <row r="607" spans="1:43">
      <c r="A607" s="150"/>
      <c r="B607" s="477"/>
      <c r="C607" s="125"/>
      <c r="D607" s="478"/>
      <c r="E607" s="478"/>
      <c r="F607" s="52"/>
      <c r="G607" s="52"/>
      <c r="H607" s="52"/>
      <c r="I607" s="52"/>
      <c r="J607" s="52"/>
      <c r="K607" s="52"/>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row>
    <row r="608" spans="1:43">
      <c r="A608" s="150"/>
      <c r="B608" s="477"/>
      <c r="C608" s="125"/>
      <c r="D608" s="478"/>
      <c r="E608" s="478"/>
      <c r="F608" s="52"/>
      <c r="G608" s="52"/>
      <c r="H608" s="52"/>
      <c r="I608" s="52"/>
      <c r="J608" s="52"/>
      <c r="K608" s="52"/>
      <c r="L608" s="52"/>
      <c r="M608" s="52"/>
      <c r="N608" s="52"/>
      <c r="O608" s="52"/>
      <c r="P608" s="52"/>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row>
    <row r="609" spans="1:43">
      <c r="A609" s="150"/>
      <c r="B609" s="477"/>
      <c r="C609" s="125"/>
      <c r="D609" s="478"/>
      <c r="E609" s="478"/>
      <c r="F609" s="52"/>
      <c r="G609" s="52"/>
      <c r="H609" s="52"/>
      <c r="I609" s="52"/>
      <c r="J609" s="52"/>
      <c r="K609" s="52"/>
      <c r="L609" s="52"/>
      <c r="M609" s="52"/>
      <c r="N609" s="52"/>
      <c r="O609" s="52"/>
      <c r="P609" s="52"/>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row>
    <row r="610" spans="1:43">
      <c r="A610" s="150"/>
      <c r="B610" s="477"/>
      <c r="C610" s="125"/>
      <c r="D610" s="478"/>
      <c r="E610" s="478"/>
      <c r="F610" s="52"/>
      <c r="G610" s="52"/>
      <c r="H610" s="52"/>
      <c r="I610" s="52"/>
      <c r="J610" s="52"/>
      <c r="K610" s="52"/>
      <c r="L610" s="52"/>
      <c r="M610" s="52"/>
      <c r="N610" s="52"/>
      <c r="O610" s="52"/>
      <c r="P610" s="52"/>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row>
    <row r="611" spans="1:43">
      <c r="A611" s="150"/>
      <c r="B611" s="477"/>
      <c r="C611" s="125"/>
      <c r="D611" s="478"/>
      <c r="E611" s="478"/>
      <c r="F611" s="52"/>
      <c r="G611" s="52"/>
      <c r="H611" s="52"/>
      <c r="I611" s="52"/>
      <c r="J611" s="52"/>
      <c r="K611" s="52"/>
      <c r="L611" s="52"/>
      <c r="M611" s="52"/>
      <c r="N611" s="52"/>
      <c r="O611" s="52"/>
      <c r="P611" s="52"/>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row>
    <row r="612" spans="1:43">
      <c r="A612" s="150"/>
      <c r="B612" s="477"/>
      <c r="C612" s="125"/>
      <c r="D612" s="478"/>
      <c r="E612" s="478"/>
      <c r="F612" s="52"/>
      <c r="G612" s="52"/>
      <c r="H612" s="52"/>
      <c r="I612" s="52"/>
      <c r="J612" s="52"/>
      <c r="K612" s="52"/>
      <c r="L612" s="52"/>
      <c r="M612" s="52"/>
      <c r="N612" s="52"/>
      <c r="O612" s="52"/>
      <c r="P612" s="52"/>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row>
    <row r="613" spans="1:43">
      <c r="A613" s="150"/>
      <c r="B613" s="477"/>
      <c r="C613" s="125"/>
      <c r="D613" s="478"/>
      <c r="E613" s="478"/>
      <c r="F613" s="52"/>
      <c r="G613" s="52"/>
      <c r="H613" s="52"/>
      <c r="I613" s="52"/>
      <c r="J613" s="52"/>
      <c r="K613" s="52"/>
      <c r="L613" s="52"/>
      <c r="M613" s="52"/>
      <c r="N613" s="52"/>
      <c r="O613" s="52"/>
      <c r="P613" s="52"/>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row>
    <row r="614" spans="1:43">
      <c r="A614" s="150"/>
      <c r="B614" s="477"/>
      <c r="C614" s="125"/>
      <c r="D614" s="478"/>
      <c r="E614" s="478"/>
      <c r="F614" s="52"/>
      <c r="G614" s="52"/>
      <c r="H614" s="52"/>
      <c r="I614" s="52"/>
      <c r="J614" s="52"/>
      <c r="K614" s="52"/>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row>
    <row r="615" spans="1:43">
      <c r="A615" s="150"/>
      <c r="B615" s="477"/>
      <c r="C615" s="125"/>
      <c r="D615" s="478"/>
      <c r="E615" s="478"/>
      <c r="F615" s="52"/>
      <c r="G615" s="52"/>
      <c r="H615" s="52"/>
      <c r="I615" s="52"/>
      <c r="J615" s="52"/>
      <c r="K615" s="52"/>
      <c r="L615" s="52"/>
      <c r="M615" s="52"/>
      <c r="N615" s="52"/>
      <c r="O615" s="52"/>
      <c r="P615" s="52"/>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row>
    <row r="616" spans="1:43">
      <c r="A616" s="150"/>
      <c r="B616" s="477"/>
      <c r="C616" s="125"/>
      <c r="D616" s="478"/>
      <c r="E616" s="478"/>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row>
    <row r="617" spans="1:43">
      <c r="A617" s="150"/>
      <c r="B617" s="477"/>
      <c r="C617" s="125"/>
      <c r="D617" s="478"/>
      <c r="E617" s="478"/>
      <c r="F617" s="52"/>
      <c r="G617" s="52"/>
      <c r="H617" s="52"/>
      <c r="I617" s="52"/>
      <c r="J617" s="52"/>
      <c r="K617" s="52"/>
      <c r="L617" s="52"/>
      <c r="M617" s="52"/>
      <c r="N617" s="52"/>
      <c r="O617" s="52"/>
      <c r="P617" s="52"/>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row>
    <row r="618" spans="1:43">
      <c r="A618" s="150"/>
      <c r="B618" s="477"/>
      <c r="C618" s="125"/>
      <c r="D618" s="478"/>
      <c r="E618" s="478"/>
      <c r="F618" s="52"/>
      <c r="G618" s="52"/>
      <c r="H618" s="52"/>
      <c r="I618" s="52"/>
      <c r="J618" s="52"/>
      <c r="K618" s="52"/>
      <c r="L618" s="52"/>
      <c r="M618" s="52"/>
      <c r="N618" s="52"/>
      <c r="O618" s="52"/>
      <c r="P618" s="52"/>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row>
    <row r="619" spans="1:43">
      <c r="A619" s="150"/>
      <c r="B619" s="477"/>
      <c r="C619" s="125"/>
      <c r="D619" s="478"/>
      <c r="E619" s="478"/>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row>
    <row r="620" spans="1:43">
      <c r="A620" s="150"/>
      <c r="B620" s="477"/>
      <c r="C620" s="125"/>
      <c r="D620" s="478"/>
      <c r="E620" s="478"/>
      <c r="F620" s="52"/>
      <c r="G620" s="52"/>
      <c r="H620" s="52"/>
      <c r="I620" s="52"/>
      <c r="J620" s="52"/>
      <c r="K620" s="52"/>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row>
    <row r="621" spans="1:43">
      <c r="A621" s="150"/>
      <c r="B621" s="477"/>
      <c r="C621" s="125"/>
      <c r="D621" s="478"/>
      <c r="E621" s="478"/>
      <c r="F621" s="52"/>
      <c r="G621" s="52"/>
      <c r="H621" s="52"/>
      <c r="I621" s="52"/>
      <c r="J621" s="52"/>
      <c r="K621" s="52"/>
      <c r="L621" s="52"/>
      <c r="M621" s="52"/>
      <c r="N621" s="52"/>
      <c r="O621" s="52"/>
      <c r="P621" s="52"/>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row>
    <row r="622" spans="1:43">
      <c r="A622" s="150"/>
      <c r="B622" s="477"/>
      <c r="C622" s="125"/>
      <c r="D622" s="478"/>
      <c r="E622" s="478"/>
      <c r="F622" s="52"/>
      <c r="G622" s="52"/>
      <c r="H622" s="52"/>
      <c r="I622" s="52"/>
      <c r="J622" s="52"/>
      <c r="K622" s="52"/>
      <c r="L622" s="52"/>
      <c r="M622" s="52"/>
      <c r="N622" s="52"/>
      <c r="O622" s="52"/>
      <c r="P622" s="52"/>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row>
    <row r="623" spans="1:43">
      <c r="A623" s="150"/>
      <c r="B623" s="477"/>
      <c r="C623" s="125"/>
      <c r="D623" s="478"/>
      <c r="E623" s="478"/>
      <c r="F623" s="52"/>
      <c r="G623" s="52"/>
      <c r="H623" s="52"/>
      <c r="I623" s="52"/>
      <c r="J623" s="52"/>
      <c r="K623" s="52"/>
      <c r="L623" s="52"/>
      <c r="M623" s="52"/>
      <c r="N623" s="52"/>
      <c r="O623" s="52"/>
      <c r="P623" s="52"/>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row>
    <row r="624" spans="1:43">
      <c r="A624" s="150"/>
      <c r="B624" s="477"/>
      <c r="C624" s="125"/>
      <c r="D624" s="478"/>
      <c r="E624" s="478"/>
      <c r="F624" s="52"/>
      <c r="G624" s="52"/>
      <c r="H624" s="52"/>
      <c r="I624" s="52"/>
      <c r="J624" s="52"/>
      <c r="K624" s="52"/>
      <c r="L624" s="52"/>
      <c r="M624" s="52"/>
      <c r="N624" s="52"/>
      <c r="O624" s="52"/>
      <c r="P624" s="52"/>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row>
    <row r="625" spans="1:43">
      <c r="A625" s="150"/>
      <c r="B625" s="477"/>
      <c r="C625" s="125"/>
      <c r="D625" s="478"/>
      <c r="E625" s="478"/>
      <c r="F625" s="52"/>
      <c r="G625" s="52"/>
      <c r="H625" s="52"/>
      <c r="I625" s="52"/>
      <c r="J625" s="52"/>
      <c r="K625" s="52"/>
      <c r="L625" s="52"/>
      <c r="M625" s="52"/>
      <c r="N625" s="52"/>
      <c r="O625" s="52"/>
      <c r="P625" s="52"/>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row>
    <row r="626" spans="1:43">
      <c r="A626" s="150"/>
      <c r="B626" s="477"/>
      <c r="C626" s="125"/>
      <c r="D626" s="478"/>
      <c r="E626" s="478"/>
      <c r="F626" s="52"/>
      <c r="G626" s="52"/>
      <c r="H626" s="52"/>
      <c r="I626" s="52"/>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row>
    <row r="627" spans="1:43">
      <c r="A627" s="150"/>
      <c r="B627" s="477"/>
      <c r="C627" s="125"/>
      <c r="D627" s="478"/>
      <c r="E627" s="478"/>
      <c r="F627" s="52"/>
      <c r="G627" s="52"/>
      <c r="H627" s="52"/>
      <c r="I627" s="52"/>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row>
    <row r="628" spans="1:43">
      <c r="A628" s="150"/>
      <c r="B628" s="477"/>
      <c r="C628" s="125"/>
      <c r="D628" s="478"/>
      <c r="E628" s="478"/>
      <c r="F628" s="52"/>
      <c r="G628" s="52"/>
      <c r="H628" s="52"/>
      <c r="I628" s="52"/>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row>
    <row r="629" spans="1:43">
      <c r="A629" s="150"/>
      <c r="B629" s="477"/>
      <c r="C629" s="125"/>
      <c r="D629" s="478"/>
      <c r="E629" s="478"/>
      <c r="F629" s="52"/>
      <c r="G629" s="52"/>
      <c r="H629" s="52"/>
      <c r="I629" s="52"/>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row>
    <row r="630" spans="1:43">
      <c r="A630" s="150"/>
      <c r="B630" s="477"/>
      <c r="C630" s="125"/>
      <c r="D630" s="478"/>
      <c r="E630" s="478"/>
      <c r="F630" s="52"/>
      <c r="G630" s="52"/>
      <c r="H630" s="52"/>
      <c r="I630" s="52"/>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row>
    <row r="631" spans="1:43">
      <c r="A631" s="150"/>
      <c r="B631" s="477"/>
      <c r="C631" s="125"/>
      <c r="D631" s="478"/>
      <c r="E631" s="478"/>
      <c r="F631" s="52"/>
      <c r="G631" s="52"/>
      <c r="H631" s="52"/>
      <c r="I631" s="52"/>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row>
    <row r="632" spans="1:43">
      <c r="A632" s="150"/>
      <c r="B632" s="477"/>
      <c r="C632" s="125"/>
      <c r="D632" s="478"/>
      <c r="E632" s="478"/>
      <c r="F632" s="52"/>
      <c r="G632" s="52"/>
      <c r="H632" s="52"/>
      <c r="I632" s="52"/>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row>
    <row r="633" spans="1:43">
      <c r="A633" s="150"/>
      <c r="B633" s="477"/>
      <c r="C633" s="125"/>
      <c r="D633" s="478"/>
      <c r="E633" s="478"/>
      <c r="F633" s="52"/>
      <c r="G633" s="52"/>
      <c r="H633" s="52"/>
      <c r="I633" s="52"/>
      <c r="J633" s="52"/>
      <c r="K633" s="52"/>
      <c r="L633" s="52"/>
      <c r="M633" s="52"/>
      <c r="N633" s="52"/>
      <c r="O633" s="52"/>
      <c r="P633" s="52"/>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row>
    <row r="634" spans="1:43">
      <c r="A634" s="150"/>
      <c r="B634" s="477"/>
      <c r="C634" s="125"/>
      <c r="D634" s="478"/>
      <c r="E634" s="478"/>
      <c r="F634" s="52"/>
      <c r="G634" s="52"/>
      <c r="H634" s="52"/>
      <c r="I634" s="52"/>
      <c r="J634" s="52"/>
      <c r="K634" s="52"/>
      <c r="L634" s="52"/>
      <c r="M634" s="52"/>
      <c r="N634" s="52"/>
      <c r="O634" s="52"/>
      <c r="P634" s="52"/>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row>
    <row r="635" spans="1:43">
      <c r="A635" s="150"/>
      <c r="B635" s="477"/>
      <c r="C635" s="125"/>
      <c r="D635" s="478"/>
      <c r="E635" s="478"/>
      <c r="F635" s="52"/>
      <c r="G635" s="52"/>
      <c r="H635" s="52"/>
      <c r="I635" s="52"/>
      <c r="J635" s="52"/>
      <c r="K635" s="52"/>
      <c r="L635" s="52"/>
      <c r="M635" s="52"/>
      <c r="N635" s="52"/>
      <c r="O635" s="52"/>
      <c r="P635" s="52"/>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row>
    <row r="636" spans="1:43">
      <c r="A636" s="150"/>
      <c r="B636" s="477"/>
      <c r="C636" s="125"/>
      <c r="D636" s="478"/>
      <c r="E636" s="478"/>
      <c r="F636" s="52"/>
      <c r="G636" s="52"/>
      <c r="H636" s="52"/>
      <c r="I636" s="52"/>
      <c r="J636" s="52"/>
      <c r="K636" s="52"/>
      <c r="L636" s="52"/>
      <c r="M636" s="52"/>
      <c r="N636" s="52"/>
      <c r="O636" s="52"/>
      <c r="P636" s="52"/>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row>
    <row r="637" spans="1:43">
      <c r="A637" s="150"/>
      <c r="B637" s="477"/>
      <c r="C637" s="125"/>
      <c r="D637" s="478"/>
      <c r="E637" s="478"/>
      <c r="F637" s="52"/>
      <c r="G637" s="52"/>
      <c r="H637" s="52"/>
      <c r="I637" s="52"/>
      <c r="J637" s="52"/>
      <c r="K637" s="52"/>
      <c r="L637" s="52"/>
      <c r="M637" s="52"/>
      <c r="N637" s="52"/>
      <c r="O637" s="52"/>
      <c r="P637" s="52"/>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row>
    <row r="638" spans="1:43">
      <c r="A638" s="150"/>
      <c r="B638" s="477"/>
      <c r="C638" s="125"/>
      <c r="D638" s="478"/>
      <c r="E638" s="478"/>
      <c r="F638" s="52"/>
      <c r="G638" s="52"/>
      <c r="H638" s="52"/>
      <c r="I638" s="52"/>
      <c r="J638" s="52"/>
      <c r="K638" s="52"/>
      <c r="L638" s="52"/>
      <c r="M638" s="52"/>
      <c r="N638" s="52"/>
      <c r="O638" s="52"/>
      <c r="P638" s="52"/>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row>
    <row r="639" spans="1:43">
      <c r="A639" s="150"/>
      <c r="B639" s="477"/>
      <c r="C639" s="125"/>
      <c r="D639" s="478"/>
      <c r="E639" s="478"/>
      <c r="F639" s="52"/>
      <c r="G639" s="52"/>
      <c r="H639" s="52"/>
      <c r="I639" s="52"/>
      <c r="J639" s="52"/>
      <c r="K639" s="52"/>
      <c r="L639" s="52"/>
      <c r="M639" s="52"/>
      <c r="N639" s="52"/>
      <c r="O639" s="52"/>
      <c r="P639" s="52"/>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row>
    <row r="640" spans="1:43">
      <c r="A640" s="150"/>
      <c r="B640" s="477"/>
      <c r="C640" s="125"/>
      <c r="D640" s="478"/>
      <c r="E640" s="478"/>
      <c r="F640" s="52"/>
      <c r="G640" s="52"/>
      <c r="H640" s="52"/>
      <c r="I640" s="52"/>
      <c r="J640" s="52"/>
      <c r="K640" s="52"/>
      <c r="L640" s="52"/>
      <c r="M640" s="52"/>
      <c r="N640" s="52"/>
      <c r="O640" s="52"/>
      <c r="P640" s="52"/>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row>
    <row r="641" spans="1:43">
      <c r="A641" s="150"/>
      <c r="B641" s="477"/>
      <c r="C641" s="125"/>
      <c r="D641" s="478"/>
      <c r="E641" s="478"/>
      <c r="F641" s="52"/>
      <c r="G641" s="52"/>
      <c r="H641" s="52"/>
      <c r="I641" s="52"/>
      <c r="J641" s="52"/>
      <c r="K641" s="52"/>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row>
    <row r="642" spans="1:43">
      <c r="A642" s="150"/>
      <c r="B642" s="477"/>
      <c r="C642" s="125"/>
      <c r="D642" s="478"/>
      <c r="E642" s="478"/>
      <c r="F642" s="52"/>
      <c r="G642" s="52"/>
      <c r="H642" s="52"/>
      <c r="I642" s="52"/>
      <c r="J642" s="52"/>
      <c r="K642" s="52"/>
      <c r="L642" s="52"/>
      <c r="M642" s="52"/>
      <c r="N642" s="52"/>
      <c r="O642" s="52"/>
      <c r="P642" s="52"/>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row>
    <row r="643" spans="1:43">
      <c r="A643" s="150"/>
      <c r="B643" s="477"/>
      <c r="C643" s="125"/>
      <c r="D643" s="478"/>
      <c r="E643" s="478"/>
      <c r="F643" s="52"/>
      <c r="G643" s="52"/>
      <c r="H643" s="52"/>
      <c r="I643" s="52"/>
      <c r="J643" s="52"/>
      <c r="K643" s="52"/>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row>
    <row r="644" spans="1:43">
      <c r="A644" s="150"/>
      <c r="B644" s="477"/>
      <c r="C644" s="125"/>
      <c r="D644" s="478"/>
      <c r="E644" s="478"/>
      <c r="F644" s="52"/>
      <c r="G644" s="52"/>
      <c r="H644" s="52"/>
      <c r="I644" s="52"/>
      <c r="J644" s="52"/>
      <c r="K644" s="52"/>
      <c r="L644" s="52"/>
      <c r="M644" s="52"/>
      <c r="N644" s="52"/>
      <c r="O644" s="52"/>
      <c r="P644" s="52"/>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row>
    <row r="645" spans="1:43">
      <c r="A645" s="150"/>
      <c r="B645" s="477"/>
      <c r="C645" s="125"/>
      <c r="D645" s="478"/>
      <c r="E645" s="478"/>
      <c r="F645" s="52"/>
      <c r="G645" s="52"/>
      <c r="H645" s="52"/>
      <c r="I645" s="52"/>
      <c r="J645" s="52"/>
      <c r="K645" s="52"/>
      <c r="L645" s="52"/>
      <c r="M645" s="52"/>
      <c r="N645" s="52"/>
      <c r="O645" s="52"/>
      <c r="P645" s="52"/>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row>
    <row r="646" spans="1:43">
      <c r="A646" s="150"/>
      <c r="B646" s="477"/>
      <c r="C646" s="125"/>
      <c r="D646" s="478"/>
      <c r="E646" s="478"/>
      <c r="F646" s="52"/>
      <c r="G646" s="52"/>
      <c r="H646" s="52"/>
      <c r="I646" s="52"/>
      <c r="J646" s="52"/>
      <c r="K646" s="52"/>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row>
    <row r="647" spans="1:43">
      <c r="A647" s="150"/>
      <c r="B647" s="477"/>
      <c r="C647" s="125"/>
      <c r="D647" s="478"/>
      <c r="E647" s="478"/>
      <c r="F647" s="52"/>
      <c r="G647" s="52"/>
      <c r="H647" s="52"/>
      <c r="I647" s="52"/>
      <c r="J647" s="52"/>
      <c r="K647" s="52"/>
      <c r="L647" s="52"/>
      <c r="M647" s="52"/>
      <c r="N647" s="52"/>
      <c r="O647" s="52"/>
      <c r="P647" s="52"/>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row>
    <row r="648" spans="1:43">
      <c r="A648" s="150"/>
      <c r="B648" s="477"/>
      <c r="C648" s="125"/>
      <c r="D648" s="478"/>
      <c r="E648" s="478"/>
      <c r="F648" s="52"/>
      <c r="G648" s="52"/>
      <c r="H648" s="52"/>
      <c r="I648" s="52"/>
      <c r="J648" s="52"/>
      <c r="K648" s="52"/>
      <c r="L648" s="52"/>
      <c r="M648" s="52"/>
      <c r="N648" s="52"/>
      <c r="O648" s="52"/>
      <c r="P648" s="52"/>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row>
    <row r="649" spans="1:43">
      <c r="A649" s="150"/>
      <c r="B649" s="477"/>
      <c r="C649" s="125"/>
      <c r="D649" s="478"/>
      <c r="E649" s="478"/>
      <c r="F649" s="52"/>
      <c r="G649" s="52"/>
      <c r="H649" s="52"/>
      <c r="I649" s="52"/>
      <c r="J649" s="52"/>
      <c r="K649" s="52"/>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row>
    <row r="650" spans="1:43">
      <c r="A650" s="150"/>
      <c r="B650" s="477"/>
      <c r="C650" s="125"/>
      <c r="D650" s="478"/>
      <c r="E650" s="478"/>
      <c r="F650" s="52"/>
      <c r="G650" s="52"/>
      <c r="H650" s="52"/>
      <c r="I650" s="52"/>
      <c r="J650" s="52"/>
      <c r="K650" s="52"/>
      <c r="L650" s="52"/>
      <c r="M650" s="52"/>
      <c r="N650" s="52"/>
      <c r="O650" s="52"/>
      <c r="P650" s="52"/>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row>
    <row r="651" spans="1:43">
      <c r="A651" s="150"/>
      <c r="B651" s="477"/>
      <c r="C651" s="125"/>
      <c r="D651" s="478"/>
      <c r="E651" s="478"/>
      <c r="F651" s="52"/>
      <c r="G651" s="52"/>
      <c r="H651" s="52"/>
      <c r="I651" s="52"/>
      <c r="J651" s="52"/>
      <c r="K651" s="52"/>
      <c r="L651" s="52"/>
      <c r="M651" s="52"/>
      <c r="N651" s="52"/>
      <c r="O651" s="52"/>
      <c r="P651" s="52"/>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row>
    <row r="652" spans="1:43">
      <c r="A652" s="150"/>
      <c r="B652" s="477"/>
      <c r="C652" s="125"/>
      <c r="D652" s="478"/>
      <c r="E652" s="478"/>
      <c r="F652" s="52"/>
      <c r="G652" s="52"/>
      <c r="H652" s="52"/>
      <c r="I652" s="52"/>
      <c r="J652" s="52"/>
      <c r="K652" s="52"/>
      <c r="L652" s="52"/>
      <c r="M652" s="52"/>
      <c r="N652" s="52"/>
      <c r="O652" s="52"/>
      <c r="P652" s="52"/>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row>
    <row r="653" spans="1:43">
      <c r="A653" s="150"/>
      <c r="B653" s="477"/>
      <c r="C653" s="125"/>
      <c r="D653" s="478"/>
      <c r="E653" s="478"/>
      <c r="F653" s="52"/>
      <c r="G653" s="52"/>
      <c r="H653" s="52"/>
      <c r="I653" s="52"/>
      <c r="J653" s="52"/>
      <c r="K653" s="52"/>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row>
    <row r="654" spans="1:43">
      <c r="A654" s="150"/>
      <c r="B654" s="477"/>
      <c r="C654" s="125"/>
      <c r="D654" s="478"/>
      <c r="E654" s="478"/>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row>
    <row r="655" spans="1:43">
      <c r="A655" s="150"/>
      <c r="B655" s="477"/>
      <c r="C655" s="125"/>
      <c r="D655" s="478"/>
      <c r="E655" s="478"/>
      <c r="F655" s="52"/>
      <c r="G655" s="52"/>
      <c r="H655" s="52"/>
      <c r="I655" s="52"/>
      <c r="J655" s="52"/>
      <c r="K655" s="52"/>
      <c r="L655" s="52"/>
      <c r="M655" s="52"/>
      <c r="N655" s="52"/>
      <c r="O655" s="52"/>
      <c r="P655" s="52"/>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row>
    <row r="656" spans="1:43">
      <c r="A656" s="150"/>
      <c r="B656" s="477"/>
      <c r="C656" s="125"/>
      <c r="D656" s="478"/>
      <c r="E656" s="478"/>
      <c r="F656" s="52"/>
      <c r="G656" s="52"/>
      <c r="H656" s="52"/>
      <c r="I656" s="52"/>
      <c r="J656" s="52"/>
      <c r="K656" s="52"/>
      <c r="L656" s="52"/>
      <c r="M656" s="52"/>
      <c r="N656" s="52"/>
      <c r="O656" s="52"/>
      <c r="P656" s="52"/>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row>
    <row r="657" spans="1:43">
      <c r="A657" s="150"/>
      <c r="B657" s="477"/>
      <c r="C657" s="125"/>
      <c r="D657" s="478"/>
      <c r="E657" s="478"/>
      <c r="F657" s="52"/>
      <c r="G657" s="52"/>
      <c r="H657" s="52"/>
      <c r="I657" s="52"/>
      <c r="J657" s="52"/>
      <c r="K657" s="52"/>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row>
    <row r="658" spans="1:43">
      <c r="A658" s="150"/>
      <c r="B658" s="477"/>
      <c r="C658" s="125"/>
      <c r="D658" s="478"/>
      <c r="E658" s="478"/>
      <c r="F658" s="52"/>
      <c r="G658" s="52"/>
      <c r="H658" s="52"/>
      <c r="I658" s="52"/>
      <c r="J658" s="52"/>
      <c r="K658" s="52"/>
      <c r="L658" s="52"/>
      <c r="M658" s="52"/>
      <c r="N658" s="52"/>
      <c r="O658" s="52"/>
      <c r="P658" s="52"/>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row>
    <row r="659" spans="1:43">
      <c r="A659" s="150"/>
      <c r="B659" s="477"/>
      <c r="C659" s="125"/>
      <c r="D659" s="478"/>
      <c r="E659" s="478"/>
      <c r="F659" s="52"/>
      <c r="G659" s="52"/>
      <c r="H659" s="52"/>
      <c r="I659" s="52"/>
      <c r="J659" s="52"/>
      <c r="K659" s="52"/>
      <c r="L659" s="52"/>
      <c r="M659" s="52"/>
      <c r="N659" s="52"/>
      <c r="O659" s="52"/>
      <c r="P659" s="52"/>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row>
    <row r="660" spans="1:43">
      <c r="A660" s="150"/>
      <c r="B660" s="477"/>
      <c r="C660" s="125"/>
      <c r="D660" s="478"/>
      <c r="E660" s="478"/>
      <c r="F660" s="52"/>
      <c r="G660" s="52"/>
      <c r="H660" s="52"/>
      <c r="I660" s="52"/>
      <c r="J660" s="52"/>
      <c r="K660" s="52"/>
      <c r="L660" s="52"/>
      <c r="M660" s="52"/>
      <c r="N660" s="52"/>
      <c r="O660" s="52"/>
      <c r="P660" s="52"/>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row>
    <row r="661" spans="1:43">
      <c r="A661" s="150"/>
      <c r="B661" s="477"/>
      <c r="C661" s="125"/>
      <c r="D661" s="478"/>
      <c r="E661" s="478"/>
      <c r="F661" s="52"/>
      <c r="G661" s="52"/>
      <c r="H661" s="52"/>
      <c r="I661" s="52"/>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row>
    <row r="662" spans="1:43">
      <c r="A662" s="150"/>
      <c r="B662" s="477"/>
      <c r="C662" s="125"/>
      <c r="D662" s="478"/>
      <c r="E662" s="478"/>
      <c r="F662" s="52"/>
      <c r="G662" s="52"/>
      <c r="H662" s="52"/>
      <c r="I662" s="52"/>
      <c r="J662" s="52"/>
      <c r="K662" s="52"/>
      <c r="L662" s="52"/>
      <c r="M662" s="52"/>
      <c r="N662" s="52"/>
      <c r="O662" s="52"/>
      <c r="P662" s="52"/>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row>
    <row r="663" spans="1:43">
      <c r="A663" s="150"/>
      <c r="B663" s="477"/>
      <c r="C663" s="125"/>
      <c r="D663" s="478"/>
      <c r="E663" s="478"/>
      <c r="F663" s="52"/>
      <c r="G663" s="52"/>
      <c r="H663" s="52"/>
      <c r="I663" s="52"/>
      <c r="J663" s="52"/>
      <c r="K663" s="52"/>
      <c r="L663" s="52"/>
      <c r="M663" s="52"/>
      <c r="N663" s="52"/>
      <c r="O663" s="52"/>
      <c r="P663" s="52"/>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row>
    <row r="664" spans="1:43">
      <c r="A664" s="150"/>
      <c r="B664" s="477"/>
      <c r="C664" s="125"/>
      <c r="D664" s="478"/>
      <c r="E664" s="478"/>
      <c r="F664" s="52"/>
      <c r="G664" s="52"/>
      <c r="H664" s="52"/>
      <c r="I664" s="52"/>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row>
    <row r="665" spans="1:43">
      <c r="A665" s="150"/>
      <c r="B665" s="477"/>
      <c r="C665" s="125"/>
      <c r="D665" s="478"/>
      <c r="E665" s="478"/>
      <c r="F665" s="52"/>
      <c r="G665" s="52"/>
      <c r="H665" s="52"/>
      <c r="I665" s="52"/>
      <c r="J665" s="52"/>
      <c r="K665" s="52"/>
      <c r="L665" s="52"/>
      <c r="M665" s="52"/>
      <c r="N665" s="52"/>
      <c r="O665" s="52"/>
      <c r="P665" s="52"/>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row>
    <row r="666" spans="1:43">
      <c r="A666" s="150"/>
      <c r="B666" s="477"/>
      <c r="C666" s="125"/>
      <c r="D666" s="478"/>
      <c r="E666" s="478"/>
      <c r="F666" s="52"/>
      <c r="G666" s="52"/>
      <c r="H666" s="52"/>
      <c r="I666" s="52"/>
      <c r="J666" s="52"/>
      <c r="K666" s="52"/>
      <c r="L666" s="52"/>
      <c r="M666" s="52"/>
      <c r="N666" s="52"/>
      <c r="O666" s="52"/>
      <c r="P666" s="52"/>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row>
    <row r="667" spans="1:43">
      <c r="A667" s="150"/>
      <c r="B667" s="477"/>
      <c r="C667" s="125"/>
      <c r="D667" s="478"/>
      <c r="E667" s="478"/>
      <c r="F667" s="52"/>
      <c r="G667" s="52"/>
      <c r="H667" s="52"/>
      <c r="I667" s="52"/>
      <c r="J667" s="52"/>
      <c r="K667" s="52"/>
      <c r="L667" s="52"/>
      <c r="M667" s="52"/>
      <c r="N667" s="52"/>
      <c r="O667" s="52"/>
      <c r="P667" s="52"/>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row>
    <row r="668" spans="1:43">
      <c r="A668" s="150"/>
      <c r="B668" s="477"/>
      <c r="C668" s="125"/>
      <c r="D668" s="478"/>
      <c r="E668" s="478"/>
      <c r="F668" s="52"/>
      <c r="G668" s="52"/>
      <c r="H668" s="52"/>
      <c r="I668" s="52"/>
      <c r="J668" s="52"/>
      <c r="K668" s="52"/>
      <c r="L668" s="52"/>
      <c r="M668" s="52"/>
      <c r="N668" s="52"/>
      <c r="O668" s="52"/>
      <c r="P668" s="52"/>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row>
    <row r="669" spans="1:43">
      <c r="A669" s="150"/>
      <c r="B669" s="477"/>
      <c r="C669" s="125"/>
      <c r="D669" s="478"/>
      <c r="E669" s="478"/>
      <c r="F669" s="52"/>
      <c r="G669" s="52"/>
      <c r="H669" s="52"/>
      <c r="I669" s="52"/>
      <c r="J669" s="52"/>
      <c r="K669" s="52"/>
      <c r="L669" s="52"/>
      <c r="M669" s="52"/>
      <c r="N669" s="52"/>
      <c r="O669" s="52"/>
      <c r="P669" s="52"/>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row>
    <row r="670" spans="1:43">
      <c r="A670" s="150"/>
      <c r="B670" s="477"/>
      <c r="C670" s="125"/>
      <c r="D670" s="478"/>
      <c r="E670" s="478"/>
      <c r="F670" s="52"/>
      <c r="G670" s="52"/>
      <c r="H670" s="52"/>
      <c r="I670" s="52"/>
      <c r="J670" s="52"/>
      <c r="K670" s="52"/>
      <c r="L670" s="52"/>
      <c r="M670" s="52"/>
      <c r="N670" s="52"/>
      <c r="O670" s="52"/>
      <c r="P670" s="52"/>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row>
    <row r="671" spans="1:43">
      <c r="A671" s="150"/>
      <c r="B671" s="477"/>
      <c r="C671" s="125"/>
      <c r="D671" s="478"/>
      <c r="E671" s="478"/>
      <c r="F671" s="52"/>
      <c r="G671" s="52"/>
      <c r="H671" s="52"/>
      <c r="I671" s="52"/>
      <c r="J671" s="52"/>
      <c r="K671" s="52"/>
      <c r="L671" s="52"/>
      <c r="M671" s="52"/>
      <c r="N671" s="52"/>
      <c r="O671" s="52"/>
      <c r="P671" s="52"/>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row>
    <row r="672" spans="1:43">
      <c r="A672" s="150"/>
      <c r="B672" s="477"/>
      <c r="C672" s="125"/>
      <c r="D672" s="478"/>
      <c r="E672" s="478"/>
      <c r="F672" s="52"/>
      <c r="G672" s="52"/>
      <c r="H672" s="52"/>
      <c r="I672" s="52"/>
      <c r="J672" s="52"/>
      <c r="K672" s="52"/>
      <c r="L672" s="52"/>
      <c r="M672" s="52"/>
      <c r="N672" s="52"/>
      <c r="O672" s="52"/>
      <c r="P672" s="52"/>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row>
    <row r="673" spans="1:43">
      <c r="A673" s="150"/>
      <c r="B673" s="477"/>
      <c r="C673" s="125"/>
      <c r="D673" s="478"/>
      <c r="E673" s="478"/>
      <c r="F673" s="52"/>
      <c r="G673" s="52"/>
      <c r="H673" s="52"/>
      <c r="I673" s="52"/>
      <c r="J673" s="52"/>
      <c r="K673" s="52"/>
      <c r="L673" s="52"/>
      <c r="M673" s="52"/>
      <c r="N673" s="52"/>
      <c r="O673" s="52"/>
      <c r="P673" s="52"/>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row>
    <row r="674" spans="1:43">
      <c r="A674" s="150"/>
      <c r="B674" s="477"/>
      <c r="C674" s="125"/>
      <c r="D674" s="478"/>
      <c r="E674" s="478"/>
      <c r="F674" s="52"/>
      <c r="G674" s="52"/>
      <c r="H674" s="52"/>
      <c r="I674" s="52"/>
      <c r="J674" s="52"/>
      <c r="K674" s="52"/>
      <c r="L674" s="52"/>
      <c r="M674" s="52"/>
      <c r="N674" s="52"/>
      <c r="O674" s="52"/>
      <c r="P674" s="52"/>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row>
    <row r="675" spans="1:43">
      <c r="A675" s="150"/>
      <c r="B675" s="477"/>
      <c r="C675" s="125"/>
      <c r="D675" s="478"/>
      <c r="E675" s="478"/>
      <c r="F675" s="52"/>
      <c r="G675" s="52"/>
      <c r="H675" s="52"/>
      <c r="I675" s="52"/>
      <c r="J675" s="52"/>
      <c r="K675" s="52"/>
      <c r="L675" s="52"/>
      <c r="M675" s="52"/>
      <c r="N675" s="52"/>
      <c r="O675" s="52"/>
      <c r="P675" s="52"/>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row>
    <row r="676" spans="1:43">
      <c r="A676" s="150"/>
      <c r="B676" s="477"/>
      <c r="C676" s="125"/>
      <c r="D676" s="478"/>
      <c r="E676" s="478"/>
      <c r="F676" s="52"/>
      <c r="G676" s="52"/>
      <c r="H676" s="52"/>
      <c r="I676" s="52"/>
      <c r="J676" s="52"/>
      <c r="K676" s="52"/>
      <c r="L676" s="52"/>
      <c r="M676" s="52"/>
      <c r="N676" s="52"/>
      <c r="O676" s="52"/>
      <c r="P676" s="52"/>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row>
    <row r="677" spans="1:43">
      <c r="A677" s="150"/>
      <c r="B677" s="477"/>
      <c r="C677" s="125"/>
      <c r="D677" s="478"/>
      <c r="E677" s="478"/>
      <c r="F677" s="52"/>
      <c r="G677" s="52"/>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row>
    <row r="678" spans="1:43">
      <c r="A678" s="150"/>
      <c r="B678" s="477"/>
      <c r="C678" s="125"/>
      <c r="D678" s="478"/>
      <c r="E678" s="478"/>
      <c r="F678" s="52"/>
      <c r="G678" s="52"/>
      <c r="H678" s="52"/>
      <c r="I678" s="52"/>
      <c r="J678" s="52"/>
      <c r="K678" s="52"/>
      <c r="L678" s="52"/>
      <c r="M678" s="52"/>
      <c r="N678" s="52"/>
      <c r="O678" s="52"/>
      <c r="P678" s="52"/>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row>
    <row r="679" spans="1:43">
      <c r="A679" s="150"/>
      <c r="B679" s="477"/>
      <c r="C679" s="125"/>
      <c r="D679" s="478"/>
      <c r="E679" s="478"/>
      <c r="F679" s="52"/>
      <c r="G679" s="52"/>
      <c r="H679" s="52"/>
      <c r="I679" s="52"/>
      <c r="J679" s="52"/>
      <c r="K679" s="52"/>
      <c r="L679" s="52"/>
      <c r="M679" s="52"/>
      <c r="N679" s="52"/>
      <c r="O679" s="52"/>
      <c r="P679" s="52"/>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row>
    <row r="680" spans="1:43">
      <c r="A680" s="150"/>
      <c r="B680" s="477"/>
      <c r="C680" s="125"/>
      <c r="D680" s="478"/>
      <c r="E680" s="478"/>
      <c r="F680" s="52"/>
      <c r="G680" s="52"/>
      <c r="H680" s="52"/>
      <c r="I680" s="52"/>
      <c r="J680" s="52"/>
      <c r="K680" s="52"/>
      <c r="L680" s="52"/>
      <c r="M680" s="52"/>
      <c r="N680" s="52"/>
      <c r="O680" s="52"/>
      <c r="P680" s="52"/>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row>
    <row r="681" spans="1:43">
      <c r="A681" s="150"/>
      <c r="B681" s="477"/>
      <c r="C681" s="125"/>
      <c r="D681" s="478"/>
      <c r="E681" s="478"/>
      <c r="F681" s="52"/>
      <c r="G681" s="52"/>
      <c r="H681" s="52"/>
      <c r="I681" s="52"/>
      <c r="J681" s="52"/>
      <c r="K681" s="52"/>
      <c r="L681" s="52"/>
      <c r="M681" s="52"/>
      <c r="N681" s="52"/>
      <c r="O681" s="52"/>
      <c r="P681" s="52"/>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row>
    <row r="682" spans="1:43">
      <c r="A682" s="150"/>
      <c r="B682" s="477"/>
      <c r="C682" s="125"/>
      <c r="D682" s="478"/>
      <c r="E682" s="478"/>
      <c r="F682" s="52"/>
      <c r="G682" s="52"/>
      <c r="H682" s="52"/>
      <c r="I682" s="52"/>
      <c r="J682" s="52"/>
      <c r="K682" s="52"/>
      <c r="L682" s="52"/>
      <c r="M682" s="52"/>
      <c r="N682" s="52"/>
      <c r="O682" s="52"/>
      <c r="P682" s="52"/>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row>
    <row r="683" spans="1:43">
      <c r="A683" s="150"/>
      <c r="B683" s="477"/>
      <c r="C683" s="125"/>
      <c r="D683" s="478"/>
      <c r="E683" s="478"/>
      <c r="F683" s="52"/>
      <c r="G683" s="52"/>
      <c r="H683" s="52"/>
      <c r="I683" s="52"/>
      <c r="J683" s="52"/>
      <c r="K683" s="52"/>
      <c r="L683" s="52"/>
      <c r="M683" s="52"/>
      <c r="N683" s="52"/>
      <c r="O683" s="52"/>
      <c r="P683" s="52"/>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row>
    <row r="684" spans="1:43">
      <c r="A684" s="150"/>
      <c r="B684" s="477"/>
      <c r="C684" s="125"/>
      <c r="D684" s="478"/>
      <c r="E684" s="478"/>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row>
    <row r="685" spans="1:43">
      <c r="A685" s="150"/>
      <c r="B685" s="477"/>
      <c r="C685" s="125"/>
      <c r="D685" s="478"/>
      <c r="E685" s="478"/>
      <c r="F685" s="52"/>
      <c r="G685" s="52"/>
      <c r="H685" s="52"/>
      <c r="I685" s="52"/>
      <c r="J685" s="52"/>
      <c r="K685" s="52"/>
      <c r="L685" s="52"/>
      <c r="M685" s="52"/>
      <c r="N685" s="52"/>
      <c r="O685" s="52"/>
      <c r="P685" s="52"/>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row>
    <row r="686" spans="1:43">
      <c r="A686" s="150"/>
      <c r="B686" s="477"/>
      <c r="C686" s="125"/>
      <c r="D686" s="478"/>
      <c r="E686" s="478"/>
      <c r="F686" s="52"/>
      <c r="G686" s="52"/>
      <c r="H686" s="52"/>
      <c r="I686" s="52"/>
      <c r="J686" s="52"/>
      <c r="K686" s="52"/>
      <c r="L686" s="52"/>
      <c r="M686" s="52"/>
      <c r="N686" s="52"/>
      <c r="O686" s="52"/>
      <c r="P686" s="52"/>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row>
    <row r="687" spans="1:43">
      <c r="A687" s="150"/>
      <c r="B687" s="477"/>
      <c r="C687" s="125"/>
      <c r="D687" s="478"/>
      <c r="E687" s="478"/>
      <c r="F687" s="52"/>
      <c r="G687" s="52"/>
      <c r="H687" s="52"/>
      <c r="I687" s="52"/>
      <c r="J687" s="52"/>
      <c r="K687" s="52"/>
      <c r="L687" s="52"/>
      <c r="M687" s="52"/>
      <c r="N687" s="52"/>
      <c r="O687" s="52"/>
      <c r="P687" s="52"/>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row>
    <row r="688" spans="1:43">
      <c r="A688" s="150"/>
      <c r="B688" s="477"/>
      <c r="C688" s="125"/>
      <c r="D688" s="478"/>
      <c r="E688" s="478"/>
      <c r="F688" s="52"/>
      <c r="G688" s="52"/>
      <c r="H688" s="52"/>
      <c r="I688" s="52"/>
      <c r="J688" s="52"/>
      <c r="K688" s="52"/>
      <c r="L688" s="52"/>
      <c r="M688" s="52"/>
      <c r="N688" s="52"/>
      <c r="O688" s="52"/>
      <c r="P688" s="52"/>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row>
    <row r="689" spans="1:43">
      <c r="A689" s="150"/>
      <c r="B689" s="477"/>
      <c r="C689" s="125"/>
      <c r="D689" s="478"/>
      <c r="E689" s="478"/>
      <c r="F689" s="52"/>
      <c r="G689" s="52"/>
      <c r="H689" s="52"/>
      <c r="I689" s="52"/>
      <c r="J689" s="52"/>
      <c r="K689" s="52"/>
      <c r="L689" s="52"/>
      <c r="M689" s="52"/>
      <c r="N689" s="52"/>
      <c r="O689" s="52"/>
      <c r="P689" s="52"/>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row>
    <row r="690" spans="1:43">
      <c r="A690" s="150"/>
      <c r="B690" s="477"/>
      <c r="C690" s="125"/>
      <c r="D690" s="478"/>
      <c r="E690" s="478"/>
      <c r="F690" s="52"/>
      <c r="G690" s="52"/>
      <c r="H690" s="52"/>
      <c r="I690" s="52"/>
      <c r="J690" s="52"/>
      <c r="K690" s="52"/>
      <c r="L690" s="52"/>
      <c r="M690" s="52"/>
      <c r="N690" s="52"/>
      <c r="O690" s="52"/>
      <c r="P690" s="52"/>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row>
    <row r="691" spans="1:43">
      <c r="A691" s="150"/>
      <c r="B691" s="477"/>
      <c r="C691" s="125"/>
      <c r="D691" s="478"/>
      <c r="E691" s="478"/>
      <c r="F691" s="52"/>
      <c r="G691" s="52"/>
      <c r="H691" s="52"/>
      <c r="I691" s="52"/>
      <c r="J691" s="52"/>
      <c r="K691" s="52"/>
      <c r="L691" s="52"/>
      <c r="M691" s="52"/>
      <c r="N691" s="52"/>
      <c r="O691" s="52"/>
      <c r="P691" s="52"/>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row>
    <row r="692" spans="1:43">
      <c r="A692" s="150"/>
      <c r="B692" s="477"/>
      <c r="C692" s="125"/>
      <c r="D692" s="478"/>
      <c r="E692" s="478"/>
      <c r="F692" s="52"/>
      <c r="G692" s="52"/>
      <c r="H692" s="52"/>
      <c r="I692" s="52"/>
      <c r="J692" s="52"/>
      <c r="K692" s="52"/>
      <c r="L692" s="52"/>
      <c r="M692" s="52"/>
      <c r="N692" s="52"/>
      <c r="O692" s="52"/>
      <c r="P692" s="52"/>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row>
    <row r="693" spans="1:43">
      <c r="A693" s="150"/>
      <c r="B693" s="477"/>
      <c r="C693" s="125"/>
      <c r="D693" s="478"/>
      <c r="E693" s="478"/>
      <c r="F693" s="52"/>
      <c r="G693" s="52"/>
      <c r="H693" s="52"/>
      <c r="I693" s="52"/>
      <c r="J693" s="52"/>
      <c r="K693" s="52"/>
      <c r="L693" s="52"/>
      <c r="M693" s="52"/>
      <c r="N693" s="52"/>
      <c r="O693" s="52"/>
      <c r="P693" s="52"/>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row>
    <row r="694" spans="1:43">
      <c r="A694" s="150"/>
      <c r="B694" s="477"/>
      <c r="C694" s="125"/>
      <c r="D694" s="478"/>
      <c r="E694" s="478"/>
      <c r="F694" s="52"/>
      <c r="G694" s="52"/>
      <c r="H694" s="52"/>
      <c r="I694" s="52"/>
      <c r="J694" s="52"/>
      <c r="K694" s="52"/>
      <c r="L694" s="52"/>
      <c r="M694" s="52"/>
      <c r="N694" s="52"/>
      <c r="O694" s="52"/>
      <c r="P694" s="52"/>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row>
    <row r="695" spans="1:43">
      <c r="A695" s="150"/>
      <c r="B695" s="477"/>
      <c r="C695" s="125"/>
      <c r="D695" s="478"/>
      <c r="E695" s="478"/>
      <c r="F695" s="52"/>
      <c r="G695" s="52"/>
      <c r="H695" s="52"/>
      <c r="I695" s="52"/>
      <c r="J695" s="52"/>
      <c r="K695" s="52"/>
      <c r="L695" s="52"/>
      <c r="M695" s="52"/>
      <c r="N695" s="52"/>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52"/>
      <c r="AQ695" s="52"/>
    </row>
    <row r="696" spans="1:43">
      <c r="A696" s="150"/>
      <c r="B696" s="477"/>
      <c r="C696" s="125"/>
      <c r="D696" s="478"/>
      <c r="E696" s="478"/>
      <c r="F696" s="52"/>
      <c r="G696" s="52"/>
      <c r="H696" s="52"/>
      <c r="I696" s="52"/>
      <c r="J696" s="52"/>
      <c r="K696" s="52"/>
      <c r="L696" s="52"/>
      <c r="M696" s="52"/>
      <c r="N696" s="52"/>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52"/>
      <c r="AQ696" s="52"/>
    </row>
    <row r="697" spans="1:43">
      <c r="A697" s="150"/>
      <c r="B697" s="477"/>
      <c r="C697" s="125"/>
      <c r="D697" s="478"/>
      <c r="E697" s="478"/>
      <c r="F697" s="52"/>
      <c r="G697" s="52"/>
      <c r="H697" s="52"/>
      <c r="I697" s="52"/>
      <c r="J697" s="52"/>
      <c r="K697" s="52"/>
      <c r="L697" s="52"/>
      <c r="M697" s="52"/>
      <c r="N697" s="52"/>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52"/>
      <c r="AQ697" s="52"/>
    </row>
    <row r="698" spans="1:43">
      <c r="A698" s="150"/>
      <c r="B698" s="477"/>
      <c r="C698" s="125"/>
      <c r="D698" s="478"/>
      <c r="E698" s="478"/>
      <c r="F698" s="52"/>
      <c r="G698" s="52"/>
      <c r="H698" s="52"/>
      <c r="I698" s="52"/>
      <c r="J698" s="52"/>
      <c r="K698" s="52"/>
      <c r="L698" s="52"/>
      <c r="M698" s="52"/>
      <c r="N698" s="52"/>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52"/>
      <c r="AQ698" s="52"/>
    </row>
    <row r="699" spans="1:43">
      <c r="A699" s="150"/>
      <c r="B699" s="477"/>
      <c r="C699" s="125"/>
      <c r="D699" s="478"/>
      <c r="E699" s="478"/>
      <c r="F699" s="52"/>
      <c r="G699" s="52"/>
      <c r="H699" s="52"/>
      <c r="I699" s="52"/>
      <c r="J699" s="52"/>
      <c r="K699" s="52"/>
      <c r="L699" s="52"/>
      <c r="M699" s="52"/>
      <c r="N699" s="52"/>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52"/>
      <c r="AQ699" s="52"/>
    </row>
    <row r="700" spans="1:43">
      <c r="A700" s="150"/>
      <c r="B700" s="477"/>
      <c r="C700" s="125"/>
      <c r="D700" s="478"/>
      <c r="E700" s="478"/>
      <c r="F700" s="52"/>
      <c r="G700" s="52"/>
      <c r="H700" s="52"/>
      <c r="I700" s="52"/>
      <c r="J700" s="52"/>
      <c r="K700" s="52"/>
      <c r="L700" s="52"/>
      <c r="M700" s="52"/>
      <c r="N700" s="52"/>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52"/>
      <c r="AQ700" s="52"/>
    </row>
    <row r="701" spans="1:43">
      <c r="A701" s="150"/>
      <c r="B701" s="477"/>
      <c r="C701" s="125"/>
      <c r="D701" s="478"/>
      <c r="E701" s="478"/>
      <c r="F701" s="52"/>
      <c r="G701" s="52"/>
      <c r="H701" s="52"/>
      <c r="I701" s="52"/>
      <c r="J701" s="52"/>
      <c r="K701" s="52"/>
      <c r="L701" s="52"/>
      <c r="M701" s="52"/>
      <c r="N701" s="52"/>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52"/>
      <c r="AQ701" s="52"/>
    </row>
    <row r="702" spans="1:43">
      <c r="A702" s="150"/>
      <c r="B702" s="477"/>
      <c r="C702" s="125"/>
      <c r="D702" s="478"/>
      <c r="E702" s="478"/>
      <c r="F702" s="52"/>
      <c r="G702" s="52"/>
      <c r="H702" s="52"/>
      <c r="I702" s="52"/>
      <c r="J702" s="52"/>
      <c r="K702" s="52"/>
      <c r="L702" s="52"/>
      <c r="M702" s="52"/>
      <c r="N702" s="52"/>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52"/>
      <c r="AQ702" s="52"/>
    </row>
    <row r="703" spans="1:43">
      <c r="A703" s="150"/>
      <c r="B703" s="477"/>
      <c r="C703" s="125"/>
      <c r="D703" s="478"/>
      <c r="E703" s="478"/>
      <c r="F703" s="52"/>
      <c r="G703" s="52"/>
      <c r="H703" s="52"/>
      <c r="I703" s="52"/>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row>
    <row r="704" spans="1:43">
      <c r="A704" s="150"/>
      <c r="B704" s="477"/>
      <c r="C704" s="125"/>
      <c r="D704" s="478"/>
      <c r="E704" s="478"/>
      <c r="F704" s="52"/>
      <c r="G704" s="52"/>
      <c r="H704" s="52"/>
      <c r="I704" s="52"/>
      <c r="J704" s="52"/>
      <c r="K704" s="52"/>
      <c r="L704" s="52"/>
      <c r="M704" s="52"/>
      <c r="N704" s="52"/>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52"/>
      <c r="AQ704" s="52"/>
    </row>
    <row r="705" spans="1:43">
      <c r="A705" s="150"/>
      <c r="B705" s="477"/>
      <c r="C705" s="125"/>
      <c r="D705" s="478"/>
      <c r="E705" s="478"/>
      <c r="F705" s="52"/>
      <c r="G705" s="52"/>
      <c r="H705" s="52"/>
      <c r="I705" s="52"/>
      <c r="J705" s="52"/>
      <c r="K705" s="52"/>
      <c r="L705" s="52"/>
      <c r="M705" s="52"/>
      <c r="N705" s="52"/>
      <c r="O705" s="52"/>
      <c r="P705" s="52"/>
      <c r="Q705" s="52"/>
      <c r="R705" s="52"/>
      <c r="S705" s="52"/>
      <c r="T705" s="52"/>
      <c r="U705" s="52"/>
      <c r="V705" s="52"/>
      <c r="W705" s="52"/>
      <c r="X705" s="52"/>
      <c r="Y705" s="52"/>
      <c r="Z705" s="52"/>
      <c r="AA705" s="52"/>
      <c r="AB705" s="52"/>
      <c r="AC705" s="52"/>
      <c r="AD705" s="52"/>
      <c r="AE705" s="52"/>
      <c r="AF705" s="52"/>
      <c r="AG705" s="52"/>
      <c r="AH705" s="52"/>
      <c r="AI705" s="52"/>
      <c r="AJ705" s="52"/>
      <c r="AK705" s="52"/>
      <c r="AL705" s="52"/>
      <c r="AM705" s="52"/>
      <c r="AN705" s="52"/>
      <c r="AO705" s="52"/>
      <c r="AP705" s="52"/>
      <c r="AQ705" s="52"/>
    </row>
    <row r="706" spans="1:43">
      <c r="A706" s="150"/>
      <c r="B706" s="477"/>
      <c r="C706" s="125"/>
      <c r="D706" s="478"/>
      <c r="E706" s="478"/>
      <c r="F706" s="52"/>
      <c r="G706" s="52"/>
      <c r="H706" s="52"/>
      <c r="I706" s="52"/>
      <c r="J706" s="52"/>
      <c r="K706" s="52"/>
      <c r="L706" s="52"/>
      <c r="M706" s="52"/>
      <c r="N706" s="52"/>
      <c r="O706" s="52"/>
      <c r="P706" s="52"/>
      <c r="Q706" s="52"/>
      <c r="R706" s="52"/>
      <c r="S706" s="52"/>
      <c r="T706" s="52"/>
      <c r="U706" s="52"/>
      <c r="V706" s="52"/>
      <c r="W706" s="52"/>
      <c r="X706" s="52"/>
      <c r="Y706" s="52"/>
      <c r="Z706" s="52"/>
      <c r="AA706" s="52"/>
      <c r="AB706" s="52"/>
      <c r="AC706" s="52"/>
      <c r="AD706" s="52"/>
      <c r="AE706" s="52"/>
      <c r="AF706" s="52"/>
      <c r="AG706" s="52"/>
      <c r="AH706" s="52"/>
      <c r="AI706" s="52"/>
      <c r="AJ706" s="52"/>
      <c r="AK706" s="52"/>
      <c r="AL706" s="52"/>
      <c r="AM706" s="52"/>
      <c r="AN706" s="52"/>
      <c r="AO706" s="52"/>
      <c r="AP706" s="52"/>
      <c r="AQ706" s="52"/>
    </row>
    <row r="707" spans="1:43">
      <c r="A707" s="150"/>
      <c r="B707" s="477"/>
      <c r="C707" s="125"/>
      <c r="D707" s="478"/>
      <c r="E707" s="478"/>
      <c r="F707" s="52"/>
      <c r="G707" s="52"/>
      <c r="H707" s="52"/>
      <c r="I707" s="52"/>
      <c r="J707" s="52"/>
      <c r="K707" s="52"/>
      <c r="L707" s="52"/>
      <c r="M707" s="52"/>
      <c r="N707" s="52"/>
      <c r="O707" s="52"/>
      <c r="P707" s="52"/>
      <c r="Q707" s="52"/>
      <c r="R707" s="52"/>
      <c r="S707" s="52"/>
      <c r="T707" s="52"/>
      <c r="U707" s="52"/>
      <c r="V707" s="52"/>
      <c r="W707" s="52"/>
      <c r="X707" s="52"/>
      <c r="Y707" s="52"/>
      <c r="Z707" s="52"/>
      <c r="AA707" s="52"/>
      <c r="AB707" s="52"/>
      <c r="AC707" s="52"/>
      <c r="AD707" s="52"/>
      <c r="AE707" s="52"/>
      <c r="AF707" s="52"/>
      <c r="AG707" s="52"/>
      <c r="AH707" s="52"/>
      <c r="AI707" s="52"/>
      <c r="AJ707" s="52"/>
      <c r="AK707" s="52"/>
      <c r="AL707" s="52"/>
      <c r="AM707" s="52"/>
      <c r="AN707" s="52"/>
      <c r="AO707" s="52"/>
      <c r="AP707" s="52"/>
      <c r="AQ707" s="52"/>
    </row>
    <row r="708" spans="1:43">
      <c r="A708" s="150"/>
      <c r="B708" s="477"/>
      <c r="C708" s="125"/>
      <c r="D708" s="478"/>
      <c r="E708" s="478"/>
      <c r="F708" s="52"/>
      <c r="G708" s="52"/>
      <c r="H708" s="52"/>
      <c r="I708" s="52"/>
      <c r="J708" s="52"/>
      <c r="K708" s="52"/>
      <c r="L708" s="52"/>
      <c r="M708" s="52"/>
      <c r="N708" s="52"/>
      <c r="O708" s="52"/>
      <c r="P708" s="52"/>
      <c r="Q708" s="52"/>
      <c r="R708" s="52"/>
      <c r="S708" s="52"/>
      <c r="T708" s="52"/>
      <c r="U708" s="52"/>
      <c r="V708" s="52"/>
      <c r="W708" s="52"/>
      <c r="X708" s="52"/>
      <c r="Y708" s="52"/>
      <c r="Z708" s="52"/>
      <c r="AA708" s="52"/>
      <c r="AB708" s="52"/>
      <c r="AC708" s="52"/>
      <c r="AD708" s="52"/>
      <c r="AE708" s="52"/>
      <c r="AF708" s="52"/>
      <c r="AG708" s="52"/>
      <c r="AH708" s="52"/>
      <c r="AI708" s="52"/>
      <c r="AJ708" s="52"/>
      <c r="AK708" s="52"/>
      <c r="AL708" s="52"/>
      <c r="AM708" s="52"/>
      <c r="AN708" s="52"/>
      <c r="AO708" s="52"/>
      <c r="AP708" s="52"/>
      <c r="AQ708" s="52"/>
    </row>
    <row r="709" spans="1:43">
      <c r="A709" s="150"/>
      <c r="B709" s="477"/>
      <c r="C709" s="125"/>
      <c r="D709" s="478"/>
      <c r="E709" s="478"/>
      <c r="F709" s="52"/>
      <c r="G709" s="52"/>
      <c r="H709" s="52"/>
      <c r="I709" s="52"/>
      <c r="J709" s="52"/>
      <c r="K709" s="52"/>
      <c r="L709" s="52"/>
      <c r="M709" s="52"/>
      <c r="N709" s="52"/>
      <c r="O709" s="52"/>
      <c r="P709" s="52"/>
      <c r="Q709" s="52"/>
      <c r="R709" s="52"/>
      <c r="S709" s="52"/>
      <c r="T709" s="52"/>
      <c r="U709" s="52"/>
      <c r="V709" s="52"/>
      <c r="W709" s="52"/>
      <c r="X709" s="52"/>
      <c r="Y709" s="52"/>
      <c r="Z709" s="52"/>
      <c r="AA709" s="52"/>
      <c r="AB709" s="52"/>
      <c r="AC709" s="52"/>
      <c r="AD709" s="52"/>
      <c r="AE709" s="52"/>
      <c r="AF709" s="52"/>
      <c r="AG709" s="52"/>
      <c r="AH709" s="52"/>
      <c r="AI709" s="52"/>
      <c r="AJ709" s="52"/>
      <c r="AK709" s="52"/>
      <c r="AL709" s="52"/>
      <c r="AM709" s="52"/>
      <c r="AN709" s="52"/>
      <c r="AO709" s="52"/>
      <c r="AP709" s="52"/>
      <c r="AQ709" s="52"/>
    </row>
    <row r="710" spans="1:43">
      <c r="A710" s="150"/>
      <c r="B710" s="477"/>
      <c r="C710" s="125"/>
      <c r="D710" s="478"/>
      <c r="E710" s="478"/>
      <c r="F710" s="52"/>
      <c r="G710" s="52"/>
      <c r="H710" s="52"/>
      <c r="I710" s="52"/>
      <c r="J710" s="52"/>
      <c r="K710" s="52"/>
      <c r="L710" s="52"/>
      <c r="M710" s="52"/>
      <c r="N710" s="52"/>
      <c r="O710" s="52"/>
      <c r="P710" s="52"/>
      <c r="Q710" s="52"/>
      <c r="R710" s="52"/>
      <c r="S710" s="52"/>
      <c r="T710" s="52"/>
      <c r="U710" s="52"/>
      <c r="V710" s="52"/>
      <c r="W710" s="52"/>
      <c r="X710" s="52"/>
      <c r="Y710" s="52"/>
      <c r="Z710" s="52"/>
      <c r="AA710" s="52"/>
      <c r="AB710" s="52"/>
      <c r="AC710" s="52"/>
      <c r="AD710" s="52"/>
      <c r="AE710" s="52"/>
      <c r="AF710" s="52"/>
      <c r="AG710" s="52"/>
      <c r="AH710" s="52"/>
      <c r="AI710" s="52"/>
      <c r="AJ710" s="52"/>
      <c r="AK710" s="52"/>
      <c r="AL710" s="52"/>
      <c r="AM710" s="52"/>
      <c r="AN710" s="52"/>
      <c r="AO710" s="52"/>
      <c r="AP710" s="52"/>
      <c r="AQ710" s="52"/>
    </row>
    <row r="711" spans="1:43">
      <c r="A711" s="150"/>
      <c r="B711" s="477"/>
      <c r="C711" s="125"/>
      <c r="D711" s="478"/>
      <c r="E711" s="478"/>
      <c r="F711" s="52"/>
      <c r="G711" s="52"/>
      <c r="H711" s="52"/>
      <c r="I711" s="52"/>
      <c r="J711" s="52"/>
      <c r="K711" s="52"/>
      <c r="L711" s="52"/>
      <c r="M711" s="52"/>
      <c r="N711" s="52"/>
      <c r="O711" s="52"/>
      <c r="P711" s="52"/>
      <c r="Q711" s="52"/>
      <c r="R711" s="52"/>
      <c r="S711" s="52"/>
      <c r="T711" s="52"/>
      <c r="U711" s="52"/>
      <c r="V711" s="52"/>
      <c r="W711" s="52"/>
      <c r="X711" s="52"/>
      <c r="Y711" s="52"/>
      <c r="Z711" s="52"/>
      <c r="AA711" s="52"/>
      <c r="AB711" s="52"/>
      <c r="AC711" s="52"/>
      <c r="AD711" s="52"/>
      <c r="AE711" s="52"/>
      <c r="AF711" s="52"/>
      <c r="AG711" s="52"/>
      <c r="AH711" s="52"/>
      <c r="AI711" s="52"/>
      <c r="AJ711" s="52"/>
      <c r="AK711" s="52"/>
      <c r="AL711" s="52"/>
      <c r="AM711" s="52"/>
      <c r="AN711" s="52"/>
      <c r="AO711" s="52"/>
      <c r="AP711" s="52"/>
      <c r="AQ711" s="52"/>
    </row>
    <row r="712" spans="1:43">
      <c r="A712" s="150"/>
      <c r="B712" s="477"/>
      <c r="C712" s="125"/>
      <c r="D712" s="478"/>
      <c r="E712" s="478"/>
      <c r="F712" s="52"/>
      <c r="G712" s="52"/>
      <c r="H712" s="52"/>
      <c r="I712" s="52"/>
      <c r="J712" s="52"/>
      <c r="K712" s="52"/>
      <c r="L712" s="52"/>
      <c r="M712" s="52"/>
      <c r="N712" s="52"/>
      <c r="O712" s="52"/>
      <c r="P712" s="52"/>
      <c r="Q712" s="52"/>
      <c r="R712" s="52"/>
      <c r="S712" s="52"/>
      <c r="T712" s="52"/>
      <c r="U712" s="52"/>
      <c r="V712" s="52"/>
      <c r="W712" s="52"/>
      <c r="X712" s="52"/>
      <c r="Y712" s="52"/>
      <c r="Z712" s="52"/>
      <c r="AA712" s="52"/>
      <c r="AB712" s="52"/>
      <c r="AC712" s="52"/>
      <c r="AD712" s="52"/>
      <c r="AE712" s="52"/>
      <c r="AF712" s="52"/>
      <c r="AG712" s="52"/>
      <c r="AH712" s="52"/>
      <c r="AI712" s="52"/>
      <c r="AJ712" s="52"/>
      <c r="AK712" s="52"/>
      <c r="AL712" s="52"/>
      <c r="AM712" s="52"/>
      <c r="AN712" s="52"/>
      <c r="AO712" s="52"/>
      <c r="AP712" s="52"/>
      <c r="AQ712" s="52"/>
    </row>
    <row r="713" spans="1:43">
      <c r="A713" s="150"/>
      <c r="B713" s="477"/>
      <c r="C713" s="125"/>
      <c r="D713" s="478"/>
      <c r="E713" s="478"/>
      <c r="F713" s="52"/>
      <c r="G713" s="52"/>
      <c r="H713" s="52"/>
      <c r="I713" s="52"/>
      <c r="J713" s="52"/>
      <c r="K713" s="52"/>
      <c r="L713" s="52"/>
      <c r="M713" s="52"/>
      <c r="N713" s="52"/>
      <c r="O713" s="52"/>
      <c r="P713" s="52"/>
      <c r="Q713" s="52"/>
      <c r="R713" s="52"/>
      <c r="S713" s="52"/>
      <c r="T713" s="52"/>
      <c r="U713" s="52"/>
      <c r="V713" s="52"/>
      <c r="W713" s="52"/>
      <c r="X713" s="52"/>
      <c r="Y713" s="52"/>
      <c r="Z713" s="52"/>
      <c r="AA713" s="52"/>
      <c r="AB713" s="52"/>
      <c r="AC713" s="52"/>
      <c r="AD713" s="52"/>
      <c r="AE713" s="52"/>
      <c r="AF713" s="52"/>
      <c r="AG713" s="52"/>
      <c r="AH713" s="52"/>
      <c r="AI713" s="52"/>
      <c r="AJ713" s="52"/>
      <c r="AK713" s="52"/>
      <c r="AL713" s="52"/>
      <c r="AM713" s="52"/>
      <c r="AN713" s="52"/>
      <c r="AO713" s="52"/>
      <c r="AP713" s="52"/>
      <c r="AQ713" s="52"/>
    </row>
    <row r="714" spans="1:43">
      <c r="A714" s="150"/>
      <c r="B714" s="477"/>
      <c r="C714" s="125"/>
      <c r="D714" s="478"/>
      <c r="E714" s="478"/>
      <c r="F714" s="52"/>
      <c r="G714" s="52"/>
      <c r="H714" s="52"/>
      <c r="I714" s="52"/>
      <c r="J714" s="52"/>
      <c r="K714" s="52"/>
      <c r="L714" s="52"/>
      <c r="M714" s="52"/>
      <c r="N714" s="52"/>
      <c r="O714" s="52"/>
      <c r="P714" s="52"/>
      <c r="Q714" s="52"/>
      <c r="R714" s="52"/>
      <c r="S714" s="52"/>
      <c r="T714" s="52"/>
      <c r="U714" s="52"/>
      <c r="V714" s="52"/>
      <c r="W714" s="52"/>
      <c r="X714" s="52"/>
      <c r="Y714" s="52"/>
      <c r="Z714" s="52"/>
      <c r="AA714" s="52"/>
      <c r="AB714" s="52"/>
      <c r="AC714" s="52"/>
      <c r="AD714" s="52"/>
      <c r="AE714" s="52"/>
      <c r="AF714" s="52"/>
      <c r="AG714" s="52"/>
      <c r="AH714" s="52"/>
      <c r="AI714" s="52"/>
      <c r="AJ714" s="52"/>
      <c r="AK714" s="52"/>
      <c r="AL714" s="52"/>
      <c r="AM714" s="52"/>
      <c r="AN714" s="52"/>
      <c r="AO714" s="52"/>
      <c r="AP714" s="52"/>
      <c r="AQ714" s="52"/>
    </row>
    <row r="715" spans="1:43">
      <c r="A715" s="150"/>
      <c r="B715" s="477"/>
      <c r="C715" s="125"/>
      <c r="D715" s="478"/>
      <c r="E715" s="478"/>
      <c r="F715" s="52"/>
      <c r="G715" s="52"/>
      <c r="H715" s="52"/>
      <c r="I715" s="52"/>
      <c r="J715" s="52"/>
      <c r="K715" s="52"/>
      <c r="L715" s="52"/>
      <c r="M715" s="52"/>
      <c r="N715" s="52"/>
      <c r="O715" s="52"/>
      <c r="P715" s="52"/>
      <c r="Q715" s="52"/>
      <c r="R715" s="52"/>
      <c r="S715" s="52"/>
      <c r="T715" s="52"/>
      <c r="U715" s="52"/>
      <c r="V715" s="52"/>
      <c r="W715" s="52"/>
      <c r="X715" s="52"/>
      <c r="Y715" s="52"/>
      <c r="Z715" s="52"/>
      <c r="AA715" s="52"/>
      <c r="AB715" s="52"/>
      <c r="AC715" s="52"/>
      <c r="AD715" s="52"/>
      <c r="AE715" s="52"/>
      <c r="AF715" s="52"/>
      <c r="AG715" s="52"/>
      <c r="AH715" s="52"/>
      <c r="AI715" s="52"/>
      <c r="AJ715" s="52"/>
      <c r="AK715" s="52"/>
      <c r="AL715" s="52"/>
      <c r="AM715" s="52"/>
      <c r="AN715" s="52"/>
      <c r="AO715" s="52"/>
      <c r="AP715" s="52"/>
      <c r="AQ715" s="52"/>
    </row>
    <row r="716" spans="1:43">
      <c r="A716" s="150"/>
      <c r="B716" s="477"/>
      <c r="C716" s="125"/>
      <c r="D716" s="478"/>
      <c r="E716" s="478"/>
      <c r="F716" s="52"/>
      <c r="G716" s="52"/>
      <c r="H716" s="52"/>
      <c r="I716" s="52"/>
      <c r="J716" s="52"/>
      <c r="K716" s="52"/>
      <c r="L716" s="52"/>
      <c r="M716" s="52"/>
      <c r="N716" s="52"/>
      <c r="O716" s="52"/>
      <c r="P716" s="52"/>
      <c r="Q716" s="52"/>
      <c r="R716" s="52"/>
      <c r="S716" s="52"/>
      <c r="T716" s="52"/>
      <c r="U716" s="52"/>
      <c r="V716" s="52"/>
      <c r="W716" s="52"/>
      <c r="X716" s="52"/>
      <c r="Y716" s="52"/>
      <c r="Z716" s="52"/>
      <c r="AA716" s="52"/>
      <c r="AB716" s="52"/>
      <c r="AC716" s="52"/>
      <c r="AD716" s="52"/>
      <c r="AE716" s="52"/>
      <c r="AF716" s="52"/>
      <c r="AG716" s="52"/>
      <c r="AH716" s="52"/>
      <c r="AI716" s="52"/>
      <c r="AJ716" s="52"/>
      <c r="AK716" s="52"/>
      <c r="AL716" s="52"/>
      <c r="AM716" s="52"/>
      <c r="AN716" s="52"/>
      <c r="AO716" s="52"/>
      <c r="AP716" s="52"/>
      <c r="AQ716" s="52"/>
    </row>
    <row r="717" spans="1:43">
      <c r="A717" s="150"/>
      <c r="B717" s="477"/>
      <c r="C717" s="125"/>
      <c r="D717" s="478"/>
      <c r="E717" s="478"/>
      <c r="F717" s="52"/>
      <c r="G717" s="52"/>
      <c r="H717" s="52"/>
      <c r="I717" s="52"/>
      <c r="J717" s="52"/>
      <c r="K717" s="52"/>
      <c r="L717" s="52"/>
      <c r="M717" s="52"/>
      <c r="N717" s="52"/>
      <c r="O717" s="52"/>
      <c r="P717" s="52"/>
      <c r="Q717" s="52"/>
      <c r="R717" s="52"/>
      <c r="S717" s="52"/>
      <c r="T717" s="52"/>
      <c r="U717" s="52"/>
      <c r="V717" s="52"/>
      <c r="W717" s="52"/>
      <c r="X717" s="52"/>
      <c r="Y717" s="52"/>
      <c r="Z717" s="52"/>
      <c r="AA717" s="52"/>
      <c r="AB717" s="52"/>
      <c r="AC717" s="52"/>
      <c r="AD717" s="52"/>
      <c r="AE717" s="52"/>
      <c r="AF717" s="52"/>
      <c r="AG717" s="52"/>
      <c r="AH717" s="52"/>
      <c r="AI717" s="52"/>
      <c r="AJ717" s="52"/>
      <c r="AK717" s="52"/>
      <c r="AL717" s="52"/>
      <c r="AM717" s="52"/>
      <c r="AN717" s="52"/>
      <c r="AO717" s="52"/>
      <c r="AP717" s="52"/>
      <c r="AQ717" s="52"/>
    </row>
    <row r="718" spans="1:43">
      <c r="A718" s="150"/>
      <c r="B718" s="477"/>
      <c r="C718" s="125"/>
      <c r="D718" s="478"/>
      <c r="E718" s="478"/>
      <c r="F718" s="52"/>
      <c r="G718" s="52"/>
      <c r="H718" s="52"/>
      <c r="I718" s="52"/>
      <c r="J718" s="52"/>
      <c r="K718" s="52"/>
      <c r="L718" s="52"/>
      <c r="M718" s="52"/>
      <c r="N718" s="52"/>
      <c r="O718" s="52"/>
      <c r="P718" s="52"/>
      <c r="Q718" s="52"/>
      <c r="R718" s="52"/>
      <c r="S718" s="52"/>
      <c r="T718" s="52"/>
      <c r="U718" s="52"/>
      <c r="V718" s="52"/>
      <c r="W718" s="52"/>
      <c r="X718" s="52"/>
      <c r="Y718" s="52"/>
      <c r="Z718" s="52"/>
      <c r="AA718" s="52"/>
      <c r="AB718" s="52"/>
      <c r="AC718" s="52"/>
      <c r="AD718" s="52"/>
      <c r="AE718" s="52"/>
      <c r="AF718" s="52"/>
      <c r="AG718" s="52"/>
      <c r="AH718" s="52"/>
      <c r="AI718" s="52"/>
      <c r="AJ718" s="52"/>
      <c r="AK718" s="52"/>
      <c r="AL718" s="52"/>
      <c r="AM718" s="52"/>
      <c r="AN718" s="52"/>
      <c r="AO718" s="52"/>
      <c r="AP718" s="52"/>
      <c r="AQ718" s="52"/>
    </row>
    <row r="719" spans="1:43">
      <c r="A719" s="150"/>
      <c r="B719" s="477"/>
      <c r="C719" s="125"/>
      <c r="D719" s="478"/>
      <c r="E719" s="478"/>
      <c r="F719" s="52"/>
      <c r="G719" s="52"/>
      <c r="H719" s="52"/>
      <c r="I719" s="52"/>
      <c r="J719" s="52"/>
      <c r="K719" s="52"/>
      <c r="L719" s="52"/>
      <c r="M719" s="52"/>
      <c r="N719" s="52"/>
      <c r="O719" s="52"/>
      <c r="P719" s="52"/>
      <c r="Q719" s="52"/>
      <c r="R719" s="52"/>
      <c r="S719" s="52"/>
      <c r="T719" s="52"/>
      <c r="U719" s="52"/>
      <c r="V719" s="52"/>
      <c r="W719" s="52"/>
      <c r="X719" s="52"/>
      <c r="Y719" s="52"/>
      <c r="Z719" s="52"/>
      <c r="AA719" s="52"/>
      <c r="AB719" s="52"/>
      <c r="AC719" s="52"/>
      <c r="AD719" s="52"/>
      <c r="AE719" s="52"/>
      <c r="AF719" s="52"/>
      <c r="AG719" s="52"/>
      <c r="AH719" s="52"/>
      <c r="AI719" s="52"/>
      <c r="AJ719" s="52"/>
      <c r="AK719" s="52"/>
      <c r="AL719" s="52"/>
      <c r="AM719" s="52"/>
      <c r="AN719" s="52"/>
      <c r="AO719" s="52"/>
      <c r="AP719" s="52"/>
      <c r="AQ719" s="52"/>
    </row>
    <row r="720" spans="1:43">
      <c r="A720" s="150"/>
      <c r="B720" s="477"/>
      <c r="C720" s="125"/>
      <c r="D720" s="478"/>
      <c r="E720" s="478"/>
      <c r="F720" s="52"/>
      <c r="G720" s="52"/>
      <c r="H720" s="52"/>
      <c r="I720" s="52"/>
      <c r="J720" s="52"/>
      <c r="K720" s="52"/>
      <c r="L720" s="52"/>
      <c r="M720" s="52"/>
      <c r="N720" s="52"/>
      <c r="O720" s="52"/>
      <c r="P720" s="52"/>
      <c r="Q720" s="52"/>
      <c r="R720" s="52"/>
      <c r="S720" s="52"/>
      <c r="T720" s="52"/>
      <c r="U720" s="52"/>
      <c r="V720" s="52"/>
      <c r="W720" s="52"/>
      <c r="X720" s="52"/>
      <c r="Y720" s="52"/>
      <c r="Z720" s="52"/>
      <c r="AA720" s="52"/>
      <c r="AB720" s="52"/>
      <c r="AC720" s="52"/>
      <c r="AD720" s="52"/>
      <c r="AE720" s="52"/>
      <c r="AF720" s="52"/>
      <c r="AG720" s="52"/>
      <c r="AH720" s="52"/>
      <c r="AI720" s="52"/>
      <c r="AJ720" s="52"/>
      <c r="AK720" s="52"/>
      <c r="AL720" s="52"/>
      <c r="AM720" s="52"/>
      <c r="AN720" s="52"/>
      <c r="AO720" s="52"/>
      <c r="AP720" s="52"/>
      <c r="AQ720" s="52"/>
    </row>
    <row r="721" spans="1:43">
      <c r="A721" s="150"/>
      <c r="B721" s="477"/>
      <c r="C721" s="125"/>
      <c r="D721" s="478"/>
      <c r="E721" s="478"/>
      <c r="F721" s="52"/>
      <c r="G721" s="52"/>
      <c r="H721" s="52"/>
      <c r="I721" s="52"/>
      <c r="J721" s="52"/>
      <c r="K721" s="52"/>
      <c r="L721" s="52"/>
      <c r="M721" s="52"/>
      <c r="N721" s="52"/>
      <c r="O721" s="52"/>
      <c r="P721" s="52"/>
      <c r="Q721" s="52"/>
      <c r="R721" s="52"/>
      <c r="S721" s="52"/>
      <c r="T721" s="52"/>
      <c r="U721" s="52"/>
      <c r="V721" s="52"/>
      <c r="W721" s="52"/>
      <c r="X721" s="52"/>
      <c r="Y721" s="52"/>
      <c r="Z721" s="52"/>
      <c r="AA721" s="52"/>
      <c r="AB721" s="52"/>
      <c r="AC721" s="52"/>
      <c r="AD721" s="52"/>
      <c r="AE721" s="52"/>
      <c r="AF721" s="52"/>
      <c r="AG721" s="52"/>
      <c r="AH721" s="52"/>
      <c r="AI721" s="52"/>
      <c r="AJ721" s="52"/>
      <c r="AK721" s="52"/>
      <c r="AL721" s="52"/>
      <c r="AM721" s="52"/>
      <c r="AN721" s="52"/>
      <c r="AO721" s="52"/>
      <c r="AP721" s="52"/>
      <c r="AQ721" s="52"/>
    </row>
    <row r="722" spans="1:43">
      <c r="A722" s="150"/>
      <c r="B722" s="477"/>
      <c r="C722" s="125"/>
      <c r="D722" s="478"/>
      <c r="E722" s="478"/>
      <c r="F722" s="52"/>
      <c r="G722" s="52"/>
      <c r="H722" s="52"/>
      <c r="I722" s="52"/>
      <c r="J722" s="52"/>
      <c r="K722" s="52"/>
      <c r="L722" s="52"/>
      <c r="M722" s="52"/>
      <c r="N722" s="52"/>
      <c r="O722" s="52"/>
      <c r="P722" s="52"/>
      <c r="Q722" s="52"/>
      <c r="R722" s="52"/>
      <c r="S722" s="52"/>
      <c r="T722" s="52"/>
      <c r="U722" s="52"/>
      <c r="V722" s="52"/>
      <c r="W722" s="52"/>
      <c r="X722" s="52"/>
      <c r="Y722" s="52"/>
      <c r="Z722" s="52"/>
      <c r="AA722" s="52"/>
      <c r="AB722" s="52"/>
      <c r="AC722" s="52"/>
      <c r="AD722" s="52"/>
      <c r="AE722" s="52"/>
      <c r="AF722" s="52"/>
      <c r="AG722" s="52"/>
      <c r="AH722" s="52"/>
      <c r="AI722" s="52"/>
      <c r="AJ722" s="52"/>
      <c r="AK722" s="52"/>
      <c r="AL722" s="52"/>
      <c r="AM722" s="52"/>
      <c r="AN722" s="52"/>
      <c r="AO722" s="52"/>
      <c r="AP722" s="52"/>
      <c r="AQ722" s="52"/>
    </row>
    <row r="723" spans="1:43">
      <c r="A723" s="150"/>
      <c r="B723" s="477"/>
      <c r="C723" s="125"/>
      <c r="D723" s="478"/>
      <c r="E723" s="478"/>
      <c r="F723" s="52"/>
      <c r="G723" s="52"/>
      <c r="H723" s="52"/>
      <c r="I723" s="52"/>
      <c r="J723" s="52"/>
      <c r="K723" s="52"/>
      <c r="L723" s="52"/>
      <c r="M723" s="52"/>
      <c r="N723" s="52"/>
      <c r="O723" s="52"/>
      <c r="P723" s="52"/>
      <c r="Q723" s="52"/>
      <c r="R723" s="52"/>
      <c r="S723" s="52"/>
      <c r="T723" s="52"/>
      <c r="U723" s="52"/>
      <c r="V723" s="52"/>
      <c r="W723" s="52"/>
      <c r="X723" s="52"/>
      <c r="Y723" s="52"/>
      <c r="Z723" s="52"/>
      <c r="AA723" s="52"/>
      <c r="AB723" s="52"/>
      <c r="AC723" s="52"/>
      <c r="AD723" s="52"/>
      <c r="AE723" s="52"/>
      <c r="AF723" s="52"/>
      <c r="AG723" s="52"/>
      <c r="AH723" s="52"/>
      <c r="AI723" s="52"/>
      <c r="AJ723" s="52"/>
      <c r="AK723" s="52"/>
      <c r="AL723" s="52"/>
      <c r="AM723" s="52"/>
      <c r="AN723" s="52"/>
      <c r="AO723" s="52"/>
      <c r="AP723" s="52"/>
      <c r="AQ723" s="52"/>
    </row>
    <row r="724" spans="1:43">
      <c r="A724" s="150"/>
      <c r="B724" s="477"/>
      <c r="C724" s="125"/>
      <c r="D724" s="478"/>
      <c r="E724" s="478"/>
      <c r="F724" s="52"/>
      <c r="G724" s="52"/>
      <c r="H724" s="52"/>
      <c r="I724" s="52"/>
      <c r="J724" s="52"/>
      <c r="K724" s="52"/>
      <c r="L724" s="52"/>
      <c r="M724" s="52"/>
      <c r="N724" s="52"/>
      <c r="O724" s="52"/>
      <c r="P724" s="52"/>
      <c r="Q724" s="52"/>
      <c r="R724" s="52"/>
      <c r="S724" s="52"/>
      <c r="T724" s="52"/>
      <c r="U724" s="52"/>
      <c r="V724" s="52"/>
      <c r="W724" s="52"/>
      <c r="X724" s="52"/>
      <c r="Y724" s="52"/>
      <c r="Z724" s="52"/>
      <c r="AA724" s="52"/>
      <c r="AB724" s="52"/>
      <c r="AC724" s="52"/>
      <c r="AD724" s="52"/>
      <c r="AE724" s="52"/>
      <c r="AF724" s="52"/>
      <c r="AG724" s="52"/>
      <c r="AH724" s="52"/>
      <c r="AI724" s="52"/>
      <c r="AJ724" s="52"/>
      <c r="AK724" s="52"/>
      <c r="AL724" s="52"/>
      <c r="AM724" s="52"/>
      <c r="AN724" s="52"/>
      <c r="AO724" s="52"/>
      <c r="AP724" s="52"/>
      <c r="AQ724" s="52"/>
    </row>
    <row r="725" spans="1:43">
      <c r="A725" s="150"/>
      <c r="B725" s="477"/>
      <c r="C725" s="125"/>
      <c r="D725" s="478"/>
      <c r="E725" s="478"/>
      <c r="F725" s="52"/>
      <c r="G725" s="52"/>
      <c r="H725" s="52"/>
      <c r="I725" s="52"/>
      <c r="J725" s="52"/>
      <c r="K725" s="52"/>
      <c r="L725" s="52"/>
      <c r="M725" s="52"/>
      <c r="N725" s="52"/>
      <c r="O725" s="52"/>
      <c r="P725" s="52"/>
      <c r="Q725" s="52"/>
      <c r="R725" s="52"/>
      <c r="S725" s="52"/>
      <c r="T725" s="52"/>
      <c r="U725" s="52"/>
      <c r="V725" s="52"/>
      <c r="W725" s="52"/>
      <c r="X725" s="52"/>
      <c r="Y725" s="52"/>
      <c r="Z725" s="52"/>
      <c r="AA725" s="52"/>
      <c r="AB725" s="52"/>
      <c r="AC725" s="52"/>
      <c r="AD725" s="52"/>
      <c r="AE725" s="52"/>
      <c r="AF725" s="52"/>
      <c r="AG725" s="52"/>
      <c r="AH725" s="52"/>
      <c r="AI725" s="52"/>
      <c r="AJ725" s="52"/>
      <c r="AK725" s="52"/>
      <c r="AL725" s="52"/>
      <c r="AM725" s="52"/>
      <c r="AN725" s="52"/>
      <c r="AO725" s="52"/>
      <c r="AP725" s="52"/>
      <c r="AQ725" s="52"/>
    </row>
    <row r="726" spans="1:43">
      <c r="A726" s="150"/>
      <c r="B726" s="477"/>
      <c r="C726" s="125"/>
      <c r="D726" s="478"/>
      <c r="E726" s="478"/>
      <c r="F726" s="52"/>
      <c r="G726" s="52"/>
      <c r="H726" s="52"/>
      <c r="I726" s="52"/>
      <c r="J726" s="52"/>
      <c r="K726" s="52"/>
      <c r="L726" s="52"/>
      <c r="M726" s="52"/>
      <c r="N726" s="52"/>
      <c r="O726" s="52"/>
      <c r="P726" s="52"/>
      <c r="Q726" s="52"/>
      <c r="R726" s="52"/>
      <c r="S726" s="52"/>
      <c r="T726" s="52"/>
      <c r="U726" s="52"/>
      <c r="V726" s="52"/>
      <c r="W726" s="52"/>
      <c r="X726" s="52"/>
      <c r="Y726" s="52"/>
      <c r="Z726" s="52"/>
      <c r="AA726" s="52"/>
      <c r="AB726" s="52"/>
      <c r="AC726" s="52"/>
      <c r="AD726" s="52"/>
      <c r="AE726" s="52"/>
      <c r="AF726" s="52"/>
      <c r="AG726" s="52"/>
      <c r="AH726" s="52"/>
      <c r="AI726" s="52"/>
      <c r="AJ726" s="52"/>
      <c r="AK726" s="52"/>
      <c r="AL726" s="52"/>
      <c r="AM726" s="52"/>
      <c r="AN726" s="52"/>
      <c r="AO726" s="52"/>
      <c r="AP726" s="52"/>
      <c r="AQ726" s="52"/>
    </row>
    <row r="727" spans="1:43">
      <c r="A727" s="150"/>
      <c r="B727" s="477"/>
      <c r="C727" s="125"/>
      <c r="D727" s="478"/>
      <c r="E727" s="478"/>
      <c r="F727" s="52"/>
      <c r="G727" s="52"/>
      <c r="H727" s="52"/>
      <c r="I727" s="52"/>
      <c r="J727" s="52"/>
      <c r="K727" s="52"/>
      <c r="L727" s="52"/>
      <c r="M727" s="52"/>
      <c r="N727" s="52"/>
      <c r="O727" s="52"/>
      <c r="P727" s="52"/>
      <c r="Q727" s="52"/>
      <c r="R727" s="52"/>
      <c r="S727" s="52"/>
      <c r="T727" s="52"/>
      <c r="U727" s="52"/>
      <c r="V727" s="52"/>
      <c r="W727" s="52"/>
      <c r="X727" s="52"/>
      <c r="Y727" s="52"/>
      <c r="Z727" s="52"/>
      <c r="AA727" s="52"/>
      <c r="AB727" s="52"/>
      <c r="AC727" s="52"/>
      <c r="AD727" s="52"/>
      <c r="AE727" s="52"/>
      <c r="AF727" s="52"/>
      <c r="AG727" s="52"/>
      <c r="AH727" s="52"/>
      <c r="AI727" s="52"/>
      <c r="AJ727" s="52"/>
      <c r="AK727" s="52"/>
      <c r="AL727" s="52"/>
      <c r="AM727" s="52"/>
      <c r="AN727" s="52"/>
      <c r="AO727" s="52"/>
      <c r="AP727" s="52"/>
      <c r="AQ727" s="52"/>
    </row>
    <row r="728" spans="1:43">
      <c r="A728" s="150"/>
      <c r="B728" s="477"/>
      <c r="C728" s="125"/>
      <c r="D728" s="478"/>
      <c r="E728" s="478"/>
      <c r="F728" s="52"/>
      <c r="G728" s="52"/>
      <c r="H728" s="52"/>
      <c r="I728" s="52"/>
      <c r="J728" s="52"/>
      <c r="K728" s="52"/>
      <c r="L728" s="52"/>
      <c r="M728" s="52"/>
      <c r="N728" s="52"/>
      <c r="O728" s="52"/>
      <c r="P728" s="52"/>
      <c r="Q728" s="52"/>
      <c r="R728" s="52"/>
      <c r="S728" s="52"/>
      <c r="T728" s="52"/>
      <c r="U728" s="52"/>
      <c r="V728" s="52"/>
      <c r="W728" s="52"/>
      <c r="X728" s="52"/>
      <c r="Y728" s="52"/>
      <c r="Z728" s="52"/>
      <c r="AA728" s="52"/>
      <c r="AB728" s="52"/>
      <c r="AC728" s="52"/>
      <c r="AD728" s="52"/>
      <c r="AE728" s="52"/>
      <c r="AF728" s="52"/>
      <c r="AG728" s="52"/>
      <c r="AH728" s="52"/>
      <c r="AI728" s="52"/>
      <c r="AJ728" s="52"/>
      <c r="AK728" s="52"/>
      <c r="AL728" s="52"/>
      <c r="AM728" s="52"/>
      <c r="AN728" s="52"/>
      <c r="AO728" s="52"/>
      <c r="AP728" s="52"/>
      <c r="AQ728" s="52"/>
    </row>
    <row r="729" spans="1:43">
      <c r="A729" s="150"/>
      <c r="B729" s="477"/>
      <c r="C729" s="125"/>
      <c r="D729" s="478"/>
      <c r="E729" s="478"/>
      <c r="F729" s="52"/>
      <c r="G729" s="52"/>
      <c r="H729" s="52"/>
      <c r="I729" s="52"/>
      <c r="J729" s="52"/>
      <c r="K729" s="52"/>
      <c r="L729" s="52"/>
      <c r="M729" s="52"/>
      <c r="N729" s="52"/>
      <c r="O729" s="52"/>
      <c r="P729" s="52"/>
      <c r="Q729" s="52"/>
      <c r="R729" s="52"/>
      <c r="S729" s="52"/>
      <c r="T729" s="52"/>
      <c r="U729" s="52"/>
      <c r="V729" s="52"/>
      <c r="W729" s="52"/>
      <c r="X729" s="52"/>
      <c r="Y729" s="52"/>
      <c r="Z729" s="52"/>
      <c r="AA729" s="52"/>
      <c r="AB729" s="52"/>
      <c r="AC729" s="52"/>
      <c r="AD729" s="52"/>
      <c r="AE729" s="52"/>
      <c r="AF729" s="52"/>
      <c r="AG729" s="52"/>
      <c r="AH729" s="52"/>
      <c r="AI729" s="52"/>
      <c r="AJ729" s="52"/>
      <c r="AK729" s="52"/>
      <c r="AL729" s="52"/>
      <c r="AM729" s="52"/>
      <c r="AN729" s="52"/>
      <c r="AO729" s="52"/>
      <c r="AP729" s="52"/>
      <c r="AQ729" s="52"/>
    </row>
    <row r="730" spans="1:43">
      <c r="A730" s="150"/>
      <c r="B730" s="477"/>
      <c r="C730" s="125"/>
      <c r="D730" s="478"/>
      <c r="E730" s="478"/>
      <c r="F730" s="52"/>
      <c r="G730" s="52"/>
      <c r="H730" s="52"/>
      <c r="I730" s="52"/>
      <c r="J730" s="52"/>
      <c r="K730" s="52"/>
      <c r="L730" s="52"/>
      <c r="M730" s="52"/>
      <c r="N730" s="52"/>
      <c r="O730" s="52"/>
      <c r="P730" s="52"/>
      <c r="Q730" s="52"/>
      <c r="R730" s="52"/>
      <c r="S730" s="52"/>
      <c r="T730" s="52"/>
      <c r="U730" s="52"/>
      <c r="V730" s="52"/>
      <c r="W730" s="52"/>
      <c r="X730" s="52"/>
      <c r="Y730" s="52"/>
      <c r="Z730" s="52"/>
      <c r="AA730" s="52"/>
      <c r="AB730" s="52"/>
      <c r="AC730" s="52"/>
      <c r="AD730" s="52"/>
      <c r="AE730" s="52"/>
      <c r="AF730" s="52"/>
      <c r="AG730" s="52"/>
      <c r="AH730" s="52"/>
      <c r="AI730" s="52"/>
      <c r="AJ730" s="52"/>
      <c r="AK730" s="52"/>
      <c r="AL730" s="52"/>
      <c r="AM730" s="52"/>
      <c r="AN730" s="52"/>
      <c r="AO730" s="52"/>
      <c r="AP730" s="52"/>
      <c r="AQ730" s="52"/>
    </row>
    <row r="731" spans="1:43">
      <c r="A731" s="150"/>
      <c r="B731" s="477"/>
      <c r="C731" s="125"/>
      <c r="D731" s="478"/>
      <c r="E731" s="478"/>
      <c r="F731" s="52"/>
      <c r="G731" s="52"/>
      <c r="H731" s="52"/>
      <c r="I731" s="52"/>
      <c r="J731" s="52"/>
      <c r="K731" s="52"/>
      <c r="L731" s="52"/>
      <c r="M731" s="52"/>
      <c r="N731" s="52"/>
      <c r="O731" s="52"/>
      <c r="P731" s="52"/>
      <c r="Q731" s="52"/>
      <c r="R731" s="52"/>
      <c r="S731" s="52"/>
      <c r="T731" s="52"/>
      <c r="U731" s="52"/>
      <c r="V731" s="52"/>
      <c r="W731" s="52"/>
      <c r="X731" s="52"/>
      <c r="Y731" s="52"/>
      <c r="Z731" s="52"/>
      <c r="AA731" s="52"/>
      <c r="AB731" s="52"/>
      <c r="AC731" s="52"/>
      <c r="AD731" s="52"/>
      <c r="AE731" s="52"/>
      <c r="AF731" s="52"/>
      <c r="AG731" s="52"/>
      <c r="AH731" s="52"/>
      <c r="AI731" s="52"/>
      <c r="AJ731" s="52"/>
      <c r="AK731" s="52"/>
      <c r="AL731" s="52"/>
      <c r="AM731" s="52"/>
      <c r="AN731" s="52"/>
      <c r="AO731" s="52"/>
      <c r="AP731" s="52"/>
      <c r="AQ731" s="52"/>
    </row>
    <row r="732" spans="1:43">
      <c r="A732" s="150"/>
      <c r="B732" s="477"/>
      <c r="C732" s="125"/>
      <c r="D732" s="478"/>
      <c r="E732" s="478"/>
      <c r="F732" s="52"/>
      <c r="G732" s="52"/>
      <c r="H732" s="52"/>
      <c r="I732" s="52"/>
      <c r="J732" s="52"/>
      <c r="K732" s="52"/>
      <c r="L732" s="52"/>
      <c r="M732" s="52"/>
      <c r="N732" s="52"/>
      <c r="O732" s="52"/>
      <c r="P732" s="52"/>
      <c r="Q732" s="52"/>
      <c r="R732" s="52"/>
      <c r="S732" s="52"/>
      <c r="T732" s="52"/>
      <c r="U732" s="52"/>
      <c r="V732" s="52"/>
      <c r="W732" s="52"/>
      <c r="X732" s="52"/>
      <c r="Y732" s="52"/>
      <c r="Z732" s="52"/>
      <c r="AA732" s="52"/>
      <c r="AB732" s="52"/>
      <c r="AC732" s="52"/>
      <c r="AD732" s="52"/>
      <c r="AE732" s="52"/>
      <c r="AF732" s="52"/>
      <c r="AG732" s="52"/>
      <c r="AH732" s="52"/>
      <c r="AI732" s="52"/>
      <c r="AJ732" s="52"/>
      <c r="AK732" s="52"/>
      <c r="AL732" s="52"/>
      <c r="AM732" s="52"/>
      <c r="AN732" s="52"/>
      <c r="AO732" s="52"/>
      <c r="AP732" s="52"/>
      <c r="AQ732" s="52"/>
    </row>
    <row r="733" spans="1:43">
      <c r="A733" s="150"/>
      <c r="B733" s="477"/>
      <c r="C733" s="125"/>
      <c r="D733" s="478"/>
      <c r="E733" s="478"/>
      <c r="F733" s="52"/>
      <c r="G733" s="52"/>
      <c r="H733" s="52"/>
      <c r="I733" s="52"/>
      <c r="J733" s="52"/>
      <c r="K733" s="52"/>
      <c r="L733" s="52"/>
      <c r="M733" s="52"/>
      <c r="N733" s="52"/>
      <c r="O733" s="52"/>
      <c r="P733" s="52"/>
      <c r="Q733" s="52"/>
      <c r="R733" s="52"/>
      <c r="S733" s="52"/>
      <c r="T733" s="52"/>
      <c r="U733" s="52"/>
      <c r="V733" s="52"/>
      <c r="W733" s="52"/>
      <c r="X733" s="52"/>
      <c r="Y733" s="52"/>
      <c r="Z733" s="52"/>
      <c r="AA733" s="52"/>
      <c r="AB733" s="52"/>
      <c r="AC733" s="52"/>
      <c r="AD733" s="52"/>
      <c r="AE733" s="52"/>
      <c r="AF733" s="52"/>
      <c r="AG733" s="52"/>
      <c r="AH733" s="52"/>
      <c r="AI733" s="52"/>
      <c r="AJ733" s="52"/>
      <c r="AK733" s="52"/>
      <c r="AL733" s="52"/>
      <c r="AM733" s="52"/>
      <c r="AN733" s="52"/>
      <c r="AO733" s="52"/>
      <c r="AP733" s="52"/>
      <c r="AQ733" s="52"/>
    </row>
    <row r="734" spans="1:43">
      <c r="A734" s="150"/>
      <c r="B734" s="477"/>
      <c r="C734" s="125"/>
      <c r="D734" s="478"/>
      <c r="E734" s="478"/>
      <c r="F734" s="52"/>
      <c r="G734" s="52"/>
      <c r="H734" s="52"/>
      <c r="I734" s="52"/>
      <c r="J734" s="52"/>
      <c r="K734" s="52"/>
      <c r="L734" s="52"/>
      <c r="M734" s="52"/>
      <c r="N734" s="52"/>
      <c r="O734" s="52"/>
      <c r="P734" s="52"/>
      <c r="Q734" s="52"/>
      <c r="R734" s="52"/>
      <c r="S734" s="52"/>
      <c r="T734" s="52"/>
      <c r="U734" s="52"/>
      <c r="V734" s="52"/>
      <c r="W734" s="52"/>
      <c r="X734" s="52"/>
      <c r="Y734" s="52"/>
      <c r="Z734" s="52"/>
      <c r="AA734" s="52"/>
      <c r="AB734" s="52"/>
      <c r="AC734" s="52"/>
      <c r="AD734" s="52"/>
      <c r="AE734" s="52"/>
      <c r="AF734" s="52"/>
      <c r="AG734" s="52"/>
      <c r="AH734" s="52"/>
      <c r="AI734" s="52"/>
      <c r="AJ734" s="52"/>
      <c r="AK734" s="52"/>
      <c r="AL734" s="52"/>
      <c r="AM734" s="52"/>
      <c r="AN734" s="52"/>
      <c r="AO734" s="52"/>
      <c r="AP734" s="52"/>
      <c r="AQ734" s="52"/>
    </row>
    <row r="735" spans="1:43">
      <c r="A735" s="150"/>
      <c r="B735" s="477"/>
      <c r="C735" s="125"/>
      <c r="D735" s="478"/>
      <c r="E735" s="478"/>
      <c r="F735" s="52"/>
      <c r="G735" s="52"/>
      <c r="H735" s="52"/>
      <c r="I735" s="52"/>
      <c r="J735" s="52"/>
      <c r="K735" s="52"/>
      <c r="L735" s="52"/>
      <c r="M735" s="52"/>
      <c r="N735" s="52"/>
      <c r="O735" s="52"/>
      <c r="P735" s="52"/>
      <c r="Q735" s="52"/>
      <c r="R735" s="52"/>
      <c r="S735" s="52"/>
      <c r="T735" s="52"/>
      <c r="U735" s="52"/>
      <c r="V735" s="52"/>
      <c r="W735" s="52"/>
      <c r="X735" s="52"/>
      <c r="Y735" s="52"/>
      <c r="Z735" s="52"/>
      <c r="AA735" s="52"/>
      <c r="AB735" s="52"/>
      <c r="AC735" s="52"/>
      <c r="AD735" s="52"/>
      <c r="AE735" s="52"/>
      <c r="AF735" s="52"/>
      <c r="AG735" s="52"/>
      <c r="AH735" s="52"/>
      <c r="AI735" s="52"/>
      <c r="AJ735" s="52"/>
      <c r="AK735" s="52"/>
      <c r="AL735" s="52"/>
      <c r="AM735" s="52"/>
      <c r="AN735" s="52"/>
      <c r="AO735" s="52"/>
      <c r="AP735" s="52"/>
      <c r="AQ735" s="52"/>
    </row>
    <row r="736" spans="1:43">
      <c r="A736" s="150"/>
      <c r="B736" s="477"/>
      <c r="C736" s="125"/>
      <c r="D736" s="478"/>
      <c r="E736" s="478"/>
      <c r="F736" s="52"/>
      <c r="G736" s="52"/>
      <c r="H736" s="52"/>
      <c r="I736" s="52"/>
      <c r="J736" s="52"/>
      <c r="K736" s="52"/>
      <c r="L736" s="52"/>
      <c r="M736" s="52"/>
      <c r="N736" s="52"/>
      <c r="O736" s="52"/>
      <c r="P736" s="52"/>
      <c r="Q736" s="52"/>
      <c r="R736" s="52"/>
      <c r="S736" s="52"/>
      <c r="T736" s="52"/>
      <c r="U736" s="52"/>
      <c r="V736" s="52"/>
      <c r="W736" s="52"/>
      <c r="X736" s="52"/>
      <c r="Y736" s="52"/>
      <c r="Z736" s="52"/>
      <c r="AA736" s="52"/>
      <c r="AB736" s="52"/>
      <c r="AC736" s="52"/>
      <c r="AD736" s="52"/>
      <c r="AE736" s="52"/>
      <c r="AF736" s="52"/>
      <c r="AG736" s="52"/>
      <c r="AH736" s="52"/>
      <c r="AI736" s="52"/>
      <c r="AJ736" s="52"/>
      <c r="AK736" s="52"/>
      <c r="AL736" s="52"/>
      <c r="AM736" s="52"/>
      <c r="AN736" s="52"/>
      <c r="AO736" s="52"/>
      <c r="AP736" s="52"/>
      <c r="AQ736" s="52"/>
    </row>
    <row r="737" spans="1:43">
      <c r="A737" s="150"/>
      <c r="B737" s="477"/>
      <c r="C737" s="125"/>
      <c r="D737" s="478"/>
      <c r="E737" s="478"/>
      <c r="F737" s="52"/>
      <c r="G737" s="52"/>
      <c r="H737" s="52"/>
      <c r="I737" s="52"/>
      <c r="J737" s="52"/>
      <c r="K737" s="52"/>
      <c r="L737" s="52"/>
      <c r="M737" s="52"/>
      <c r="N737" s="52"/>
      <c r="O737" s="52"/>
      <c r="P737" s="52"/>
      <c r="Q737" s="52"/>
      <c r="R737" s="52"/>
      <c r="S737" s="52"/>
      <c r="T737" s="52"/>
      <c r="U737" s="52"/>
      <c r="V737" s="52"/>
      <c r="W737" s="52"/>
      <c r="X737" s="52"/>
      <c r="Y737" s="52"/>
      <c r="Z737" s="52"/>
      <c r="AA737" s="52"/>
      <c r="AB737" s="52"/>
      <c r="AC737" s="52"/>
      <c r="AD737" s="52"/>
      <c r="AE737" s="52"/>
      <c r="AF737" s="52"/>
      <c r="AG737" s="52"/>
      <c r="AH737" s="52"/>
      <c r="AI737" s="52"/>
      <c r="AJ737" s="52"/>
      <c r="AK737" s="52"/>
      <c r="AL737" s="52"/>
      <c r="AM737" s="52"/>
      <c r="AN737" s="52"/>
      <c r="AO737" s="52"/>
      <c r="AP737" s="52"/>
      <c r="AQ737" s="52"/>
    </row>
    <row r="738" spans="1:43">
      <c r="A738" s="150"/>
      <c r="B738" s="477"/>
      <c r="C738" s="125"/>
      <c r="D738" s="478"/>
      <c r="E738" s="478"/>
      <c r="F738" s="52"/>
      <c r="G738" s="52"/>
      <c r="H738" s="52"/>
      <c r="I738" s="52"/>
      <c r="J738" s="52"/>
      <c r="K738" s="52"/>
      <c r="L738" s="52"/>
      <c r="M738" s="52"/>
      <c r="N738" s="52"/>
      <c r="O738" s="52"/>
      <c r="P738" s="52"/>
      <c r="Q738" s="52"/>
      <c r="R738" s="52"/>
      <c r="S738" s="52"/>
      <c r="T738" s="52"/>
      <c r="U738" s="52"/>
      <c r="V738" s="52"/>
      <c r="W738" s="52"/>
      <c r="X738" s="52"/>
      <c r="Y738" s="52"/>
      <c r="Z738" s="52"/>
      <c r="AA738" s="52"/>
      <c r="AB738" s="52"/>
      <c r="AC738" s="52"/>
      <c r="AD738" s="52"/>
      <c r="AE738" s="52"/>
      <c r="AF738" s="52"/>
      <c r="AG738" s="52"/>
      <c r="AH738" s="52"/>
      <c r="AI738" s="52"/>
      <c r="AJ738" s="52"/>
      <c r="AK738" s="52"/>
      <c r="AL738" s="52"/>
      <c r="AM738" s="52"/>
      <c r="AN738" s="52"/>
      <c r="AO738" s="52"/>
      <c r="AP738" s="52"/>
      <c r="AQ738" s="52"/>
    </row>
    <row r="739" spans="1:43">
      <c r="A739" s="150"/>
      <c r="B739" s="477"/>
      <c r="C739" s="125"/>
      <c r="D739" s="478"/>
      <c r="E739" s="478"/>
      <c r="F739" s="52"/>
      <c r="G739" s="52"/>
      <c r="H739" s="52"/>
      <c r="I739" s="52"/>
      <c r="J739" s="52"/>
      <c r="K739" s="52"/>
      <c r="L739" s="52"/>
      <c r="M739" s="52"/>
      <c r="N739" s="52"/>
      <c r="O739" s="52"/>
      <c r="P739" s="52"/>
      <c r="Q739" s="52"/>
      <c r="R739" s="52"/>
      <c r="S739" s="52"/>
      <c r="T739" s="52"/>
      <c r="U739" s="52"/>
      <c r="V739" s="52"/>
      <c r="W739" s="52"/>
      <c r="X739" s="52"/>
      <c r="Y739" s="52"/>
      <c r="Z739" s="52"/>
      <c r="AA739" s="52"/>
      <c r="AB739" s="52"/>
      <c r="AC739" s="52"/>
      <c r="AD739" s="52"/>
      <c r="AE739" s="52"/>
      <c r="AF739" s="52"/>
      <c r="AG739" s="52"/>
      <c r="AH739" s="52"/>
      <c r="AI739" s="52"/>
      <c r="AJ739" s="52"/>
      <c r="AK739" s="52"/>
      <c r="AL739" s="52"/>
      <c r="AM739" s="52"/>
      <c r="AN739" s="52"/>
      <c r="AO739" s="52"/>
      <c r="AP739" s="52"/>
      <c r="AQ739" s="52"/>
    </row>
    <row r="740" spans="1:43">
      <c r="A740" s="150"/>
      <c r="B740" s="477"/>
      <c r="C740" s="125"/>
      <c r="D740" s="478"/>
      <c r="E740" s="478"/>
      <c r="F740" s="52"/>
      <c r="G740" s="52"/>
      <c r="H740" s="52"/>
      <c r="I740" s="52"/>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c r="AH740" s="52"/>
      <c r="AI740" s="52"/>
      <c r="AJ740" s="52"/>
      <c r="AK740" s="52"/>
      <c r="AL740" s="52"/>
      <c r="AM740" s="52"/>
      <c r="AN740" s="52"/>
      <c r="AO740" s="52"/>
      <c r="AP740" s="52"/>
      <c r="AQ740" s="52"/>
    </row>
    <row r="741" spans="1:43">
      <c r="A741" s="150"/>
      <c r="B741" s="477"/>
      <c r="C741" s="125"/>
      <c r="D741" s="478"/>
      <c r="E741" s="478"/>
      <c r="F741" s="52"/>
      <c r="G741" s="52"/>
      <c r="H741" s="52"/>
      <c r="I741" s="52"/>
      <c r="J741" s="52"/>
      <c r="K741" s="52"/>
      <c r="L741" s="52"/>
      <c r="M741" s="52"/>
      <c r="N741" s="52"/>
      <c r="O741" s="52"/>
      <c r="P741" s="52"/>
      <c r="Q741" s="52"/>
      <c r="R741" s="52"/>
      <c r="S741" s="52"/>
      <c r="T741" s="52"/>
      <c r="U741" s="52"/>
      <c r="V741" s="52"/>
      <c r="W741" s="52"/>
      <c r="X741" s="52"/>
      <c r="Y741" s="52"/>
      <c r="Z741" s="52"/>
      <c r="AA741" s="52"/>
      <c r="AB741" s="52"/>
      <c r="AC741" s="52"/>
      <c r="AD741" s="52"/>
      <c r="AE741" s="52"/>
      <c r="AF741" s="52"/>
      <c r="AG741" s="52"/>
      <c r="AH741" s="52"/>
      <c r="AI741" s="52"/>
      <c r="AJ741" s="52"/>
      <c r="AK741" s="52"/>
      <c r="AL741" s="52"/>
      <c r="AM741" s="52"/>
      <c r="AN741" s="52"/>
      <c r="AO741" s="52"/>
      <c r="AP741" s="52"/>
      <c r="AQ741" s="52"/>
    </row>
    <row r="742" spans="1:43">
      <c r="A742" s="150"/>
      <c r="B742" s="477"/>
      <c r="C742" s="125"/>
      <c r="D742" s="478"/>
      <c r="E742" s="478"/>
      <c r="F742" s="52"/>
      <c r="G742" s="52"/>
      <c r="H742" s="52"/>
      <c r="I742" s="52"/>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c r="AH742" s="52"/>
      <c r="AI742" s="52"/>
      <c r="AJ742" s="52"/>
      <c r="AK742" s="52"/>
      <c r="AL742" s="52"/>
      <c r="AM742" s="52"/>
      <c r="AN742" s="52"/>
      <c r="AO742" s="52"/>
      <c r="AP742" s="52"/>
      <c r="AQ742" s="52"/>
    </row>
    <row r="743" spans="1:43">
      <c r="A743" s="150"/>
      <c r="B743" s="477"/>
      <c r="C743" s="125"/>
      <c r="D743" s="478"/>
      <c r="E743" s="478"/>
      <c r="F743" s="52"/>
      <c r="G743" s="52"/>
      <c r="H743" s="52"/>
      <c r="I743" s="52"/>
      <c r="J743" s="52"/>
      <c r="K743" s="52"/>
      <c r="L743" s="52"/>
      <c r="M743" s="52"/>
      <c r="N743" s="52"/>
      <c r="O743" s="52"/>
      <c r="P743" s="52"/>
      <c r="Q743" s="52"/>
      <c r="R743" s="52"/>
      <c r="S743" s="52"/>
      <c r="T743" s="52"/>
      <c r="U743" s="52"/>
      <c r="V743" s="52"/>
      <c r="W743" s="52"/>
      <c r="X743" s="52"/>
      <c r="Y743" s="52"/>
      <c r="Z743" s="52"/>
      <c r="AA743" s="52"/>
      <c r="AB743" s="52"/>
      <c r="AC743" s="52"/>
      <c r="AD743" s="52"/>
      <c r="AE743" s="52"/>
      <c r="AF743" s="52"/>
      <c r="AG743" s="52"/>
      <c r="AH743" s="52"/>
      <c r="AI743" s="52"/>
      <c r="AJ743" s="52"/>
      <c r="AK743" s="52"/>
      <c r="AL743" s="52"/>
      <c r="AM743" s="52"/>
      <c r="AN743" s="52"/>
      <c r="AO743" s="52"/>
      <c r="AP743" s="52"/>
      <c r="AQ743" s="52"/>
    </row>
    <row r="744" spans="1:43">
      <c r="A744" s="150"/>
      <c r="B744" s="477"/>
      <c r="C744" s="125"/>
      <c r="D744" s="478"/>
      <c r="E744" s="478"/>
      <c r="F744" s="52"/>
      <c r="G744" s="52"/>
      <c r="H744" s="52"/>
      <c r="I744" s="52"/>
      <c r="J744" s="52"/>
      <c r="K744" s="52"/>
      <c r="L744" s="52"/>
      <c r="M744" s="52"/>
      <c r="N744" s="52"/>
      <c r="O744" s="52"/>
      <c r="P744" s="52"/>
      <c r="Q744" s="52"/>
      <c r="R744" s="52"/>
      <c r="S744" s="52"/>
      <c r="T744" s="52"/>
      <c r="U744" s="52"/>
      <c r="V744" s="52"/>
      <c r="W744" s="52"/>
      <c r="X744" s="52"/>
      <c r="Y744" s="52"/>
      <c r="Z744" s="52"/>
      <c r="AA744" s="52"/>
      <c r="AB744" s="52"/>
      <c r="AC744" s="52"/>
      <c r="AD744" s="52"/>
      <c r="AE744" s="52"/>
      <c r="AF744" s="52"/>
      <c r="AG744" s="52"/>
      <c r="AH744" s="52"/>
      <c r="AI744" s="52"/>
      <c r="AJ744" s="52"/>
      <c r="AK744" s="52"/>
      <c r="AL744" s="52"/>
      <c r="AM744" s="52"/>
      <c r="AN744" s="52"/>
      <c r="AO744" s="52"/>
      <c r="AP744" s="52"/>
      <c r="AQ744" s="52"/>
    </row>
    <row r="745" spans="1:43">
      <c r="A745" s="150"/>
      <c r="B745" s="477"/>
      <c r="C745" s="125"/>
      <c r="D745" s="478"/>
      <c r="E745" s="478"/>
      <c r="F745" s="52"/>
      <c r="G745" s="52"/>
      <c r="H745" s="52"/>
      <c r="I745" s="52"/>
      <c r="J745" s="52"/>
      <c r="K745" s="52"/>
      <c r="L745" s="52"/>
      <c r="M745" s="52"/>
      <c r="N745" s="52"/>
      <c r="O745" s="52"/>
      <c r="P745" s="52"/>
      <c r="Q745" s="52"/>
      <c r="R745" s="52"/>
      <c r="S745" s="52"/>
      <c r="T745" s="52"/>
      <c r="U745" s="52"/>
      <c r="V745" s="52"/>
      <c r="W745" s="52"/>
      <c r="X745" s="52"/>
      <c r="Y745" s="52"/>
      <c r="Z745" s="52"/>
      <c r="AA745" s="52"/>
      <c r="AB745" s="52"/>
      <c r="AC745" s="52"/>
      <c r="AD745" s="52"/>
      <c r="AE745" s="52"/>
      <c r="AF745" s="52"/>
      <c r="AG745" s="52"/>
      <c r="AH745" s="52"/>
      <c r="AI745" s="52"/>
      <c r="AJ745" s="52"/>
      <c r="AK745" s="52"/>
      <c r="AL745" s="52"/>
      <c r="AM745" s="52"/>
      <c r="AN745" s="52"/>
      <c r="AO745" s="52"/>
      <c r="AP745" s="52"/>
      <c r="AQ745" s="52"/>
    </row>
    <row r="746" spans="1:43">
      <c r="A746" s="150"/>
      <c r="B746" s="477"/>
      <c r="C746" s="125"/>
      <c r="D746" s="478"/>
      <c r="E746" s="478"/>
      <c r="F746" s="52"/>
      <c r="G746" s="52"/>
      <c r="H746" s="52"/>
      <c r="I746" s="52"/>
      <c r="J746" s="52"/>
      <c r="K746" s="52"/>
      <c r="L746" s="52"/>
      <c r="M746" s="52"/>
      <c r="N746" s="52"/>
      <c r="O746" s="52"/>
      <c r="P746" s="52"/>
      <c r="Q746" s="52"/>
      <c r="R746" s="52"/>
      <c r="S746" s="52"/>
      <c r="T746" s="52"/>
      <c r="U746" s="52"/>
      <c r="V746" s="52"/>
      <c r="W746" s="52"/>
      <c r="X746" s="52"/>
      <c r="Y746" s="52"/>
      <c r="Z746" s="52"/>
      <c r="AA746" s="52"/>
      <c r="AB746" s="52"/>
      <c r="AC746" s="52"/>
      <c r="AD746" s="52"/>
      <c r="AE746" s="52"/>
      <c r="AF746" s="52"/>
      <c r="AG746" s="52"/>
      <c r="AH746" s="52"/>
      <c r="AI746" s="52"/>
      <c r="AJ746" s="52"/>
      <c r="AK746" s="52"/>
      <c r="AL746" s="52"/>
      <c r="AM746" s="52"/>
      <c r="AN746" s="52"/>
      <c r="AO746" s="52"/>
      <c r="AP746" s="52"/>
      <c r="AQ746" s="52"/>
    </row>
    <row r="747" spans="1:43">
      <c r="A747" s="150"/>
      <c r="B747" s="477"/>
      <c r="C747" s="125"/>
      <c r="D747" s="478"/>
      <c r="E747" s="478"/>
      <c r="F747" s="52"/>
      <c r="G747" s="52"/>
      <c r="H747" s="52"/>
      <c r="I747" s="52"/>
      <c r="J747" s="52"/>
      <c r="K747" s="52"/>
      <c r="L747" s="52"/>
      <c r="M747" s="52"/>
      <c r="N747" s="52"/>
      <c r="O747" s="52"/>
      <c r="P747" s="52"/>
      <c r="Q747" s="52"/>
      <c r="R747" s="52"/>
      <c r="S747" s="52"/>
      <c r="T747" s="52"/>
      <c r="U747" s="52"/>
      <c r="V747" s="52"/>
      <c r="W747" s="52"/>
      <c r="X747" s="52"/>
      <c r="Y747" s="52"/>
      <c r="Z747" s="52"/>
      <c r="AA747" s="52"/>
      <c r="AB747" s="52"/>
      <c r="AC747" s="52"/>
      <c r="AD747" s="52"/>
      <c r="AE747" s="52"/>
      <c r="AF747" s="52"/>
      <c r="AG747" s="52"/>
      <c r="AH747" s="52"/>
      <c r="AI747" s="52"/>
      <c r="AJ747" s="52"/>
      <c r="AK747" s="52"/>
      <c r="AL747" s="52"/>
      <c r="AM747" s="52"/>
      <c r="AN747" s="52"/>
      <c r="AO747" s="52"/>
      <c r="AP747" s="52"/>
      <c r="AQ747" s="52"/>
    </row>
    <row r="748" spans="1:43">
      <c r="A748" s="150"/>
      <c r="B748" s="477"/>
      <c r="C748" s="125"/>
      <c r="D748" s="478"/>
      <c r="E748" s="478"/>
      <c r="F748" s="52"/>
      <c r="G748" s="52"/>
      <c r="H748" s="52"/>
      <c r="I748" s="52"/>
      <c r="J748" s="52"/>
      <c r="K748" s="52"/>
      <c r="L748" s="52"/>
      <c r="M748" s="52"/>
      <c r="N748" s="52"/>
      <c r="O748" s="52"/>
      <c r="P748" s="52"/>
      <c r="Q748" s="52"/>
      <c r="R748" s="52"/>
      <c r="S748" s="52"/>
      <c r="T748" s="52"/>
      <c r="U748" s="52"/>
      <c r="V748" s="52"/>
      <c r="W748" s="52"/>
      <c r="X748" s="52"/>
      <c r="Y748" s="52"/>
      <c r="Z748" s="52"/>
      <c r="AA748" s="52"/>
      <c r="AB748" s="52"/>
      <c r="AC748" s="52"/>
      <c r="AD748" s="52"/>
      <c r="AE748" s="52"/>
      <c r="AF748" s="52"/>
      <c r="AG748" s="52"/>
      <c r="AH748" s="52"/>
      <c r="AI748" s="52"/>
      <c r="AJ748" s="52"/>
      <c r="AK748" s="52"/>
      <c r="AL748" s="52"/>
      <c r="AM748" s="52"/>
      <c r="AN748" s="52"/>
      <c r="AO748" s="52"/>
      <c r="AP748" s="52"/>
      <c r="AQ748" s="52"/>
    </row>
    <row r="749" spans="1:43">
      <c r="A749" s="150"/>
      <c r="B749" s="477"/>
      <c r="C749" s="125"/>
      <c r="D749" s="478"/>
      <c r="E749" s="478"/>
      <c r="F749" s="52"/>
      <c r="G749" s="52"/>
      <c r="H749" s="52"/>
      <c r="I749" s="52"/>
      <c r="J749" s="52"/>
      <c r="K749" s="52"/>
      <c r="L749" s="52"/>
      <c r="M749" s="52"/>
      <c r="N749" s="52"/>
      <c r="O749" s="52"/>
      <c r="P749" s="52"/>
      <c r="Q749" s="52"/>
      <c r="R749" s="52"/>
      <c r="S749" s="52"/>
      <c r="T749" s="52"/>
      <c r="U749" s="52"/>
      <c r="V749" s="52"/>
      <c r="W749" s="52"/>
      <c r="X749" s="52"/>
      <c r="Y749" s="52"/>
      <c r="Z749" s="52"/>
      <c r="AA749" s="52"/>
      <c r="AB749" s="52"/>
      <c r="AC749" s="52"/>
      <c r="AD749" s="52"/>
      <c r="AE749" s="52"/>
      <c r="AF749" s="52"/>
      <c r="AG749" s="52"/>
      <c r="AH749" s="52"/>
      <c r="AI749" s="52"/>
      <c r="AJ749" s="52"/>
      <c r="AK749" s="52"/>
      <c r="AL749" s="52"/>
      <c r="AM749" s="52"/>
      <c r="AN749" s="52"/>
      <c r="AO749" s="52"/>
      <c r="AP749" s="52"/>
      <c r="AQ749" s="52"/>
    </row>
    <row r="750" spans="1:43">
      <c r="A750" s="150"/>
      <c r="B750" s="477"/>
      <c r="C750" s="125"/>
      <c r="D750" s="478"/>
      <c r="E750" s="478"/>
      <c r="F750" s="52"/>
      <c r="G750" s="52"/>
      <c r="H750" s="52"/>
      <c r="I750" s="52"/>
      <c r="J750" s="52"/>
      <c r="K750" s="52"/>
      <c r="L750" s="52"/>
      <c r="M750" s="52"/>
      <c r="N750" s="52"/>
      <c r="O750" s="52"/>
      <c r="P750" s="52"/>
      <c r="Q750" s="52"/>
      <c r="R750" s="52"/>
      <c r="S750" s="52"/>
      <c r="T750" s="52"/>
      <c r="U750" s="52"/>
      <c r="V750" s="52"/>
      <c r="W750" s="52"/>
      <c r="X750" s="52"/>
      <c r="Y750" s="52"/>
      <c r="Z750" s="52"/>
      <c r="AA750" s="52"/>
      <c r="AB750" s="52"/>
      <c r="AC750" s="52"/>
      <c r="AD750" s="52"/>
      <c r="AE750" s="52"/>
      <c r="AF750" s="52"/>
      <c r="AG750" s="52"/>
      <c r="AH750" s="52"/>
      <c r="AI750" s="52"/>
      <c r="AJ750" s="52"/>
      <c r="AK750" s="52"/>
      <c r="AL750" s="52"/>
      <c r="AM750" s="52"/>
      <c r="AN750" s="52"/>
      <c r="AO750" s="52"/>
      <c r="AP750" s="52"/>
      <c r="AQ750" s="52"/>
    </row>
    <row r="751" spans="1:43">
      <c r="A751" s="150"/>
      <c r="B751" s="477"/>
      <c r="C751" s="125"/>
      <c r="D751" s="478"/>
      <c r="E751" s="478"/>
      <c r="F751" s="52"/>
      <c r="G751" s="52"/>
      <c r="H751" s="52"/>
      <c r="I751" s="52"/>
      <c r="J751" s="52"/>
      <c r="K751" s="52"/>
      <c r="L751" s="52"/>
      <c r="M751" s="52"/>
      <c r="N751" s="52"/>
      <c r="O751" s="52"/>
      <c r="P751" s="52"/>
      <c r="Q751" s="52"/>
      <c r="R751" s="52"/>
      <c r="S751" s="52"/>
      <c r="T751" s="52"/>
      <c r="U751" s="52"/>
      <c r="V751" s="52"/>
      <c r="W751" s="52"/>
      <c r="X751" s="52"/>
      <c r="Y751" s="52"/>
      <c r="Z751" s="52"/>
      <c r="AA751" s="52"/>
      <c r="AB751" s="52"/>
      <c r="AC751" s="52"/>
      <c r="AD751" s="52"/>
      <c r="AE751" s="52"/>
      <c r="AF751" s="52"/>
      <c r="AG751" s="52"/>
      <c r="AH751" s="52"/>
      <c r="AI751" s="52"/>
      <c r="AJ751" s="52"/>
      <c r="AK751" s="52"/>
      <c r="AL751" s="52"/>
      <c r="AM751" s="52"/>
      <c r="AN751" s="52"/>
      <c r="AO751" s="52"/>
      <c r="AP751" s="52"/>
      <c r="AQ751" s="52"/>
    </row>
    <row r="752" spans="1:43">
      <c r="A752" s="150"/>
      <c r="B752" s="477"/>
      <c r="C752" s="125"/>
      <c r="D752" s="478"/>
      <c r="E752" s="478"/>
      <c r="F752" s="52"/>
      <c r="G752" s="52"/>
      <c r="H752" s="52"/>
      <c r="I752" s="52"/>
      <c r="J752" s="52"/>
      <c r="K752" s="52"/>
      <c r="L752" s="52"/>
      <c r="M752" s="52"/>
      <c r="N752" s="52"/>
      <c r="O752" s="52"/>
      <c r="P752" s="52"/>
      <c r="Q752" s="52"/>
      <c r="R752" s="52"/>
      <c r="S752" s="52"/>
      <c r="T752" s="52"/>
      <c r="U752" s="52"/>
      <c r="V752" s="52"/>
      <c r="W752" s="52"/>
      <c r="X752" s="52"/>
      <c r="Y752" s="52"/>
      <c r="Z752" s="52"/>
      <c r="AA752" s="52"/>
      <c r="AB752" s="52"/>
      <c r="AC752" s="52"/>
      <c r="AD752" s="52"/>
      <c r="AE752" s="52"/>
      <c r="AF752" s="52"/>
      <c r="AG752" s="52"/>
      <c r="AH752" s="52"/>
      <c r="AI752" s="52"/>
      <c r="AJ752" s="52"/>
      <c r="AK752" s="52"/>
      <c r="AL752" s="52"/>
      <c r="AM752" s="52"/>
      <c r="AN752" s="52"/>
      <c r="AO752" s="52"/>
      <c r="AP752" s="52"/>
      <c r="AQ752" s="52"/>
    </row>
    <row r="753" spans="1:43">
      <c r="A753" s="150"/>
      <c r="B753" s="477"/>
      <c r="C753" s="125"/>
      <c r="D753" s="478"/>
      <c r="E753" s="478"/>
      <c r="F753" s="52"/>
      <c r="G753" s="52"/>
      <c r="H753" s="52"/>
      <c r="I753" s="52"/>
      <c r="J753" s="52"/>
      <c r="K753" s="52"/>
      <c r="L753" s="52"/>
      <c r="M753" s="52"/>
      <c r="N753" s="52"/>
      <c r="O753" s="52"/>
      <c r="P753" s="52"/>
      <c r="Q753" s="52"/>
      <c r="R753" s="52"/>
      <c r="S753" s="52"/>
      <c r="T753" s="52"/>
      <c r="U753" s="52"/>
      <c r="V753" s="52"/>
      <c r="W753" s="52"/>
      <c r="X753" s="52"/>
      <c r="Y753" s="52"/>
      <c r="Z753" s="52"/>
      <c r="AA753" s="52"/>
      <c r="AB753" s="52"/>
      <c r="AC753" s="52"/>
      <c r="AD753" s="52"/>
      <c r="AE753" s="52"/>
      <c r="AF753" s="52"/>
      <c r="AG753" s="52"/>
      <c r="AH753" s="52"/>
      <c r="AI753" s="52"/>
      <c r="AJ753" s="52"/>
      <c r="AK753" s="52"/>
      <c r="AL753" s="52"/>
      <c r="AM753" s="52"/>
      <c r="AN753" s="52"/>
      <c r="AO753" s="52"/>
      <c r="AP753" s="52"/>
      <c r="AQ753" s="52"/>
    </row>
    <row r="754" spans="1:43">
      <c r="A754" s="150"/>
      <c r="B754" s="477"/>
      <c r="C754" s="125"/>
      <c r="D754" s="478"/>
      <c r="E754" s="478"/>
      <c r="F754" s="52"/>
      <c r="G754" s="52"/>
      <c r="H754" s="52"/>
      <c r="I754" s="52"/>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c r="AH754" s="52"/>
      <c r="AI754" s="52"/>
      <c r="AJ754" s="52"/>
      <c r="AK754" s="52"/>
      <c r="AL754" s="52"/>
      <c r="AM754" s="52"/>
      <c r="AN754" s="52"/>
      <c r="AO754" s="52"/>
      <c r="AP754" s="52"/>
      <c r="AQ754" s="52"/>
    </row>
    <row r="755" spans="1:43">
      <c r="A755" s="150"/>
      <c r="B755" s="477"/>
      <c r="C755" s="125"/>
      <c r="D755" s="478"/>
      <c r="E755" s="478"/>
      <c r="F755" s="52"/>
      <c r="G755" s="52"/>
      <c r="H755" s="52"/>
      <c r="I755" s="52"/>
      <c r="J755" s="52"/>
      <c r="K755" s="52"/>
      <c r="L755" s="52"/>
      <c r="M755" s="52"/>
      <c r="N755" s="52"/>
      <c r="O755" s="52"/>
      <c r="P755" s="52"/>
      <c r="Q755" s="52"/>
      <c r="R755" s="52"/>
      <c r="S755" s="52"/>
      <c r="T755" s="52"/>
      <c r="U755" s="52"/>
      <c r="V755" s="52"/>
      <c r="W755" s="52"/>
      <c r="X755" s="52"/>
      <c r="Y755" s="52"/>
      <c r="Z755" s="52"/>
      <c r="AA755" s="52"/>
      <c r="AB755" s="52"/>
      <c r="AC755" s="52"/>
      <c r="AD755" s="52"/>
      <c r="AE755" s="52"/>
      <c r="AF755" s="52"/>
      <c r="AG755" s="52"/>
      <c r="AH755" s="52"/>
      <c r="AI755" s="52"/>
      <c r="AJ755" s="52"/>
      <c r="AK755" s="52"/>
      <c r="AL755" s="52"/>
      <c r="AM755" s="52"/>
      <c r="AN755" s="52"/>
      <c r="AO755" s="52"/>
      <c r="AP755" s="52"/>
      <c r="AQ755" s="52"/>
    </row>
    <row r="756" spans="1:43">
      <c r="A756" s="150"/>
      <c r="B756" s="477"/>
      <c r="C756" s="125"/>
      <c r="D756" s="478"/>
      <c r="E756" s="478"/>
      <c r="F756" s="52"/>
      <c r="G756" s="52"/>
      <c r="H756" s="52"/>
      <c r="I756" s="52"/>
      <c r="J756" s="52"/>
      <c r="K756" s="52"/>
      <c r="L756" s="52"/>
      <c r="M756" s="52"/>
      <c r="N756" s="52"/>
      <c r="O756" s="52"/>
      <c r="P756" s="52"/>
      <c r="Q756" s="52"/>
      <c r="R756" s="52"/>
      <c r="S756" s="52"/>
      <c r="T756" s="52"/>
      <c r="U756" s="52"/>
      <c r="V756" s="52"/>
      <c r="W756" s="52"/>
      <c r="X756" s="52"/>
      <c r="Y756" s="52"/>
      <c r="Z756" s="52"/>
      <c r="AA756" s="52"/>
      <c r="AB756" s="52"/>
      <c r="AC756" s="52"/>
      <c r="AD756" s="52"/>
      <c r="AE756" s="52"/>
      <c r="AF756" s="52"/>
      <c r="AG756" s="52"/>
      <c r="AH756" s="52"/>
      <c r="AI756" s="52"/>
      <c r="AJ756" s="52"/>
      <c r="AK756" s="52"/>
      <c r="AL756" s="52"/>
      <c r="AM756" s="52"/>
      <c r="AN756" s="52"/>
      <c r="AO756" s="52"/>
      <c r="AP756" s="52"/>
      <c r="AQ756" s="52"/>
    </row>
    <row r="757" spans="1:43">
      <c r="A757" s="150"/>
      <c r="B757" s="477"/>
      <c r="C757" s="125"/>
      <c r="D757" s="478"/>
      <c r="E757" s="478"/>
      <c r="F757" s="52"/>
      <c r="G757" s="52"/>
      <c r="H757" s="52"/>
      <c r="I757" s="52"/>
      <c r="J757" s="52"/>
      <c r="K757" s="52"/>
      <c r="L757" s="52"/>
      <c r="M757" s="52"/>
      <c r="N757" s="52"/>
      <c r="O757" s="52"/>
      <c r="P757" s="52"/>
      <c r="Q757" s="52"/>
      <c r="R757" s="52"/>
      <c r="S757" s="52"/>
      <c r="T757" s="52"/>
      <c r="U757" s="52"/>
      <c r="V757" s="52"/>
      <c r="W757" s="52"/>
      <c r="X757" s="52"/>
      <c r="Y757" s="52"/>
      <c r="Z757" s="52"/>
      <c r="AA757" s="52"/>
      <c r="AB757" s="52"/>
      <c r="AC757" s="52"/>
      <c r="AD757" s="52"/>
      <c r="AE757" s="52"/>
      <c r="AF757" s="52"/>
      <c r="AG757" s="52"/>
      <c r="AH757" s="52"/>
      <c r="AI757" s="52"/>
      <c r="AJ757" s="52"/>
      <c r="AK757" s="52"/>
      <c r="AL757" s="52"/>
      <c r="AM757" s="52"/>
      <c r="AN757" s="52"/>
      <c r="AO757" s="52"/>
      <c r="AP757" s="52"/>
      <c r="AQ757" s="52"/>
    </row>
    <row r="758" spans="1:43">
      <c r="A758" s="150"/>
      <c r="B758" s="477"/>
      <c r="C758" s="125"/>
      <c r="D758" s="478"/>
      <c r="E758" s="478"/>
      <c r="F758" s="52"/>
      <c r="G758" s="52"/>
      <c r="H758" s="52"/>
      <c r="I758" s="52"/>
      <c r="J758" s="52"/>
      <c r="K758" s="52"/>
      <c r="L758" s="52"/>
      <c r="M758" s="52"/>
      <c r="N758" s="52"/>
      <c r="O758" s="52"/>
      <c r="P758" s="52"/>
      <c r="Q758" s="52"/>
      <c r="R758" s="52"/>
      <c r="S758" s="52"/>
      <c r="T758" s="52"/>
      <c r="U758" s="52"/>
      <c r="V758" s="52"/>
      <c r="W758" s="52"/>
      <c r="X758" s="52"/>
      <c r="Y758" s="52"/>
      <c r="Z758" s="52"/>
      <c r="AA758" s="52"/>
      <c r="AB758" s="52"/>
      <c r="AC758" s="52"/>
      <c r="AD758" s="52"/>
      <c r="AE758" s="52"/>
      <c r="AF758" s="52"/>
      <c r="AG758" s="52"/>
      <c r="AH758" s="52"/>
      <c r="AI758" s="52"/>
      <c r="AJ758" s="52"/>
      <c r="AK758" s="52"/>
      <c r="AL758" s="52"/>
      <c r="AM758" s="52"/>
      <c r="AN758" s="52"/>
      <c r="AO758" s="52"/>
      <c r="AP758" s="52"/>
      <c r="AQ758" s="52"/>
    </row>
    <row r="759" spans="1:43">
      <c r="A759" s="150"/>
      <c r="B759" s="477"/>
      <c r="C759" s="125"/>
      <c r="D759" s="478"/>
      <c r="E759" s="478"/>
      <c r="F759" s="52"/>
      <c r="G759" s="52"/>
      <c r="H759" s="52"/>
      <c r="I759" s="52"/>
      <c r="J759" s="52"/>
      <c r="K759" s="52"/>
      <c r="L759" s="52"/>
      <c r="M759" s="52"/>
      <c r="N759" s="52"/>
      <c r="O759" s="52"/>
      <c r="P759" s="52"/>
      <c r="Q759" s="52"/>
      <c r="R759" s="52"/>
      <c r="S759" s="52"/>
      <c r="T759" s="52"/>
      <c r="U759" s="52"/>
      <c r="V759" s="52"/>
      <c r="W759" s="52"/>
      <c r="X759" s="52"/>
      <c r="Y759" s="52"/>
      <c r="Z759" s="52"/>
      <c r="AA759" s="52"/>
      <c r="AB759" s="52"/>
      <c r="AC759" s="52"/>
      <c r="AD759" s="52"/>
      <c r="AE759" s="52"/>
      <c r="AF759" s="52"/>
      <c r="AG759" s="52"/>
      <c r="AH759" s="52"/>
      <c r="AI759" s="52"/>
      <c r="AJ759" s="52"/>
      <c r="AK759" s="52"/>
      <c r="AL759" s="52"/>
      <c r="AM759" s="52"/>
      <c r="AN759" s="52"/>
      <c r="AO759" s="52"/>
      <c r="AP759" s="52"/>
      <c r="AQ759" s="52"/>
    </row>
    <row r="760" spans="1:43">
      <c r="A760" s="150"/>
      <c r="B760" s="477"/>
      <c r="C760" s="125"/>
      <c r="D760" s="478"/>
      <c r="E760" s="478"/>
      <c r="F760" s="52"/>
      <c r="G760" s="52"/>
      <c r="H760" s="52"/>
      <c r="I760" s="52"/>
      <c r="J760" s="52"/>
      <c r="K760" s="52"/>
      <c r="L760" s="52"/>
      <c r="M760" s="52"/>
      <c r="N760" s="52"/>
      <c r="O760" s="52"/>
      <c r="P760" s="52"/>
      <c r="Q760" s="52"/>
      <c r="R760" s="52"/>
      <c r="S760" s="52"/>
      <c r="T760" s="52"/>
      <c r="U760" s="52"/>
      <c r="V760" s="52"/>
      <c r="W760" s="52"/>
      <c r="X760" s="52"/>
      <c r="Y760" s="52"/>
      <c r="Z760" s="52"/>
      <c r="AA760" s="52"/>
      <c r="AB760" s="52"/>
      <c r="AC760" s="52"/>
      <c r="AD760" s="52"/>
      <c r="AE760" s="52"/>
      <c r="AF760" s="52"/>
      <c r="AG760" s="52"/>
      <c r="AH760" s="52"/>
      <c r="AI760" s="52"/>
      <c r="AJ760" s="52"/>
      <c r="AK760" s="52"/>
      <c r="AL760" s="52"/>
      <c r="AM760" s="52"/>
      <c r="AN760" s="52"/>
      <c r="AO760" s="52"/>
      <c r="AP760" s="52"/>
      <c r="AQ760" s="52"/>
    </row>
    <row r="761" spans="1:43">
      <c r="A761" s="150"/>
      <c r="B761" s="477"/>
      <c r="C761" s="125"/>
      <c r="D761" s="478"/>
      <c r="E761" s="478"/>
      <c r="F761" s="52"/>
      <c r="G761" s="52"/>
      <c r="H761" s="52"/>
      <c r="I761" s="52"/>
      <c r="J761" s="52"/>
      <c r="K761" s="52"/>
      <c r="L761" s="52"/>
      <c r="M761" s="52"/>
      <c r="N761" s="52"/>
      <c r="O761" s="52"/>
      <c r="P761" s="52"/>
      <c r="Q761" s="52"/>
      <c r="R761" s="52"/>
      <c r="S761" s="52"/>
      <c r="T761" s="52"/>
      <c r="U761" s="52"/>
      <c r="V761" s="52"/>
      <c r="W761" s="52"/>
      <c r="X761" s="52"/>
      <c r="Y761" s="52"/>
      <c r="Z761" s="52"/>
      <c r="AA761" s="52"/>
      <c r="AB761" s="52"/>
      <c r="AC761" s="52"/>
      <c r="AD761" s="52"/>
      <c r="AE761" s="52"/>
      <c r="AF761" s="52"/>
      <c r="AG761" s="52"/>
      <c r="AH761" s="52"/>
      <c r="AI761" s="52"/>
      <c r="AJ761" s="52"/>
      <c r="AK761" s="52"/>
      <c r="AL761" s="52"/>
      <c r="AM761" s="52"/>
      <c r="AN761" s="52"/>
      <c r="AO761" s="52"/>
      <c r="AP761" s="52"/>
      <c r="AQ761" s="52"/>
    </row>
    <row r="762" spans="1:43">
      <c r="A762" s="150"/>
      <c r="B762" s="477"/>
      <c r="C762" s="125"/>
      <c r="D762" s="478"/>
      <c r="E762" s="478"/>
      <c r="F762" s="52"/>
      <c r="G762" s="52"/>
      <c r="H762" s="52"/>
      <c r="I762" s="52"/>
      <c r="J762" s="52"/>
      <c r="K762" s="52"/>
      <c r="L762" s="52"/>
      <c r="M762" s="52"/>
      <c r="N762" s="52"/>
      <c r="O762" s="52"/>
      <c r="P762" s="52"/>
      <c r="Q762" s="52"/>
      <c r="R762" s="52"/>
      <c r="S762" s="52"/>
      <c r="T762" s="52"/>
      <c r="U762" s="52"/>
      <c r="V762" s="52"/>
      <c r="W762" s="52"/>
      <c r="X762" s="52"/>
      <c r="Y762" s="52"/>
      <c r="Z762" s="52"/>
      <c r="AA762" s="52"/>
      <c r="AB762" s="52"/>
      <c r="AC762" s="52"/>
      <c r="AD762" s="52"/>
      <c r="AE762" s="52"/>
      <c r="AF762" s="52"/>
      <c r="AG762" s="52"/>
      <c r="AH762" s="52"/>
      <c r="AI762" s="52"/>
      <c r="AJ762" s="52"/>
      <c r="AK762" s="52"/>
      <c r="AL762" s="52"/>
      <c r="AM762" s="52"/>
      <c r="AN762" s="52"/>
      <c r="AO762" s="52"/>
      <c r="AP762" s="52"/>
      <c r="AQ762" s="52"/>
    </row>
    <row r="763" spans="1:43">
      <c r="A763" s="150"/>
      <c r="B763" s="477"/>
      <c r="C763" s="125"/>
      <c r="D763" s="478"/>
      <c r="E763" s="478"/>
      <c r="F763" s="52"/>
      <c r="G763" s="52"/>
      <c r="H763" s="52"/>
      <c r="I763" s="52"/>
      <c r="J763" s="52"/>
      <c r="K763" s="52"/>
      <c r="L763" s="52"/>
      <c r="M763" s="52"/>
      <c r="N763" s="52"/>
      <c r="O763" s="52"/>
      <c r="P763" s="52"/>
      <c r="Q763" s="52"/>
      <c r="R763" s="52"/>
      <c r="S763" s="52"/>
      <c r="T763" s="52"/>
      <c r="U763" s="52"/>
      <c r="V763" s="52"/>
      <c r="W763" s="52"/>
      <c r="X763" s="52"/>
      <c r="Y763" s="52"/>
      <c r="Z763" s="52"/>
      <c r="AA763" s="52"/>
      <c r="AB763" s="52"/>
      <c r="AC763" s="52"/>
      <c r="AD763" s="52"/>
      <c r="AE763" s="52"/>
      <c r="AF763" s="52"/>
      <c r="AG763" s="52"/>
      <c r="AH763" s="52"/>
      <c r="AI763" s="52"/>
      <c r="AJ763" s="52"/>
      <c r="AK763" s="52"/>
      <c r="AL763" s="52"/>
      <c r="AM763" s="52"/>
      <c r="AN763" s="52"/>
      <c r="AO763" s="52"/>
      <c r="AP763" s="52"/>
      <c r="AQ763" s="52"/>
    </row>
    <row r="764" spans="1:43">
      <c r="A764" s="150"/>
      <c r="B764" s="477"/>
      <c r="C764" s="125"/>
      <c r="D764" s="478"/>
      <c r="E764" s="478"/>
      <c r="F764" s="52"/>
      <c r="G764" s="52"/>
      <c r="H764" s="52"/>
      <c r="I764" s="52"/>
      <c r="J764" s="52"/>
      <c r="K764" s="52"/>
      <c r="L764" s="52"/>
      <c r="M764" s="52"/>
      <c r="N764" s="52"/>
      <c r="O764" s="52"/>
      <c r="P764" s="52"/>
      <c r="Q764" s="52"/>
      <c r="R764" s="52"/>
      <c r="S764" s="52"/>
      <c r="T764" s="52"/>
      <c r="U764" s="52"/>
      <c r="V764" s="52"/>
      <c r="W764" s="52"/>
      <c r="X764" s="52"/>
      <c r="Y764" s="52"/>
      <c r="Z764" s="52"/>
      <c r="AA764" s="52"/>
      <c r="AB764" s="52"/>
      <c r="AC764" s="52"/>
      <c r="AD764" s="52"/>
      <c r="AE764" s="52"/>
      <c r="AF764" s="52"/>
      <c r="AG764" s="52"/>
      <c r="AH764" s="52"/>
      <c r="AI764" s="52"/>
      <c r="AJ764" s="52"/>
      <c r="AK764" s="52"/>
      <c r="AL764" s="52"/>
      <c r="AM764" s="52"/>
      <c r="AN764" s="52"/>
      <c r="AO764" s="52"/>
      <c r="AP764" s="52"/>
      <c r="AQ764" s="52"/>
    </row>
    <row r="765" spans="1:43">
      <c r="A765" s="150"/>
      <c r="B765" s="477"/>
      <c r="C765" s="125"/>
      <c r="D765" s="478"/>
      <c r="E765" s="478"/>
      <c r="F765" s="52"/>
      <c r="G765" s="52"/>
      <c r="H765" s="52"/>
      <c r="I765" s="52"/>
      <c r="J765" s="52"/>
      <c r="K765" s="52"/>
      <c r="L765" s="52"/>
      <c r="M765" s="52"/>
      <c r="N765" s="52"/>
      <c r="O765" s="52"/>
      <c r="P765" s="52"/>
      <c r="Q765" s="52"/>
      <c r="R765" s="52"/>
      <c r="S765" s="52"/>
      <c r="T765" s="52"/>
      <c r="U765" s="52"/>
      <c r="V765" s="52"/>
      <c r="W765" s="52"/>
      <c r="X765" s="52"/>
      <c r="Y765" s="52"/>
      <c r="Z765" s="52"/>
      <c r="AA765" s="52"/>
      <c r="AB765" s="52"/>
      <c r="AC765" s="52"/>
      <c r="AD765" s="52"/>
      <c r="AE765" s="52"/>
      <c r="AF765" s="52"/>
      <c r="AG765" s="52"/>
      <c r="AH765" s="52"/>
      <c r="AI765" s="52"/>
      <c r="AJ765" s="52"/>
      <c r="AK765" s="52"/>
      <c r="AL765" s="52"/>
      <c r="AM765" s="52"/>
      <c r="AN765" s="52"/>
      <c r="AO765" s="52"/>
      <c r="AP765" s="52"/>
      <c r="AQ765" s="52"/>
    </row>
    <row r="766" spans="1:43">
      <c r="A766" s="150"/>
      <c r="B766" s="477"/>
      <c r="C766" s="125"/>
      <c r="D766" s="478"/>
      <c r="E766" s="478"/>
      <c r="F766" s="52"/>
      <c r="G766" s="52"/>
      <c r="H766" s="52"/>
      <c r="I766" s="52"/>
      <c r="J766" s="52"/>
      <c r="K766" s="52"/>
      <c r="L766" s="52"/>
      <c r="M766" s="52"/>
      <c r="N766" s="52"/>
      <c r="O766" s="52"/>
      <c r="P766" s="52"/>
      <c r="Q766" s="52"/>
      <c r="R766" s="52"/>
      <c r="S766" s="52"/>
      <c r="T766" s="52"/>
      <c r="U766" s="52"/>
      <c r="V766" s="52"/>
      <c r="W766" s="52"/>
      <c r="X766" s="52"/>
      <c r="Y766" s="52"/>
      <c r="Z766" s="52"/>
      <c r="AA766" s="52"/>
      <c r="AB766" s="52"/>
      <c r="AC766" s="52"/>
      <c r="AD766" s="52"/>
      <c r="AE766" s="52"/>
      <c r="AF766" s="52"/>
      <c r="AG766" s="52"/>
      <c r="AH766" s="52"/>
      <c r="AI766" s="52"/>
      <c r="AJ766" s="52"/>
      <c r="AK766" s="52"/>
      <c r="AL766" s="52"/>
      <c r="AM766" s="52"/>
      <c r="AN766" s="52"/>
      <c r="AO766" s="52"/>
      <c r="AP766" s="52"/>
      <c r="AQ766" s="52"/>
    </row>
    <row r="767" spans="1:43">
      <c r="A767" s="150"/>
      <c r="B767" s="477"/>
      <c r="C767" s="125"/>
      <c r="D767" s="478"/>
      <c r="E767" s="478"/>
      <c r="F767" s="52"/>
      <c r="G767" s="52"/>
      <c r="H767" s="52"/>
      <c r="I767" s="52"/>
      <c r="J767" s="52"/>
      <c r="K767" s="52"/>
      <c r="L767" s="52"/>
      <c r="M767" s="52"/>
      <c r="N767" s="52"/>
      <c r="O767" s="52"/>
      <c r="P767" s="52"/>
      <c r="Q767" s="52"/>
      <c r="R767" s="52"/>
      <c r="S767" s="52"/>
      <c r="T767" s="52"/>
      <c r="U767" s="52"/>
      <c r="V767" s="52"/>
      <c r="W767" s="52"/>
      <c r="X767" s="52"/>
      <c r="Y767" s="52"/>
      <c r="Z767" s="52"/>
      <c r="AA767" s="52"/>
      <c r="AB767" s="52"/>
      <c r="AC767" s="52"/>
      <c r="AD767" s="52"/>
      <c r="AE767" s="52"/>
      <c r="AF767" s="52"/>
      <c r="AG767" s="52"/>
      <c r="AH767" s="52"/>
      <c r="AI767" s="52"/>
      <c r="AJ767" s="52"/>
      <c r="AK767" s="52"/>
      <c r="AL767" s="52"/>
      <c r="AM767" s="52"/>
      <c r="AN767" s="52"/>
      <c r="AO767" s="52"/>
      <c r="AP767" s="52"/>
      <c r="AQ767" s="52"/>
    </row>
    <row r="768" spans="1:43">
      <c r="A768" s="150"/>
      <c r="B768" s="477"/>
      <c r="C768" s="125"/>
      <c r="D768" s="478"/>
      <c r="E768" s="478"/>
      <c r="F768" s="52"/>
      <c r="G768" s="52"/>
      <c r="H768" s="52"/>
      <c r="I768" s="52"/>
      <c r="J768" s="52"/>
      <c r="K768" s="52"/>
      <c r="L768" s="52"/>
      <c r="M768" s="52"/>
      <c r="N768" s="52"/>
      <c r="O768" s="52"/>
      <c r="P768" s="52"/>
      <c r="Q768" s="52"/>
      <c r="R768" s="52"/>
      <c r="S768" s="52"/>
      <c r="T768" s="52"/>
      <c r="U768" s="52"/>
      <c r="V768" s="52"/>
      <c r="W768" s="52"/>
      <c r="X768" s="52"/>
      <c r="Y768" s="52"/>
      <c r="Z768" s="52"/>
      <c r="AA768" s="52"/>
      <c r="AB768" s="52"/>
      <c r="AC768" s="52"/>
      <c r="AD768" s="52"/>
      <c r="AE768" s="52"/>
      <c r="AF768" s="52"/>
      <c r="AG768" s="52"/>
      <c r="AH768" s="52"/>
      <c r="AI768" s="52"/>
      <c r="AJ768" s="52"/>
      <c r="AK768" s="52"/>
      <c r="AL768" s="52"/>
      <c r="AM768" s="52"/>
      <c r="AN768" s="52"/>
      <c r="AO768" s="52"/>
      <c r="AP768" s="52"/>
      <c r="AQ768" s="52"/>
    </row>
    <row r="769" spans="1:43">
      <c r="A769" s="150"/>
      <c r="B769" s="477"/>
      <c r="C769" s="125"/>
      <c r="D769" s="478"/>
      <c r="E769" s="478"/>
      <c r="F769" s="52"/>
      <c r="G769" s="52"/>
      <c r="H769" s="52"/>
      <c r="I769" s="52"/>
      <c r="J769" s="52"/>
      <c r="K769" s="52"/>
      <c r="L769" s="52"/>
      <c r="M769" s="52"/>
      <c r="N769" s="52"/>
      <c r="O769" s="52"/>
      <c r="P769" s="52"/>
      <c r="Q769" s="52"/>
      <c r="R769" s="52"/>
      <c r="S769" s="52"/>
      <c r="T769" s="52"/>
      <c r="U769" s="52"/>
      <c r="V769" s="52"/>
      <c r="W769" s="52"/>
      <c r="X769" s="52"/>
      <c r="Y769" s="52"/>
      <c r="Z769" s="52"/>
      <c r="AA769" s="52"/>
      <c r="AB769" s="52"/>
      <c r="AC769" s="52"/>
      <c r="AD769" s="52"/>
      <c r="AE769" s="52"/>
      <c r="AF769" s="52"/>
      <c r="AG769" s="52"/>
      <c r="AH769" s="52"/>
      <c r="AI769" s="52"/>
      <c r="AJ769" s="52"/>
      <c r="AK769" s="52"/>
      <c r="AL769" s="52"/>
      <c r="AM769" s="52"/>
      <c r="AN769" s="52"/>
      <c r="AO769" s="52"/>
      <c r="AP769" s="52"/>
      <c r="AQ769" s="52"/>
    </row>
    <row r="770" spans="1:43">
      <c r="A770" s="150"/>
      <c r="B770" s="477"/>
      <c r="C770" s="125"/>
      <c r="D770" s="478"/>
      <c r="E770" s="478"/>
      <c r="F770" s="52"/>
      <c r="G770" s="52"/>
      <c r="H770" s="52"/>
      <c r="I770" s="52"/>
      <c r="J770" s="52"/>
      <c r="K770" s="52"/>
      <c r="L770" s="52"/>
      <c r="M770" s="52"/>
      <c r="N770" s="52"/>
      <c r="O770" s="52"/>
      <c r="P770" s="52"/>
      <c r="Q770" s="52"/>
      <c r="R770" s="52"/>
      <c r="S770" s="52"/>
      <c r="T770" s="52"/>
      <c r="U770" s="52"/>
      <c r="V770" s="52"/>
      <c r="W770" s="52"/>
      <c r="X770" s="52"/>
      <c r="Y770" s="52"/>
      <c r="Z770" s="52"/>
      <c r="AA770" s="52"/>
      <c r="AB770" s="52"/>
      <c r="AC770" s="52"/>
      <c r="AD770" s="52"/>
      <c r="AE770" s="52"/>
      <c r="AF770" s="52"/>
      <c r="AG770" s="52"/>
      <c r="AH770" s="52"/>
      <c r="AI770" s="52"/>
      <c r="AJ770" s="52"/>
      <c r="AK770" s="52"/>
      <c r="AL770" s="52"/>
      <c r="AM770" s="52"/>
      <c r="AN770" s="52"/>
      <c r="AO770" s="52"/>
      <c r="AP770" s="52"/>
      <c r="AQ770" s="52"/>
    </row>
    <row r="771" spans="1:43">
      <c r="A771" s="150"/>
      <c r="B771" s="477"/>
      <c r="C771" s="125"/>
      <c r="D771" s="478"/>
      <c r="E771" s="478"/>
      <c r="F771" s="52"/>
      <c r="G771" s="52"/>
      <c r="H771" s="52"/>
      <c r="I771" s="52"/>
      <c r="J771" s="52"/>
      <c r="K771" s="52"/>
      <c r="L771" s="52"/>
      <c r="M771" s="52"/>
      <c r="N771" s="52"/>
      <c r="O771" s="52"/>
      <c r="P771" s="52"/>
      <c r="Q771" s="52"/>
      <c r="R771" s="52"/>
      <c r="S771" s="52"/>
      <c r="T771" s="52"/>
      <c r="U771" s="52"/>
      <c r="V771" s="52"/>
      <c r="W771" s="52"/>
      <c r="X771" s="52"/>
      <c r="Y771" s="52"/>
      <c r="Z771" s="52"/>
      <c r="AA771" s="52"/>
      <c r="AB771" s="52"/>
      <c r="AC771" s="52"/>
      <c r="AD771" s="52"/>
      <c r="AE771" s="52"/>
      <c r="AF771" s="52"/>
      <c r="AG771" s="52"/>
      <c r="AH771" s="52"/>
      <c r="AI771" s="52"/>
      <c r="AJ771" s="52"/>
      <c r="AK771" s="52"/>
      <c r="AL771" s="52"/>
      <c r="AM771" s="52"/>
      <c r="AN771" s="52"/>
      <c r="AO771" s="52"/>
      <c r="AP771" s="52"/>
      <c r="AQ771" s="52"/>
    </row>
    <row r="772" spans="1:43">
      <c r="A772" s="150"/>
      <c r="B772" s="477"/>
      <c r="C772" s="125"/>
      <c r="D772" s="478"/>
      <c r="E772" s="478"/>
      <c r="F772" s="52"/>
      <c r="G772" s="52"/>
      <c r="H772" s="52"/>
      <c r="I772" s="52"/>
      <c r="J772" s="52"/>
      <c r="K772" s="52"/>
      <c r="L772" s="52"/>
      <c r="M772" s="52"/>
      <c r="N772" s="52"/>
      <c r="O772" s="52"/>
      <c r="P772" s="52"/>
      <c r="Q772" s="52"/>
      <c r="R772" s="52"/>
      <c r="S772" s="52"/>
      <c r="T772" s="52"/>
      <c r="U772" s="52"/>
      <c r="V772" s="52"/>
      <c r="W772" s="52"/>
      <c r="X772" s="52"/>
      <c r="Y772" s="52"/>
      <c r="Z772" s="52"/>
      <c r="AA772" s="52"/>
      <c r="AB772" s="52"/>
      <c r="AC772" s="52"/>
      <c r="AD772" s="52"/>
      <c r="AE772" s="52"/>
      <c r="AF772" s="52"/>
      <c r="AG772" s="52"/>
      <c r="AH772" s="52"/>
      <c r="AI772" s="52"/>
      <c r="AJ772" s="52"/>
      <c r="AK772" s="52"/>
      <c r="AL772" s="52"/>
      <c r="AM772" s="52"/>
      <c r="AN772" s="52"/>
      <c r="AO772" s="52"/>
      <c r="AP772" s="52"/>
      <c r="AQ772" s="52"/>
    </row>
    <row r="773" spans="1:43">
      <c r="A773" s="150"/>
      <c r="B773" s="477"/>
      <c r="C773" s="125"/>
      <c r="D773" s="478"/>
      <c r="E773" s="478"/>
      <c r="F773" s="52"/>
      <c r="G773" s="52"/>
      <c r="H773" s="52"/>
      <c r="I773" s="52"/>
      <c r="J773" s="52"/>
      <c r="K773" s="52"/>
      <c r="L773" s="52"/>
      <c r="M773" s="52"/>
      <c r="N773" s="52"/>
      <c r="O773" s="52"/>
      <c r="P773" s="52"/>
      <c r="Q773" s="52"/>
      <c r="R773" s="52"/>
      <c r="S773" s="52"/>
      <c r="T773" s="52"/>
      <c r="U773" s="52"/>
      <c r="V773" s="52"/>
      <c r="W773" s="52"/>
      <c r="X773" s="52"/>
      <c r="Y773" s="52"/>
      <c r="Z773" s="52"/>
      <c r="AA773" s="52"/>
      <c r="AB773" s="52"/>
      <c r="AC773" s="52"/>
      <c r="AD773" s="52"/>
      <c r="AE773" s="52"/>
      <c r="AF773" s="52"/>
      <c r="AG773" s="52"/>
      <c r="AH773" s="52"/>
      <c r="AI773" s="52"/>
      <c r="AJ773" s="52"/>
      <c r="AK773" s="52"/>
      <c r="AL773" s="52"/>
      <c r="AM773" s="52"/>
      <c r="AN773" s="52"/>
      <c r="AO773" s="52"/>
      <c r="AP773" s="52"/>
      <c r="AQ773" s="52"/>
    </row>
    <row r="774" spans="1:43">
      <c r="A774" s="150"/>
      <c r="B774" s="477"/>
      <c r="C774" s="125"/>
      <c r="D774" s="478"/>
      <c r="E774" s="478"/>
      <c r="F774" s="52"/>
      <c r="G774" s="52"/>
      <c r="H774" s="52"/>
      <c r="I774" s="52"/>
      <c r="J774" s="52"/>
      <c r="K774" s="52"/>
      <c r="L774" s="52"/>
      <c r="M774" s="52"/>
      <c r="N774" s="52"/>
      <c r="O774" s="52"/>
      <c r="P774" s="52"/>
      <c r="Q774" s="52"/>
      <c r="R774" s="52"/>
      <c r="S774" s="52"/>
      <c r="T774" s="52"/>
      <c r="U774" s="52"/>
      <c r="V774" s="52"/>
      <c r="W774" s="52"/>
      <c r="X774" s="52"/>
      <c r="Y774" s="52"/>
      <c r="Z774" s="52"/>
      <c r="AA774" s="52"/>
      <c r="AB774" s="52"/>
      <c r="AC774" s="52"/>
      <c r="AD774" s="52"/>
      <c r="AE774" s="52"/>
      <c r="AF774" s="52"/>
      <c r="AG774" s="52"/>
      <c r="AH774" s="52"/>
      <c r="AI774" s="52"/>
      <c r="AJ774" s="52"/>
      <c r="AK774" s="52"/>
      <c r="AL774" s="52"/>
      <c r="AM774" s="52"/>
      <c r="AN774" s="52"/>
      <c r="AO774" s="52"/>
      <c r="AP774" s="52"/>
      <c r="AQ774" s="52"/>
    </row>
    <row r="775" spans="1:43">
      <c r="A775" s="150"/>
      <c r="B775" s="477"/>
      <c r="C775" s="125"/>
      <c r="D775" s="478"/>
      <c r="E775" s="478"/>
      <c r="F775" s="52"/>
      <c r="G775" s="52"/>
      <c r="H775" s="52"/>
      <c r="I775" s="52"/>
      <c r="J775" s="52"/>
      <c r="K775" s="52"/>
      <c r="L775" s="52"/>
      <c r="M775" s="52"/>
      <c r="N775" s="52"/>
      <c r="O775" s="52"/>
      <c r="P775" s="52"/>
      <c r="Q775" s="52"/>
      <c r="R775" s="52"/>
      <c r="S775" s="52"/>
      <c r="T775" s="52"/>
      <c r="U775" s="52"/>
      <c r="V775" s="52"/>
      <c r="W775" s="52"/>
      <c r="X775" s="52"/>
      <c r="Y775" s="52"/>
      <c r="Z775" s="52"/>
      <c r="AA775" s="52"/>
      <c r="AB775" s="52"/>
      <c r="AC775" s="52"/>
      <c r="AD775" s="52"/>
      <c r="AE775" s="52"/>
      <c r="AF775" s="52"/>
      <c r="AG775" s="52"/>
      <c r="AH775" s="52"/>
      <c r="AI775" s="52"/>
      <c r="AJ775" s="52"/>
      <c r="AK775" s="52"/>
      <c r="AL775" s="52"/>
      <c r="AM775" s="52"/>
      <c r="AN775" s="52"/>
      <c r="AO775" s="52"/>
      <c r="AP775" s="52"/>
      <c r="AQ775" s="52"/>
    </row>
    <row r="776" spans="1:43">
      <c r="A776" s="150"/>
      <c r="B776" s="477"/>
      <c r="C776" s="125"/>
      <c r="D776" s="478"/>
      <c r="E776" s="478"/>
      <c r="F776" s="52"/>
      <c r="G776" s="52"/>
      <c r="H776" s="52"/>
      <c r="I776" s="52"/>
      <c r="J776" s="52"/>
      <c r="K776" s="52"/>
      <c r="L776" s="52"/>
      <c r="M776" s="52"/>
      <c r="N776" s="52"/>
      <c r="O776" s="52"/>
      <c r="P776" s="52"/>
      <c r="Q776" s="52"/>
      <c r="R776" s="52"/>
      <c r="S776" s="52"/>
      <c r="T776" s="52"/>
      <c r="U776" s="52"/>
      <c r="V776" s="52"/>
      <c r="W776" s="52"/>
      <c r="X776" s="52"/>
      <c r="Y776" s="52"/>
      <c r="Z776" s="52"/>
      <c r="AA776" s="52"/>
      <c r="AB776" s="52"/>
      <c r="AC776" s="52"/>
      <c r="AD776" s="52"/>
      <c r="AE776" s="52"/>
      <c r="AF776" s="52"/>
      <c r="AG776" s="52"/>
      <c r="AH776" s="52"/>
      <c r="AI776" s="52"/>
      <c r="AJ776" s="52"/>
      <c r="AK776" s="52"/>
      <c r="AL776" s="52"/>
      <c r="AM776" s="52"/>
      <c r="AN776" s="52"/>
      <c r="AO776" s="52"/>
      <c r="AP776" s="52"/>
      <c r="AQ776" s="52"/>
    </row>
    <row r="777" spans="1:43">
      <c r="A777" s="150"/>
      <c r="B777" s="477"/>
      <c r="C777" s="125"/>
      <c r="D777" s="478"/>
      <c r="E777" s="478"/>
      <c r="F777" s="52"/>
      <c r="G777" s="52"/>
      <c r="H777" s="52"/>
      <c r="I777" s="52"/>
      <c r="J777" s="52"/>
      <c r="K777" s="52"/>
      <c r="L777" s="52"/>
      <c r="M777" s="52"/>
      <c r="N777" s="52"/>
      <c r="O777" s="52"/>
      <c r="P777" s="52"/>
      <c r="Q777" s="52"/>
      <c r="R777" s="52"/>
      <c r="S777" s="52"/>
      <c r="T777" s="52"/>
      <c r="U777" s="52"/>
      <c r="V777" s="52"/>
      <c r="W777" s="52"/>
      <c r="X777" s="52"/>
      <c r="Y777" s="52"/>
      <c r="Z777" s="52"/>
      <c r="AA777" s="52"/>
      <c r="AB777" s="52"/>
      <c r="AC777" s="52"/>
      <c r="AD777" s="52"/>
      <c r="AE777" s="52"/>
      <c r="AF777" s="52"/>
      <c r="AG777" s="52"/>
      <c r="AH777" s="52"/>
      <c r="AI777" s="52"/>
      <c r="AJ777" s="52"/>
      <c r="AK777" s="52"/>
      <c r="AL777" s="52"/>
      <c r="AM777" s="52"/>
      <c r="AN777" s="52"/>
      <c r="AO777" s="52"/>
      <c r="AP777" s="52"/>
      <c r="AQ777" s="52"/>
    </row>
    <row r="778" spans="1:43">
      <c r="A778" s="150"/>
      <c r="B778" s="477"/>
      <c r="C778" s="125"/>
      <c r="D778" s="478"/>
      <c r="E778" s="478"/>
      <c r="F778" s="52"/>
      <c r="G778" s="52"/>
      <c r="H778" s="52"/>
      <c r="I778" s="52"/>
      <c r="J778" s="52"/>
      <c r="K778" s="52"/>
      <c r="L778" s="52"/>
      <c r="M778" s="52"/>
      <c r="N778" s="52"/>
      <c r="O778" s="52"/>
      <c r="P778" s="52"/>
      <c r="Q778" s="52"/>
      <c r="R778" s="52"/>
      <c r="S778" s="52"/>
      <c r="T778" s="52"/>
      <c r="U778" s="52"/>
      <c r="V778" s="52"/>
      <c r="W778" s="52"/>
      <c r="X778" s="52"/>
      <c r="Y778" s="52"/>
      <c r="Z778" s="52"/>
      <c r="AA778" s="52"/>
      <c r="AB778" s="52"/>
      <c r="AC778" s="52"/>
      <c r="AD778" s="52"/>
      <c r="AE778" s="52"/>
      <c r="AF778" s="52"/>
      <c r="AG778" s="52"/>
      <c r="AH778" s="52"/>
      <c r="AI778" s="52"/>
      <c r="AJ778" s="52"/>
      <c r="AK778" s="52"/>
      <c r="AL778" s="52"/>
      <c r="AM778" s="52"/>
      <c r="AN778" s="52"/>
      <c r="AO778" s="52"/>
      <c r="AP778" s="52"/>
      <c r="AQ778" s="52"/>
    </row>
    <row r="779" spans="1:43">
      <c r="A779" s="150"/>
      <c r="B779" s="477"/>
      <c r="C779" s="125"/>
      <c r="D779" s="478"/>
      <c r="E779" s="478"/>
      <c r="F779" s="52"/>
      <c r="G779" s="52"/>
      <c r="H779" s="52"/>
      <c r="I779" s="52"/>
      <c r="J779" s="52"/>
      <c r="K779" s="52"/>
      <c r="L779" s="52"/>
      <c r="M779" s="52"/>
      <c r="N779" s="52"/>
      <c r="O779" s="52"/>
      <c r="P779" s="52"/>
      <c r="Q779" s="52"/>
      <c r="R779" s="52"/>
      <c r="S779" s="52"/>
      <c r="T779" s="52"/>
      <c r="U779" s="52"/>
      <c r="V779" s="52"/>
      <c r="W779" s="52"/>
      <c r="X779" s="52"/>
      <c r="Y779" s="52"/>
      <c r="Z779" s="52"/>
      <c r="AA779" s="52"/>
      <c r="AB779" s="52"/>
      <c r="AC779" s="52"/>
      <c r="AD779" s="52"/>
      <c r="AE779" s="52"/>
      <c r="AF779" s="52"/>
      <c r="AG779" s="52"/>
      <c r="AH779" s="52"/>
      <c r="AI779" s="52"/>
      <c r="AJ779" s="52"/>
      <c r="AK779" s="52"/>
      <c r="AL779" s="52"/>
      <c r="AM779" s="52"/>
      <c r="AN779" s="52"/>
      <c r="AO779" s="52"/>
      <c r="AP779" s="52"/>
      <c r="AQ779" s="52"/>
    </row>
    <row r="780" spans="1:43">
      <c r="A780" s="150"/>
      <c r="B780" s="477"/>
      <c r="C780" s="125"/>
      <c r="D780" s="478"/>
      <c r="E780" s="478"/>
      <c r="F780" s="52"/>
      <c r="G780" s="52"/>
      <c r="H780" s="52"/>
      <c r="I780" s="52"/>
      <c r="J780" s="52"/>
      <c r="K780" s="52"/>
      <c r="L780" s="52"/>
      <c r="M780" s="52"/>
      <c r="N780" s="52"/>
      <c r="O780" s="52"/>
      <c r="P780" s="52"/>
      <c r="Q780" s="52"/>
      <c r="R780" s="52"/>
      <c r="S780" s="52"/>
      <c r="T780" s="52"/>
      <c r="U780" s="52"/>
      <c r="V780" s="52"/>
      <c r="W780" s="52"/>
      <c r="X780" s="52"/>
      <c r="Y780" s="52"/>
      <c r="Z780" s="52"/>
      <c r="AA780" s="52"/>
      <c r="AB780" s="52"/>
      <c r="AC780" s="52"/>
      <c r="AD780" s="52"/>
      <c r="AE780" s="52"/>
      <c r="AF780" s="52"/>
      <c r="AG780" s="52"/>
      <c r="AH780" s="52"/>
      <c r="AI780" s="52"/>
      <c r="AJ780" s="52"/>
      <c r="AK780" s="52"/>
      <c r="AL780" s="52"/>
      <c r="AM780" s="52"/>
      <c r="AN780" s="52"/>
      <c r="AO780" s="52"/>
      <c r="AP780" s="52"/>
      <c r="AQ780" s="52"/>
    </row>
    <row r="781" spans="1:43">
      <c r="A781" s="150"/>
      <c r="B781" s="477"/>
      <c r="C781" s="125"/>
      <c r="D781" s="478"/>
      <c r="E781" s="478"/>
      <c r="F781" s="52"/>
      <c r="G781" s="52"/>
      <c r="H781" s="52"/>
      <c r="I781" s="52"/>
      <c r="J781" s="52"/>
      <c r="K781" s="52"/>
      <c r="L781" s="52"/>
      <c r="M781" s="52"/>
      <c r="N781" s="52"/>
      <c r="O781" s="52"/>
      <c r="P781" s="52"/>
      <c r="Q781" s="52"/>
      <c r="R781" s="52"/>
      <c r="S781" s="52"/>
      <c r="T781" s="52"/>
      <c r="U781" s="52"/>
      <c r="V781" s="52"/>
      <c r="W781" s="52"/>
      <c r="X781" s="52"/>
      <c r="Y781" s="52"/>
      <c r="Z781" s="52"/>
      <c r="AA781" s="52"/>
      <c r="AB781" s="52"/>
      <c r="AC781" s="52"/>
      <c r="AD781" s="52"/>
      <c r="AE781" s="52"/>
      <c r="AF781" s="52"/>
      <c r="AG781" s="52"/>
      <c r="AH781" s="52"/>
      <c r="AI781" s="52"/>
      <c r="AJ781" s="52"/>
      <c r="AK781" s="52"/>
      <c r="AL781" s="52"/>
      <c r="AM781" s="52"/>
      <c r="AN781" s="52"/>
      <c r="AO781" s="52"/>
      <c r="AP781" s="52"/>
      <c r="AQ781" s="52"/>
    </row>
    <row r="782" spans="1:43">
      <c r="A782" s="150"/>
      <c r="B782" s="477"/>
      <c r="C782" s="125"/>
      <c r="D782" s="478"/>
      <c r="E782" s="478"/>
      <c r="F782" s="52"/>
      <c r="G782" s="52"/>
      <c r="H782" s="52"/>
      <c r="I782" s="52"/>
      <c r="J782" s="52"/>
      <c r="K782" s="52"/>
      <c r="L782" s="52"/>
      <c r="M782" s="52"/>
      <c r="N782" s="52"/>
      <c r="O782" s="52"/>
      <c r="P782" s="52"/>
      <c r="Q782" s="52"/>
      <c r="R782" s="52"/>
      <c r="S782" s="52"/>
      <c r="T782" s="52"/>
      <c r="U782" s="52"/>
      <c r="V782" s="52"/>
      <c r="W782" s="52"/>
      <c r="X782" s="52"/>
      <c r="Y782" s="52"/>
      <c r="Z782" s="52"/>
      <c r="AA782" s="52"/>
      <c r="AB782" s="52"/>
      <c r="AC782" s="52"/>
      <c r="AD782" s="52"/>
      <c r="AE782" s="52"/>
      <c r="AF782" s="52"/>
      <c r="AG782" s="52"/>
      <c r="AH782" s="52"/>
      <c r="AI782" s="52"/>
      <c r="AJ782" s="52"/>
      <c r="AK782" s="52"/>
      <c r="AL782" s="52"/>
      <c r="AM782" s="52"/>
      <c r="AN782" s="52"/>
      <c r="AO782" s="52"/>
      <c r="AP782" s="52"/>
      <c r="AQ782" s="52"/>
    </row>
    <row r="783" spans="1:43">
      <c r="A783" s="150"/>
      <c r="B783" s="477"/>
      <c r="C783" s="125"/>
      <c r="D783" s="478"/>
      <c r="E783" s="478"/>
      <c r="F783" s="52"/>
      <c r="G783" s="52"/>
      <c r="H783" s="52"/>
      <c r="I783" s="52"/>
      <c r="J783" s="52"/>
      <c r="K783" s="52"/>
      <c r="L783" s="52"/>
      <c r="M783" s="52"/>
      <c r="N783" s="52"/>
      <c r="O783" s="52"/>
      <c r="P783" s="52"/>
      <c r="Q783" s="52"/>
      <c r="R783" s="52"/>
      <c r="S783" s="52"/>
      <c r="T783" s="52"/>
      <c r="U783" s="52"/>
      <c r="V783" s="52"/>
      <c r="W783" s="52"/>
      <c r="X783" s="52"/>
      <c r="Y783" s="52"/>
      <c r="Z783" s="52"/>
      <c r="AA783" s="52"/>
      <c r="AB783" s="52"/>
      <c r="AC783" s="52"/>
      <c r="AD783" s="52"/>
      <c r="AE783" s="52"/>
      <c r="AF783" s="52"/>
      <c r="AG783" s="52"/>
      <c r="AH783" s="52"/>
      <c r="AI783" s="52"/>
      <c r="AJ783" s="52"/>
      <c r="AK783" s="52"/>
      <c r="AL783" s="52"/>
      <c r="AM783" s="52"/>
      <c r="AN783" s="52"/>
      <c r="AO783" s="52"/>
      <c r="AP783" s="52"/>
      <c r="AQ783" s="52"/>
    </row>
    <row r="784" spans="1:43">
      <c r="A784" s="150"/>
      <c r="B784" s="477"/>
      <c r="C784" s="125"/>
      <c r="D784" s="478"/>
      <c r="E784" s="478"/>
      <c r="F784" s="52"/>
      <c r="G784" s="52"/>
      <c r="H784" s="52"/>
      <c r="I784" s="52"/>
      <c r="J784" s="52"/>
      <c r="K784" s="52"/>
      <c r="L784" s="52"/>
      <c r="M784" s="52"/>
      <c r="N784" s="52"/>
      <c r="O784" s="52"/>
      <c r="P784" s="52"/>
      <c r="Q784" s="52"/>
      <c r="R784" s="52"/>
      <c r="S784" s="52"/>
      <c r="T784" s="52"/>
      <c r="U784" s="52"/>
      <c r="V784" s="52"/>
      <c r="W784" s="52"/>
      <c r="X784" s="52"/>
      <c r="Y784" s="52"/>
      <c r="Z784" s="52"/>
      <c r="AA784" s="52"/>
      <c r="AB784" s="52"/>
      <c r="AC784" s="52"/>
      <c r="AD784" s="52"/>
      <c r="AE784" s="52"/>
      <c r="AF784" s="52"/>
      <c r="AG784" s="52"/>
      <c r="AH784" s="52"/>
      <c r="AI784" s="52"/>
      <c r="AJ784" s="52"/>
      <c r="AK784" s="52"/>
      <c r="AL784" s="52"/>
      <c r="AM784" s="52"/>
      <c r="AN784" s="52"/>
      <c r="AO784" s="52"/>
      <c r="AP784" s="52"/>
      <c r="AQ784" s="52"/>
    </row>
    <row r="785" spans="1:43">
      <c r="A785" s="150"/>
      <c r="B785" s="477"/>
      <c r="C785" s="125"/>
      <c r="D785" s="478"/>
      <c r="E785" s="478"/>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row>
    <row r="786" spans="1:43">
      <c r="A786" s="150"/>
      <c r="B786" s="477"/>
      <c r="C786" s="125"/>
      <c r="D786" s="478"/>
      <c r="E786" s="478"/>
      <c r="F786" s="52"/>
      <c r="G786" s="52"/>
      <c r="H786" s="52"/>
      <c r="I786" s="52"/>
      <c r="J786" s="52"/>
      <c r="K786" s="52"/>
      <c r="L786" s="52"/>
      <c r="M786" s="52"/>
      <c r="N786" s="52"/>
      <c r="O786" s="52"/>
      <c r="P786" s="52"/>
      <c r="Q786" s="52"/>
      <c r="R786" s="52"/>
      <c r="S786" s="52"/>
      <c r="T786" s="52"/>
      <c r="U786" s="52"/>
      <c r="V786" s="52"/>
      <c r="W786" s="52"/>
      <c r="X786" s="52"/>
      <c r="Y786" s="52"/>
      <c r="Z786" s="52"/>
      <c r="AA786" s="52"/>
      <c r="AB786" s="52"/>
      <c r="AC786" s="52"/>
      <c r="AD786" s="52"/>
      <c r="AE786" s="52"/>
      <c r="AF786" s="52"/>
      <c r="AG786" s="52"/>
      <c r="AH786" s="52"/>
      <c r="AI786" s="52"/>
      <c r="AJ786" s="52"/>
      <c r="AK786" s="52"/>
      <c r="AL786" s="52"/>
      <c r="AM786" s="52"/>
      <c r="AN786" s="52"/>
      <c r="AO786" s="52"/>
      <c r="AP786" s="52"/>
      <c r="AQ786" s="52"/>
    </row>
    <row r="787" spans="1:43">
      <c r="A787" s="150"/>
      <c r="B787" s="477"/>
      <c r="C787" s="125"/>
      <c r="D787" s="478"/>
      <c r="E787" s="478"/>
      <c r="F787" s="52"/>
      <c r="G787" s="52"/>
      <c r="H787" s="52"/>
      <c r="I787" s="52"/>
      <c r="J787" s="52"/>
      <c r="K787" s="52"/>
      <c r="L787" s="52"/>
      <c r="M787" s="52"/>
      <c r="N787" s="52"/>
      <c r="O787" s="52"/>
      <c r="P787" s="52"/>
      <c r="Q787" s="52"/>
      <c r="R787" s="52"/>
      <c r="S787" s="52"/>
      <c r="T787" s="52"/>
      <c r="U787" s="52"/>
      <c r="V787" s="52"/>
      <c r="W787" s="52"/>
      <c r="X787" s="52"/>
      <c r="Y787" s="52"/>
      <c r="Z787" s="52"/>
      <c r="AA787" s="52"/>
      <c r="AB787" s="52"/>
      <c r="AC787" s="52"/>
      <c r="AD787" s="52"/>
      <c r="AE787" s="52"/>
      <c r="AF787" s="52"/>
      <c r="AG787" s="52"/>
      <c r="AH787" s="52"/>
      <c r="AI787" s="52"/>
      <c r="AJ787" s="52"/>
      <c r="AK787" s="52"/>
      <c r="AL787" s="52"/>
      <c r="AM787" s="52"/>
      <c r="AN787" s="52"/>
      <c r="AO787" s="52"/>
      <c r="AP787" s="52"/>
      <c r="AQ787" s="52"/>
    </row>
    <row r="788" spans="1:43">
      <c r="A788" s="150"/>
      <c r="B788" s="477"/>
      <c r="C788" s="125"/>
      <c r="D788" s="478"/>
      <c r="E788" s="478"/>
      <c r="F788" s="52"/>
      <c r="G788" s="52"/>
      <c r="H788" s="52"/>
      <c r="I788" s="52"/>
      <c r="J788" s="52"/>
      <c r="K788" s="52"/>
      <c r="L788" s="52"/>
      <c r="M788" s="52"/>
      <c r="N788" s="52"/>
      <c r="O788" s="52"/>
      <c r="P788" s="52"/>
      <c r="Q788" s="52"/>
      <c r="R788" s="52"/>
      <c r="S788" s="52"/>
      <c r="T788" s="52"/>
      <c r="U788" s="52"/>
      <c r="V788" s="52"/>
      <c r="W788" s="52"/>
      <c r="X788" s="52"/>
      <c r="Y788" s="52"/>
      <c r="Z788" s="52"/>
      <c r="AA788" s="52"/>
      <c r="AB788" s="52"/>
      <c r="AC788" s="52"/>
      <c r="AD788" s="52"/>
      <c r="AE788" s="52"/>
      <c r="AF788" s="52"/>
      <c r="AG788" s="52"/>
      <c r="AH788" s="52"/>
      <c r="AI788" s="52"/>
      <c r="AJ788" s="52"/>
      <c r="AK788" s="52"/>
      <c r="AL788" s="52"/>
      <c r="AM788" s="52"/>
      <c r="AN788" s="52"/>
      <c r="AO788" s="52"/>
      <c r="AP788" s="52"/>
      <c r="AQ788" s="52"/>
    </row>
    <row r="789" spans="1:43">
      <c r="A789" s="150"/>
      <c r="B789" s="477"/>
      <c r="C789" s="125"/>
      <c r="D789" s="478"/>
      <c r="E789" s="478"/>
      <c r="F789" s="52"/>
      <c r="G789" s="52"/>
      <c r="H789" s="52"/>
      <c r="I789" s="52"/>
      <c r="J789" s="52"/>
      <c r="K789" s="52"/>
      <c r="L789" s="52"/>
      <c r="M789" s="52"/>
      <c r="N789" s="52"/>
      <c r="O789" s="52"/>
      <c r="P789" s="52"/>
      <c r="Q789" s="52"/>
      <c r="R789" s="52"/>
      <c r="S789" s="52"/>
      <c r="T789" s="52"/>
      <c r="U789" s="52"/>
      <c r="V789" s="52"/>
      <c r="W789" s="52"/>
      <c r="X789" s="52"/>
      <c r="Y789" s="52"/>
      <c r="Z789" s="52"/>
      <c r="AA789" s="52"/>
      <c r="AB789" s="52"/>
      <c r="AC789" s="52"/>
      <c r="AD789" s="52"/>
      <c r="AE789" s="52"/>
      <c r="AF789" s="52"/>
      <c r="AG789" s="52"/>
      <c r="AH789" s="52"/>
      <c r="AI789" s="52"/>
      <c r="AJ789" s="52"/>
      <c r="AK789" s="52"/>
      <c r="AL789" s="52"/>
      <c r="AM789" s="52"/>
      <c r="AN789" s="52"/>
      <c r="AO789" s="52"/>
      <c r="AP789" s="52"/>
      <c r="AQ789" s="52"/>
    </row>
    <row r="790" spans="1:43">
      <c r="A790" s="150"/>
      <c r="B790" s="477"/>
      <c r="C790" s="125"/>
      <c r="D790" s="478"/>
      <c r="E790" s="478"/>
      <c r="F790" s="52"/>
      <c r="G790" s="52"/>
      <c r="H790" s="52"/>
      <c r="I790" s="52"/>
      <c r="J790" s="52"/>
      <c r="K790" s="52"/>
      <c r="L790" s="52"/>
      <c r="M790" s="52"/>
      <c r="N790" s="52"/>
      <c r="O790" s="52"/>
      <c r="P790" s="52"/>
      <c r="Q790" s="52"/>
      <c r="R790" s="52"/>
      <c r="S790" s="52"/>
      <c r="T790" s="52"/>
      <c r="U790" s="52"/>
      <c r="V790" s="52"/>
      <c r="W790" s="52"/>
      <c r="X790" s="52"/>
      <c r="Y790" s="52"/>
      <c r="Z790" s="52"/>
      <c r="AA790" s="52"/>
      <c r="AB790" s="52"/>
      <c r="AC790" s="52"/>
      <c r="AD790" s="52"/>
      <c r="AE790" s="52"/>
      <c r="AF790" s="52"/>
      <c r="AG790" s="52"/>
      <c r="AH790" s="52"/>
      <c r="AI790" s="52"/>
      <c r="AJ790" s="52"/>
      <c r="AK790" s="52"/>
      <c r="AL790" s="52"/>
      <c r="AM790" s="52"/>
      <c r="AN790" s="52"/>
      <c r="AO790" s="52"/>
      <c r="AP790" s="52"/>
      <c r="AQ790" s="52"/>
    </row>
    <row r="791" spans="1:43">
      <c r="A791" s="150"/>
      <c r="B791" s="477"/>
      <c r="C791" s="125"/>
      <c r="D791" s="478"/>
      <c r="E791" s="478"/>
      <c r="F791" s="52"/>
      <c r="G791" s="52"/>
      <c r="H791" s="52"/>
      <c r="I791" s="52"/>
      <c r="J791" s="52"/>
      <c r="K791" s="52"/>
      <c r="L791" s="52"/>
      <c r="M791" s="52"/>
      <c r="N791" s="52"/>
      <c r="O791" s="52"/>
      <c r="P791" s="52"/>
      <c r="Q791" s="52"/>
      <c r="R791" s="52"/>
      <c r="S791" s="52"/>
      <c r="T791" s="52"/>
      <c r="U791" s="52"/>
      <c r="V791" s="52"/>
      <c r="W791" s="52"/>
      <c r="X791" s="52"/>
      <c r="Y791" s="52"/>
      <c r="Z791" s="52"/>
      <c r="AA791" s="52"/>
      <c r="AB791" s="52"/>
      <c r="AC791" s="52"/>
      <c r="AD791" s="52"/>
      <c r="AE791" s="52"/>
      <c r="AF791" s="52"/>
      <c r="AG791" s="52"/>
      <c r="AH791" s="52"/>
      <c r="AI791" s="52"/>
      <c r="AJ791" s="52"/>
      <c r="AK791" s="52"/>
      <c r="AL791" s="52"/>
      <c r="AM791" s="52"/>
      <c r="AN791" s="52"/>
      <c r="AO791" s="52"/>
      <c r="AP791" s="52"/>
      <c r="AQ791" s="52"/>
    </row>
    <row r="792" spans="1:43">
      <c r="A792" s="150"/>
      <c r="B792" s="477"/>
      <c r="C792" s="125"/>
      <c r="D792" s="478"/>
      <c r="E792" s="478"/>
      <c r="F792" s="52"/>
      <c r="G792" s="52"/>
      <c r="H792" s="52"/>
      <c r="I792" s="52"/>
      <c r="J792" s="52"/>
      <c r="K792" s="52"/>
      <c r="L792" s="52"/>
      <c r="M792" s="52"/>
      <c r="N792" s="52"/>
      <c r="O792" s="52"/>
      <c r="P792" s="52"/>
      <c r="Q792" s="52"/>
      <c r="R792" s="52"/>
      <c r="S792" s="52"/>
      <c r="T792" s="52"/>
      <c r="U792" s="52"/>
      <c r="V792" s="52"/>
      <c r="W792" s="52"/>
      <c r="X792" s="52"/>
      <c r="Y792" s="52"/>
      <c r="Z792" s="52"/>
      <c r="AA792" s="52"/>
      <c r="AB792" s="52"/>
      <c r="AC792" s="52"/>
      <c r="AD792" s="52"/>
      <c r="AE792" s="52"/>
      <c r="AF792" s="52"/>
      <c r="AG792" s="52"/>
      <c r="AH792" s="52"/>
      <c r="AI792" s="52"/>
      <c r="AJ792" s="52"/>
      <c r="AK792" s="52"/>
      <c r="AL792" s="52"/>
      <c r="AM792" s="52"/>
      <c r="AN792" s="52"/>
      <c r="AO792" s="52"/>
      <c r="AP792" s="52"/>
      <c r="AQ792" s="52"/>
    </row>
    <row r="793" spans="1:43">
      <c r="A793" s="150"/>
      <c r="B793" s="477"/>
      <c r="C793" s="125"/>
      <c r="D793" s="478"/>
      <c r="E793" s="478"/>
      <c r="F793" s="52"/>
      <c r="G793" s="52"/>
      <c r="H793" s="52"/>
      <c r="I793" s="52"/>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c r="AH793" s="52"/>
      <c r="AI793" s="52"/>
      <c r="AJ793" s="52"/>
      <c r="AK793" s="52"/>
      <c r="AL793" s="52"/>
      <c r="AM793" s="52"/>
      <c r="AN793" s="52"/>
      <c r="AO793" s="52"/>
      <c r="AP793" s="52"/>
      <c r="AQ793" s="52"/>
    </row>
    <row r="794" spans="1:43">
      <c r="A794" s="150"/>
      <c r="B794" s="477"/>
      <c r="C794" s="125"/>
      <c r="D794" s="478"/>
      <c r="E794" s="478"/>
      <c r="F794" s="52"/>
      <c r="G794" s="52"/>
      <c r="H794" s="52"/>
      <c r="I794" s="52"/>
      <c r="J794" s="52"/>
      <c r="K794" s="52"/>
      <c r="L794" s="52"/>
      <c r="M794" s="52"/>
      <c r="N794" s="52"/>
      <c r="O794" s="52"/>
      <c r="P794" s="52"/>
      <c r="Q794" s="52"/>
      <c r="R794" s="52"/>
      <c r="S794" s="52"/>
      <c r="T794" s="52"/>
      <c r="U794" s="52"/>
      <c r="V794" s="52"/>
      <c r="W794" s="52"/>
      <c r="X794" s="52"/>
      <c r="Y794" s="52"/>
      <c r="Z794" s="52"/>
      <c r="AA794" s="52"/>
      <c r="AB794" s="52"/>
      <c r="AC794" s="52"/>
      <c r="AD794" s="52"/>
      <c r="AE794" s="52"/>
      <c r="AF794" s="52"/>
      <c r="AG794" s="52"/>
      <c r="AH794" s="52"/>
      <c r="AI794" s="52"/>
      <c r="AJ794" s="52"/>
      <c r="AK794" s="52"/>
      <c r="AL794" s="52"/>
      <c r="AM794" s="52"/>
      <c r="AN794" s="52"/>
      <c r="AO794" s="52"/>
      <c r="AP794" s="52"/>
      <c r="AQ794" s="52"/>
    </row>
    <row r="795" spans="1:43">
      <c r="A795" s="150"/>
      <c r="B795" s="477"/>
      <c r="C795" s="125"/>
      <c r="D795" s="478"/>
      <c r="E795" s="478"/>
      <c r="F795" s="52"/>
      <c r="G795" s="52"/>
      <c r="H795" s="52"/>
      <c r="I795" s="52"/>
      <c r="J795" s="52"/>
      <c r="K795" s="52"/>
      <c r="L795" s="52"/>
      <c r="M795" s="52"/>
      <c r="N795" s="52"/>
      <c r="O795" s="52"/>
      <c r="P795" s="52"/>
      <c r="Q795" s="52"/>
      <c r="R795" s="52"/>
      <c r="S795" s="52"/>
      <c r="T795" s="52"/>
      <c r="U795" s="52"/>
      <c r="V795" s="52"/>
      <c r="W795" s="52"/>
      <c r="X795" s="52"/>
      <c r="Y795" s="52"/>
      <c r="Z795" s="52"/>
      <c r="AA795" s="52"/>
      <c r="AB795" s="52"/>
      <c r="AC795" s="52"/>
      <c r="AD795" s="52"/>
      <c r="AE795" s="52"/>
      <c r="AF795" s="52"/>
      <c r="AG795" s="52"/>
      <c r="AH795" s="52"/>
      <c r="AI795" s="52"/>
      <c r="AJ795" s="52"/>
      <c r="AK795" s="52"/>
      <c r="AL795" s="52"/>
      <c r="AM795" s="52"/>
      <c r="AN795" s="52"/>
      <c r="AO795" s="52"/>
      <c r="AP795" s="52"/>
      <c r="AQ795" s="52"/>
    </row>
    <row r="796" spans="1:43">
      <c r="A796" s="150"/>
      <c r="B796" s="477"/>
      <c r="C796" s="125"/>
      <c r="D796" s="478"/>
      <c r="E796" s="478"/>
      <c r="F796" s="52"/>
      <c r="G796" s="52"/>
      <c r="H796" s="52"/>
      <c r="I796" s="52"/>
      <c r="J796" s="52"/>
      <c r="K796" s="52"/>
      <c r="L796" s="52"/>
      <c r="M796" s="52"/>
      <c r="N796" s="52"/>
      <c r="O796" s="52"/>
      <c r="P796" s="52"/>
      <c r="Q796" s="52"/>
      <c r="R796" s="52"/>
      <c r="S796" s="52"/>
      <c r="T796" s="52"/>
      <c r="U796" s="52"/>
      <c r="V796" s="52"/>
      <c r="W796" s="52"/>
      <c r="X796" s="52"/>
      <c r="Y796" s="52"/>
      <c r="Z796" s="52"/>
      <c r="AA796" s="52"/>
      <c r="AB796" s="52"/>
      <c r="AC796" s="52"/>
      <c r="AD796" s="52"/>
      <c r="AE796" s="52"/>
      <c r="AF796" s="52"/>
      <c r="AG796" s="52"/>
      <c r="AH796" s="52"/>
      <c r="AI796" s="52"/>
      <c r="AJ796" s="52"/>
      <c r="AK796" s="52"/>
      <c r="AL796" s="52"/>
      <c r="AM796" s="52"/>
      <c r="AN796" s="52"/>
      <c r="AO796" s="52"/>
      <c r="AP796" s="52"/>
      <c r="AQ796" s="52"/>
    </row>
    <row r="797" spans="1:43">
      <c r="A797" s="150"/>
      <c r="B797" s="477"/>
      <c r="C797" s="125"/>
      <c r="D797" s="478"/>
      <c r="E797" s="478"/>
      <c r="F797" s="52"/>
      <c r="G797" s="52"/>
      <c r="H797" s="52"/>
      <c r="I797" s="52"/>
      <c r="J797" s="52"/>
      <c r="K797" s="52"/>
      <c r="L797" s="52"/>
      <c r="M797" s="52"/>
      <c r="N797" s="52"/>
      <c r="O797" s="52"/>
      <c r="P797" s="52"/>
      <c r="Q797" s="52"/>
      <c r="R797" s="52"/>
      <c r="S797" s="52"/>
      <c r="T797" s="52"/>
      <c r="U797" s="52"/>
      <c r="V797" s="52"/>
      <c r="W797" s="52"/>
      <c r="X797" s="52"/>
      <c r="Y797" s="52"/>
      <c r="Z797" s="52"/>
      <c r="AA797" s="52"/>
      <c r="AB797" s="52"/>
      <c r="AC797" s="52"/>
      <c r="AD797" s="52"/>
      <c r="AE797" s="52"/>
      <c r="AF797" s="52"/>
      <c r="AG797" s="52"/>
      <c r="AH797" s="52"/>
      <c r="AI797" s="52"/>
      <c r="AJ797" s="52"/>
      <c r="AK797" s="52"/>
      <c r="AL797" s="52"/>
      <c r="AM797" s="52"/>
      <c r="AN797" s="52"/>
      <c r="AO797" s="52"/>
      <c r="AP797" s="52"/>
      <c r="AQ797" s="52"/>
    </row>
    <row r="798" spans="1:43">
      <c r="A798" s="150"/>
      <c r="B798" s="477"/>
      <c r="C798" s="125"/>
      <c r="D798" s="478"/>
      <c r="E798" s="478"/>
      <c r="F798" s="52"/>
      <c r="G798" s="52"/>
      <c r="H798" s="52"/>
      <c r="I798" s="52"/>
      <c r="J798" s="52"/>
      <c r="K798" s="52"/>
      <c r="L798" s="52"/>
      <c r="M798" s="52"/>
      <c r="N798" s="52"/>
      <c r="O798" s="52"/>
      <c r="P798" s="52"/>
      <c r="Q798" s="52"/>
      <c r="R798" s="52"/>
      <c r="S798" s="52"/>
      <c r="T798" s="52"/>
      <c r="U798" s="52"/>
      <c r="V798" s="52"/>
      <c r="W798" s="52"/>
      <c r="X798" s="52"/>
      <c r="Y798" s="52"/>
      <c r="Z798" s="52"/>
      <c r="AA798" s="52"/>
      <c r="AB798" s="52"/>
      <c r="AC798" s="52"/>
      <c r="AD798" s="52"/>
      <c r="AE798" s="52"/>
      <c r="AF798" s="52"/>
      <c r="AG798" s="52"/>
      <c r="AH798" s="52"/>
      <c r="AI798" s="52"/>
      <c r="AJ798" s="52"/>
      <c r="AK798" s="52"/>
      <c r="AL798" s="52"/>
      <c r="AM798" s="52"/>
      <c r="AN798" s="52"/>
      <c r="AO798" s="52"/>
      <c r="AP798" s="52"/>
      <c r="AQ798" s="52"/>
    </row>
    <row r="799" spans="1:43">
      <c r="A799" s="150"/>
      <c r="B799" s="477"/>
      <c r="C799" s="125"/>
      <c r="D799" s="478"/>
      <c r="E799" s="478"/>
      <c r="F799" s="52"/>
      <c r="G799" s="52"/>
      <c r="H799" s="52"/>
      <c r="I799" s="52"/>
      <c r="J799" s="52"/>
      <c r="K799" s="52"/>
      <c r="L799" s="52"/>
      <c r="M799" s="52"/>
      <c r="N799" s="52"/>
      <c r="O799" s="52"/>
      <c r="P799" s="52"/>
      <c r="Q799" s="52"/>
      <c r="R799" s="52"/>
      <c r="S799" s="52"/>
      <c r="T799" s="52"/>
      <c r="U799" s="52"/>
      <c r="V799" s="52"/>
      <c r="W799" s="52"/>
      <c r="X799" s="52"/>
      <c r="Y799" s="52"/>
      <c r="Z799" s="52"/>
      <c r="AA799" s="52"/>
      <c r="AB799" s="52"/>
      <c r="AC799" s="52"/>
      <c r="AD799" s="52"/>
      <c r="AE799" s="52"/>
      <c r="AF799" s="52"/>
      <c r="AG799" s="52"/>
      <c r="AH799" s="52"/>
      <c r="AI799" s="52"/>
      <c r="AJ799" s="52"/>
      <c r="AK799" s="52"/>
      <c r="AL799" s="52"/>
      <c r="AM799" s="52"/>
      <c r="AN799" s="52"/>
      <c r="AO799" s="52"/>
      <c r="AP799" s="52"/>
      <c r="AQ799" s="52"/>
    </row>
    <row r="800" spans="1:43">
      <c r="A800" s="150"/>
      <c r="B800" s="477"/>
      <c r="C800" s="125"/>
      <c r="D800" s="478"/>
      <c r="E800" s="478"/>
      <c r="F800" s="52"/>
      <c r="G800" s="52"/>
      <c r="H800" s="52"/>
      <c r="I800" s="52"/>
      <c r="J800" s="52"/>
      <c r="K800" s="52"/>
      <c r="L800" s="52"/>
      <c r="M800" s="52"/>
      <c r="N800" s="52"/>
      <c r="O800" s="52"/>
      <c r="P800" s="52"/>
      <c r="Q800" s="52"/>
      <c r="R800" s="52"/>
      <c r="S800" s="52"/>
      <c r="T800" s="52"/>
      <c r="U800" s="52"/>
      <c r="V800" s="52"/>
      <c r="W800" s="52"/>
      <c r="X800" s="52"/>
      <c r="Y800" s="52"/>
      <c r="Z800" s="52"/>
      <c r="AA800" s="52"/>
      <c r="AB800" s="52"/>
      <c r="AC800" s="52"/>
      <c r="AD800" s="52"/>
      <c r="AE800" s="52"/>
      <c r="AF800" s="52"/>
      <c r="AG800" s="52"/>
      <c r="AH800" s="52"/>
      <c r="AI800" s="52"/>
      <c r="AJ800" s="52"/>
      <c r="AK800" s="52"/>
      <c r="AL800" s="52"/>
      <c r="AM800" s="52"/>
      <c r="AN800" s="52"/>
      <c r="AO800" s="52"/>
      <c r="AP800" s="52"/>
      <c r="AQ800" s="52"/>
    </row>
    <row r="801" spans="1:43">
      <c r="A801" s="150"/>
      <c r="B801" s="477"/>
      <c r="C801" s="125"/>
      <c r="D801" s="478"/>
      <c r="E801" s="478"/>
      <c r="F801" s="52"/>
      <c r="G801" s="52"/>
      <c r="H801" s="52"/>
      <c r="I801" s="52"/>
      <c r="J801" s="52"/>
      <c r="K801" s="52"/>
      <c r="L801" s="52"/>
      <c r="M801" s="52"/>
      <c r="N801" s="52"/>
      <c r="O801" s="52"/>
      <c r="P801" s="52"/>
      <c r="Q801" s="52"/>
      <c r="R801" s="52"/>
      <c r="S801" s="52"/>
      <c r="T801" s="52"/>
      <c r="U801" s="52"/>
      <c r="V801" s="52"/>
      <c r="W801" s="52"/>
      <c r="X801" s="52"/>
      <c r="Y801" s="52"/>
      <c r="Z801" s="52"/>
      <c r="AA801" s="52"/>
      <c r="AB801" s="52"/>
      <c r="AC801" s="52"/>
      <c r="AD801" s="52"/>
      <c r="AE801" s="52"/>
      <c r="AF801" s="52"/>
      <c r="AG801" s="52"/>
      <c r="AH801" s="52"/>
      <c r="AI801" s="52"/>
      <c r="AJ801" s="52"/>
      <c r="AK801" s="52"/>
      <c r="AL801" s="52"/>
      <c r="AM801" s="52"/>
      <c r="AN801" s="52"/>
      <c r="AO801" s="52"/>
      <c r="AP801" s="52"/>
      <c r="AQ801" s="52"/>
    </row>
    <row r="802" spans="1:43">
      <c r="A802" s="150"/>
      <c r="B802" s="477"/>
      <c r="C802" s="125"/>
      <c r="D802" s="478"/>
      <c r="E802" s="478"/>
      <c r="F802" s="52"/>
      <c r="G802" s="52"/>
      <c r="H802" s="52"/>
      <c r="I802" s="52"/>
      <c r="J802" s="52"/>
      <c r="K802" s="52"/>
      <c r="L802" s="52"/>
      <c r="M802" s="52"/>
      <c r="N802" s="52"/>
      <c r="O802" s="52"/>
      <c r="P802" s="52"/>
      <c r="Q802" s="52"/>
      <c r="R802" s="52"/>
      <c r="S802" s="52"/>
      <c r="T802" s="52"/>
      <c r="U802" s="52"/>
      <c r="V802" s="52"/>
      <c r="W802" s="52"/>
      <c r="X802" s="52"/>
      <c r="Y802" s="52"/>
      <c r="Z802" s="52"/>
      <c r="AA802" s="52"/>
      <c r="AB802" s="52"/>
      <c r="AC802" s="52"/>
      <c r="AD802" s="52"/>
      <c r="AE802" s="52"/>
      <c r="AF802" s="52"/>
      <c r="AG802" s="52"/>
      <c r="AH802" s="52"/>
      <c r="AI802" s="52"/>
      <c r="AJ802" s="52"/>
      <c r="AK802" s="52"/>
      <c r="AL802" s="52"/>
      <c r="AM802" s="52"/>
      <c r="AN802" s="52"/>
      <c r="AO802" s="52"/>
      <c r="AP802" s="52"/>
      <c r="AQ802" s="52"/>
    </row>
    <row r="803" spans="1:43">
      <c r="A803" s="150"/>
      <c r="B803" s="477"/>
      <c r="C803" s="125"/>
      <c r="D803" s="478"/>
      <c r="E803" s="478"/>
      <c r="F803" s="52"/>
      <c r="G803" s="52"/>
      <c r="H803" s="52"/>
      <c r="I803" s="52"/>
      <c r="J803" s="52"/>
      <c r="K803" s="52"/>
      <c r="L803" s="52"/>
      <c r="M803" s="52"/>
      <c r="N803" s="52"/>
      <c r="O803" s="52"/>
      <c r="P803" s="52"/>
      <c r="Q803" s="52"/>
      <c r="R803" s="52"/>
      <c r="S803" s="52"/>
      <c r="T803" s="52"/>
      <c r="U803" s="52"/>
      <c r="V803" s="52"/>
      <c r="W803" s="52"/>
      <c r="X803" s="52"/>
      <c r="Y803" s="52"/>
      <c r="Z803" s="52"/>
      <c r="AA803" s="52"/>
      <c r="AB803" s="52"/>
      <c r="AC803" s="52"/>
      <c r="AD803" s="52"/>
      <c r="AE803" s="52"/>
      <c r="AF803" s="52"/>
      <c r="AG803" s="52"/>
      <c r="AH803" s="52"/>
      <c r="AI803" s="52"/>
      <c r="AJ803" s="52"/>
      <c r="AK803" s="52"/>
      <c r="AL803" s="52"/>
      <c r="AM803" s="52"/>
      <c r="AN803" s="52"/>
      <c r="AO803" s="52"/>
      <c r="AP803" s="52"/>
      <c r="AQ803" s="52"/>
    </row>
    <row r="804" spans="1:43">
      <c r="A804" s="150"/>
      <c r="B804" s="477"/>
      <c r="C804" s="125"/>
      <c r="D804" s="478"/>
      <c r="E804" s="478"/>
      <c r="F804" s="52"/>
      <c r="G804" s="52"/>
      <c r="H804" s="52"/>
      <c r="I804" s="52"/>
      <c r="J804" s="52"/>
      <c r="K804" s="52"/>
      <c r="L804" s="52"/>
      <c r="M804" s="52"/>
      <c r="N804" s="52"/>
      <c r="O804" s="52"/>
      <c r="P804" s="52"/>
      <c r="Q804" s="52"/>
      <c r="R804" s="52"/>
      <c r="S804" s="52"/>
      <c r="T804" s="52"/>
      <c r="U804" s="52"/>
      <c r="V804" s="52"/>
      <c r="W804" s="52"/>
      <c r="X804" s="52"/>
      <c r="Y804" s="52"/>
      <c r="Z804" s="52"/>
      <c r="AA804" s="52"/>
      <c r="AB804" s="52"/>
      <c r="AC804" s="52"/>
      <c r="AD804" s="52"/>
      <c r="AE804" s="52"/>
      <c r="AF804" s="52"/>
      <c r="AG804" s="52"/>
      <c r="AH804" s="52"/>
      <c r="AI804" s="52"/>
      <c r="AJ804" s="52"/>
      <c r="AK804" s="52"/>
      <c r="AL804" s="52"/>
      <c r="AM804" s="52"/>
      <c r="AN804" s="52"/>
      <c r="AO804" s="52"/>
      <c r="AP804" s="52"/>
      <c r="AQ804" s="52"/>
    </row>
    <row r="805" spans="1:43">
      <c r="A805" s="150"/>
      <c r="B805" s="477"/>
      <c r="C805" s="125"/>
      <c r="D805" s="478"/>
      <c r="E805" s="478"/>
      <c r="F805" s="52"/>
      <c r="G805" s="52"/>
      <c r="H805" s="52"/>
      <c r="I805" s="52"/>
      <c r="J805" s="52"/>
      <c r="K805" s="52"/>
      <c r="L805" s="52"/>
      <c r="M805" s="52"/>
      <c r="N805" s="52"/>
      <c r="O805" s="52"/>
      <c r="P805" s="52"/>
      <c r="Q805" s="52"/>
      <c r="R805" s="52"/>
      <c r="S805" s="52"/>
      <c r="T805" s="52"/>
      <c r="U805" s="52"/>
      <c r="V805" s="52"/>
      <c r="W805" s="52"/>
      <c r="X805" s="52"/>
      <c r="Y805" s="52"/>
      <c r="Z805" s="52"/>
      <c r="AA805" s="52"/>
      <c r="AB805" s="52"/>
      <c r="AC805" s="52"/>
      <c r="AD805" s="52"/>
      <c r="AE805" s="52"/>
      <c r="AF805" s="52"/>
      <c r="AG805" s="52"/>
      <c r="AH805" s="52"/>
      <c r="AI805" s="52"/>
      <c r="AJ805" s="52"/>
      <c r="AK805" s="52"/>
      <c r="AL805" s="52"/>
      <c r="AM805" s="52"/>
      <c r="AN805" s="52"/>
      <c r="AO805" s="52"/>
      <c r="AP805" s="52"/>
      <c r="AQ805" s="52"/>
    </row>
    <row r="806" spans="1:43">
      <c r="A806" s="150"/>
      <c r="B806" s="477"/>
      <c r="C806" s="125"/>
      <c r="D806" s="478"/>
      <c r="E806" s="478"/>
      <c r="F806" s="52"/>
      <c r="G806" s="52"/>
      <c r="H806" s="52"/>
      <c r="I806" s="52"/>
      <c r="J806" s="52"/>
      <c r="K806" s="52"/>
      <c r="L806" s="52"/>
      <c r="M806" s="52"/>
      <c r="N806" s="52"/>
      <c r="O806" s="52"/>
      <c r="P806" s="52"/>
      <c r="Q806" s="52"/>
      <c r="R806" s="52"/>
      <c r="S806" s="52"/>
      <c r="T806" s="52"/>
      <c r="U806" s="52"/>
      <c r="V806" s="52"/>
      <c r="W806" s="52"/>
      <c r="X806" s="52"/>
      <c r="Y806" s="52"/>
      <c r="Z806" s="52"/>
      <c r="AA806" s="52"/>
      <c r="AB806" s="52"/>
      <c r="AC806" s="52"/>
      <c r="AD806" s="52"/>
      <c r="AE806" s="52"/>
      <c r="AF806" s="52"/>
      <c r="AG806" s="52"/>
      <c r="AH806" s="52"/>
      <c r="AI806" s="52"/>
      <c r="AJ806" s="52"/>
      <c r="AK806" s="52"/>
      <c r="AL806" s="52"/>
      <c r="AM806" s="52"/>
      <c r="AN806" s="52"/>
      <c r="AO806" s="52"/>
      <c r="AP806" s="52"/>
      <c r="AQ806" s="52"/>
    </row>
    <row r="807" spans="1:43">
      <c r="A807" s="150"/>
      <c r="B807" s="477"/>
      <c r="C807" s="125"/>
      <c r="D807" s="478"/>
      <c r="E807" s="478"/>
      <c r="F807" s="52"/>
      <c r="G807" s="52"/>
      <c r="H807" s="52"/>
      <c r="I807" s="52"/>
      <c r="J807" s="52"/>
      <c r="K807" s="52"/>
      <c r="L807" s="52"/>
      <c r="M807" s="52"/>
      <c r="N807" s="52"/>
      <c r="O807" s="52"/>
      <c r="P807" s="52"/>
      <c r="Q807" s="52"/>
      <c r="R807" s="52"/>
      <c r="S807" s="52"/>
      <c r="T807" s="52"/>
      <c r="U807" s="52"/>
      <c r="V807" s="52"/>
      <c r="W807" s="52"/>
      <c r="X807" s="52"/>
      <c r="Y807" s="52"/>
      <c r="Z807" s="52"/>
      <c r="AA807" s="52"/>
      <c r="AB807" s="52"/>
      <c r="AC807" s="52"/>
      <c r="AD807" s="52"/>
      <c r="AE807" s="52"/>
      <c r="AF807" s="52"/>
      <c r="AG807" s="52"/>
      <c r="AH807" s="52"/>
      <c r="AI807" s="52"/>
      <c r="AJ807" s="52"/>
      <c r="AK807" s="52"/>
      <c r="AL807" s="52"/>
      <c r="AM807" s="52"/>
      <c r="AN807" s="52"/>
      <c r="AO807" s="52"/>
      <c r="AP807" s="52"/>
      <c r="AQ807" s="52"/>
    </row>
    <row r="808" spans="1:43">
      <c r="A808" s="150"/>
      <c r="B808" s="477"/>
      <c r="C808" s="125"/>
      <c r="D808" s="478"/>
      <c r="E808" s="478"/>
      <c r="F808" s="52"/>
      <c r="G808" s="52"/>
      <c r="H808" s="52"/>
      <c r="I808" s="52"/>
      <c r="J808" s="52"/>
      <c r="K808" s="52"/>
      <c r="L808" s="52"/>
      <c r="M808" s="52"/>
      <c r="N808" s="52"/>
      <c r="O808" s="52"/>
      <c r="P808" s="52"/>
      <c r="Q808" s="52"/>
      <c r="R808" s="52"/>
      <c r="S808" s="52"/>
      <c r="T808" s="52"/>
      <c r="U808" s="52"/>
      <c r="V808" s="52"/>
      <c r="W808" s="52"/>
      <c r="X808" s="52"/>
      <c r="Y808" s="52"/>
      <c r="Z808" s="52"/>
      <c r="AA808" s="52"/>
      <c r="AB808" s="52"/>
      <c r="AC808" s="52"/>
      <c r="AD808" s="52"/>
      <c r="AE808" s="52"/>
      <c r="AF808" s="52"/>
      <c r="AG808" s="52"/>
      <c r="AH808" s="52"/>
      <c r="AI808" s="52"/>
      <c r="AJ808" s="52"/>
      <c r="AK808" s="52"/>
      <c r="AL808" s="52"/>
      <c r="AM808" s="52"/>
      <c r="AN808" s="52"/>
      <c r="AO808" s="52"/>
      <c r="AP808" s="52"/>
      <c r="AQ808" s="52"/>
    </row>
    <row r="809" spans="1:43">
      <c r="A809" s="150"/>
      <c r="B809" s="477"/>
      <c r="C809" s="125"/>
      <c r="D809" s="478"/>
      <c r="E809" s="478"/>
      <c r="F809" s="52"/>
      <c r="G809" s="52"/>
      <c r="H809" s="52"/>
      <c r="I809" s="52"/>
      <c r="J809" s="52"/>
      <c r="K809" s="52"/>
      <c r="L809" s="52"/>
      <c r="M809" s="52"/>
      <c r="N809" s="52"/>
      <c r="O809" s="52"/>
      <c r="P809" s="52"/>
      <c r="Q809" s="52"/>
      <c r="R809" s="52"/>
      <c r="S809" s="52"/>
      <c r="T809" s="52"/>
      <c r="U809" s="52"/>
      <c r="V809" s="52"/>
      <c r="W809" s="52"/>
      <c r="X809" s="52"/>
      <c r="Y809" s="52"/>
      <c r="Z809" s="52"/>
      <c r="AA809" s="52"/>
      <c r="AB809" s="52"/>
      <c r="AC809" s="52"/>
      <c r="AD809" s="52"/>
      <c r="AE809" s="52"/>
      <c r="AF809" s="52"/>
      <c r="AG809" s="52"/>
      <c r="AH809" s="52"/>
      <c r="AI809" s="52"/>
      <c r="AJ809" s="52"/>
      <c r="AK809" s="52"/>
      <c r="AL809" s="52"/>
      <c r="AM809" s="52"/>
      <c r="AN809" s="52"/>
      <c r="AO809" s="52"/>
      <c r="AP809" s="52"/>
      <c r="AQ809" s="52"/>
    </row>
    <row r="810" spans="1:43">
      <c r="A810" s="150"/>
      <c r="B810" s="477"/>
      <c r="C810" s="125"/>
      <c r="D810" s="478"/>
      <c r="E810" s="478"/>
      <c r="F810" s="52"/>
      <c r="G810" s="52"/>
      <c r="H810" s="52"/>
      <c r="I810" s="52"/>
      <c r="J810" s="52"/>
      <c r="K810" s="52"/>
      <c r="L810" s="52"/>
      <c r="M810" s="52"/>
      <c r="N810" s="52"/>
      <c r="O810" s="52"/>
      <c r="P810" s="52"/>
      <c r="Q810" s="52"/>
      <c r="R810" s="52"/>
      <c r="S810" s="52"/>
      <c r="T810" s="52"/>
      <c r="U810" s="52"/>
      <c r="V810" s="52"/>
      <c r="W810" s="52"/>
      <c r="X810" s="52"/>
      <c r="Y810" s="52"/>
      <c r="Z810" s="52"/>
      <c r="AA810" s="52"/>
      <c r="AB810" s="52"/>
      <c r="AC810" s="52"/>
      <c r="AD810" s="52"/>
      <c r="AE810" s="52"/>
      <c r="AF810" s="52"/>
      <c r="AG810" s="52"/>
      <c r="AH810" s="52"/>
      <c r="AI810" s="52"/>
      <c r="AJ810" s="52"/>
      <c r="AK810" s="52"/>
      <c r="AL810" s="52"/>
      <c r="AM810" s="52"/>
      <c r="AN810" s="52"/>
      <c r="AO810" s="52"/>
      <c r="AP810" s="52"/>
      <c r="AQ810" s="52"/>
    </row>
    <row r="811" spans="1:43">
      <c r="A811" s="150"/>
      <c r="B811" s="477"/>
      <c r="C811" s="125"/>
      <c r="D811" s="478"/>
      <c r="E811" s="478"/>
      <c r="F811" s="52"/>
      <c r="G811" s="52"/>
      <c r="H811" s="52"/>
      <c r="I811" s="52"/>
      <c r="J811" s="52"/>
      <c r="K811" s="52"/>
      <c r="L811" s="52"/>
      <c r="M811" s="52"/>
      <c r="N811" s="52"/>
      <c r="O811" s="52"/>
      <c r="P811" s="52"/>
      <c r="Q811" s="52"/>
      <c r="R811" s="52"/>
      <c r="S811" s="52"/>
      <c r="T811" s="52"/>
      <c r="U811" s="52"/>
      <c r="V811" s="52"/>
      <c r="W811" s="52"/>
      <c r="X811" s="52"/>
      <c r="Y811" s="52"/>
      <c r="Z811" s="52"/>
      <c r="AA811" s="52"/>
      <c r="AB811" s="52"/>
      <c r="AC811" s="52"/>
      <c r="AD811" s="52"/>
      <c r="AE811" s="52"/>
      <c r="AF811" s="52"/>
      <c r="AG811" s="52"/>
      <c r="AH811" s="52"/>
      <c r="AI811" s="52"/>
      <c r="AJ811" s="52"/>
      <c r="AK811" s="52"/>
      <c r="AL811" s="52"/>
      <c r="AM811" s="52"/>
      <c r="AN811" s="52"/>
      <c r="AO811" s="52"/>
      <c r="AP811" s="52"/>
      <c r="AQ811" s="52"/>
    </row>
    <row r="812" spans="1:43">
      <c r="A812" s="150"/>
      <c r="B812" s="477"/>
      <c r="C812" s="125"/>
      <c r="D812" s="478"/>
      <c r="E812" s="478"/>
      <c r="F812" s="52"/>
      <c r="G812" s="52"/>
      <c r="H812" s="52"/>
      <c r="I812" s="52"/>
      <c r="J812" s="52"/>
      <c r="K812" s="52"/>
      <c r="L812" s="52"/>
      <c r="M812" s="52"/>
      <c r="N812" s="52"/>
      <c r="O812" s="52"/>
      <c r="P812" s="52"/>
      <c r="Q812" s="52"/>
      <c r="R812" s="52"/>
      <c r="S812" s="52"/>
      <c r="T812" s="52"/>
      <c r="U812" s="52"/>
      <c r="V812" s="52"/>
      <c r="W812" s="52"/>
      <c r="X812" s="52"/>
      <c r="Y812" s="52"/>
      <c r="Z812" s="52"/>
      <c r="AA812" s="52"/>
      <c r="AB812" s="52"/>
      <c r="AC812" s="52"/>
      <c r="AD812" s="52"/>
      <c r="AE812" s="52"/>
      <c r="AF812" s="52"/>
      <c r="AG812" s="52"/>
      <c r="AH812" s="52"/>
      <c r="AI812" s="52"/>
      <c r="AJ812" s="52"/>
      <c r="AK812" s="52"/>
      <c r="AL812" s="52"/>
      <c r="AM812" s="52"/>
      <c r="AN812" s="52"/>
      <c r="AO812" s="52"/>
      <c r="AP812" s="52"/>
      <c r="AQ812" s="52"/>
    </row>
    <row r="813" spans="1:43">
      <c r="A813" s="150"/>
      <c r="B813" s="477"/>
      <c r="C813" s="125"/>
      <c r="D813" s="478"/>
      <c r="E813" s="478"/>
      <c r="F813" s="52"/>
      <c r="G813" s="52"/>
      <c r="H813" s="52"/>
      <c r="I813" s="52"/>
      <c r="J813" s="52"/>
      <c r="K813" s="52"/>
      <c r="L813" s="52"/>
      <c r="M813" s="52"/>
      <c r="N813" s="52"/>
      <c r="O813" s="52"/>
      <c r="P813" s="52"/>
      <c r="Q813" s="52"/>
      <c r="R813" s="52"/>
      <c r="S813" s="52"/>
      <c r="T813" s="52"/>
      <c r="U813" s="52"/>
      <c r="V813" s="52"/>
      <c r="W813" s="52"/>
      <c r="X813" s="52"/>
      <c r="Y813" s="52"/>
      <c r="Z813" s="52"/>
      <c r="AA813" s="52"/>
      <c r="AB813" s="52"/>
      <c r="AC813" s="52"/>
      <c r="AD813" s="52"/>
      <c r="AE813" s="52"/>
      <c r="AF813" s="52"/>
      <c r="AG813" s="52"/>
      <c r="AH813" s="52"/>
      <c r="AI813" s="52"/>
      <c r="AJ813" s="52"/>
      <c r="AK813" s="52"/>
      <c r="AL813" s="52"/>
      <c r="AM813" s="52"/>
      <c r="AN813" s="52"/>
      <c r="AO813" s="52"/>
      <c r="AP813" s="52"/>
      <c r="AQ813" s="52"/>
    </row>
    <row r="814" spans="1:43">
      <c r="A814" s="150"/>
      <c r="B814" s="477"/>
      <c r="C814" s="125"/>
      <c r="D814" s="478"/>
      <c r="E814" s="478"/>
      <c r="F814" s="52"/>
      <c r="G814" s="52"/>
      <c r="H814" s="52"/>
      <c r="I814" s="52"/>
      <c r="J814" s="52"/>
      <c r="K814" s="52"/>
      <c r="L814" s="52"/>
      <c r="M814" s="52"/>
      <c r="N814" s="52"/>
      <c r="O814" s="52"/>
      <c r="P814" s="52"/>
      <c r="Q814" s="52"/>
      <c r="R814" s="52"/>
      <c r="S814" s="52"/>
      <c r="T814" s="52"/>
      <c r="U814" s="52"/>
      <c r="V814" s="52"/>
      <c r="W814" s="52"/>
      <c r="X814" s="52"/>
      <c r="Y814" s="52"/>
      <c r="Z814" s="52"/>
      <c r="AA814" s="52"/>
      <c r="AB814" s="52"/>
      <c r="AC814" s="52"/>
      <c r="AD814" s="52"/>
      <c r="AE814" s="52"/>
      <c r="AF814" s="52"/>
      <c r="AG814" s="52"/>
      <c r="AH814" s="52"/>
      <c r="AI814" s="52"/>
      <c r="AJ814" s="52"/>
      <c r="AK814" s="52"/>
      <c r="AL814" s="52"/>
      <c r="AM814" s="52"/>
      <c r="AN814" s="52"/>
      <c r="AO814" s="52"/>
      <c r="AP814" s="52"/>
      <c r="AQ814" s="52"/>
    </row>
    <row r="815" spans="1:43">
      <c r="A815" s="150"/>
      <c r="B815" s="477"/>
      <c r="C815" s="125"/>
      <c r="D815" s="478"/>
      <c r="E815" s="478"/>
      <c r="F815" s="52"/>
      <c r="G815" s="52"/>
      <c r="H815" s="52"/>
      <c r="I815" s="52"/>
      <c r="J815" s="52"/>
      <c r="K815" s="52"/>
      <c r="L815" s="52"/>
      <c r="M815" s="52"/>
      <c r="N815" s="52"/>
      <c r="O815" s="52"/>
      <c r="P815" s="52"/>
      <c r="Q815" s="52"/>
      <c r="R815" s="52"/>
      <c r="S815" s="52"/>
      <c r="T815" s="52"/>
      <c r="U815" s="52"/>
      <c r="V815" s="52"/>
      <c r="W815" s="52"/>
      <c r="X815" s="52"/>
      <c r="Y815" s="52"/>
      <c r="Z815" s="52"/>
      <c r="AA815" s="52"/>
      <c r="AB815" s="52"/>
      <c r="AC815" s="52"/>
      <c r="AD815" s="52"/>
      <c r="AE815" s="52"/>
      <c r="AF815" s="52"/>
      <c r="AG815" s="52"/>
      <c r="AH815" s="52"/>
      <c r="AI815" s="52"/>
      <c r="AJ815" s="52"/>
      <c r="AK815" s="52"/>
      <c r="AL815" s="52"/>
      <c r="AM815" s="52"/>
      <c r="AN815" s="52"/>
      <c r="AO815" s="52"/>
      <c r="AP815" s="52"/>
      <c r="AQ815" s="52"/>
    </row>
    <row r="816" spans="1:43">
      <c r="A816" s="150"/>
      <c r="B816" s="477"/>
      <c r="C816" s="125"/>
      <c r="D816" s="478"/>
      <c r="E816" s="478"/>
      <c r="F816" s="52"/>
      <c r="G816" s="52"/>
      <c r="H816" s="52"/>
      <c r="I816" s="52"/>
      <c r="J816" s="52"/>
      <c r="K816" s="52"/>
      <c r="L816" s="52"/>
      <c r="M816" s="52"/>
      <c r="N816" s="52"/>
      <c r="O816" s="52"/>
      <c r="P816" s="52"/>
      <c r="Q816" s="52"/>
      <c r="R816" s="52"/>
      <c r="S816" s="52"/>
      <c r="T816" s="52"/>
      <c r="U816" s="52"/>
      <c r="V816" s="52"/>
      <c r="W816" s="52"/>
      <c r="X816" s="52"/>
      <c r="Y816" s="52"/>
      <c r="Z816" s="52"/>
      <c r="AA816" s="52"/>
      <c r="AB816" s="52"/>
      <c r="AC816" s="52"/>
      <c r="AD816" s="52"/>
      <c r="AE816" s="52"/>
      <c r="AF816" s="52"/>
      <c r="AG816" s="52"/>
      <c r="AH816" s="52"/>
      <c r="AI816" s="52"/>
      <c r="AJ816" s="52"/>
      <c r="AK816" s="52"/>
      <c r="AL816" s="52"/>
      <c r="AM816" s="52"/>
      <c r="AN816" s="52"/>
      <c r="AO816" s="52"/>
      <c r="AP816" s="52"/>
      <c r="AQ816" s="52"/>
    </row>
    <row r="817" spans="1:43">
      <c r="A817" s="150"/>
      <c r="B817" s="477"/>
      <c r="C817" s="125"/>
      <c r="D817" s="478"/>
      <c r="E817" s="478"/>
      <c r="F817" s="52"/>
      <c r="G817" s="52"/>
      <c r="H817" s="52"/>
      <c r="I817" s="52"/>
      <c r="J817" s="52"/>
      <c r="K817" s="52"/>
      <c r="L817" s="52"/>
      <c r="M817" s="52"/>
      <c r="N817" s="52"/>
      <c r="O817" s="52"/>
      <c r="P817" s="52"/>
      <c r="Q817" s="52"/>
      <c r="R817" s="52"/>
      <c r="S817" s="52"/>
      <c r="T817" s="52"/>
      <c r="U817" s="52"/>
      <c r="V817" s="52"/>
      <c r="W817" s="52"/>
      <c r="X817" s="52"/>
      <c r="Y817" s="52"/>
      <c r="Z817" s="52"/>
      <c r="AA817" s="52"/>
      <c r="AB817" s="52"/>
      <c r="AC817" s="52"/>
      <c r="AD817" s="52"/>
      <c r="AE817" s="52"/>
      <c r="AF817" s="52"/>
      <c r="AG817" s="52"/>
      <c r="AH817" s="52"/>
      <c r="AI817" s="52"/>
      <c r="AJ817" s="52"/>
      <c r="AK817" s="52"/>
      <c r="AL817" s="52"/>
      <c r="AM817" s="52"/>
      <c r="AN817" s="52"/>
      <c r="AO817" s="52"/>
      <c r="AP817" s="52"/>
      <c r="AQ817" s="52"/>
    </row>
    <row r="818" spans="1:43">
      <c r="A818" s="150"/>
      <c r="B818" s="477"/>
      <c r="C818" s="125"/>
      <c r="D818" s="478"/>
      <c r="E818" s="478"/>
      <c r="F818" s="52"/>
      <c r="G818" s="52"/>
      <c r="H818" s="52"/>
      <c r="I818" s="52"/>
      <c r="J818" s="52"/>
      <c r="K818" s="52"/>
      <c r="L818" s="52"/>
      <c r="M818" s="52"/>
      <c r="N818" s="52"/>
      <c r="O818" s="52"/>
      <c r="P818" s="52"/>
      <c r="Q818" s="52"/>
      <c r="R818" s="52"/>
      <c r="S818" s="52"/>
      <c r="T818" s="52"/>
      <c r="U818" s="52"/>
      <c r="V818" s="52"/>
      <c r="W818" s="52"/>
      <c r="X818" s="52"/>
      <c r="Y818" s="52"/>
      <c r="Z818" s="52"/>
      <c r="AA818" s="52"/>
      <c r="AB818" s="52"/>
      <c r="AC818" s="52"/>
      <c r="AD818" s="52"/>
      <c r="AE818" s="52"/>
      <c r="AF818" s="52"/>
      <c r="AG818" s="52"/>
      <c r="AH818" s="52"/>
      <c r="AI818" s="52"/>
      <c r="AJ818" s="52"/>
      <c r="AK818" s="52"/>
      <c r="AL818" s="52"/>
      <c r="AM818" s="52"/>
      <c r="AN818" s="52"/>
      <c r="AO818" s="52"/>
      <c r="AP818" s="52"/>
      <c r="AQ818" s="52"/>
    </row>
    <row r="819" spans="1:43">
      <c r="A819" s="150"/>
      <c r="B819" s="477"/>
      <c r="C819" s="125"/>
      <c r="D819" s="478"/>
      <c r="E819" s="478"/>
      <c r="F819" s="52"/>
      <c r="G819" s="52"/>
      <c r="H819" s="52"/>
      <c r="I819" s="52"/>
      <c r="J819" s="52"/>
      <c r="K819" s="52"/>
      <c r="L819" s="52"/>
      <c r="M819" s="52"/>
      <c r="N819" s="52"/>
      <c r="O819" s="52"/>
      <c r="P819" s="52"/>
      <c r="Q819" s="52"/>
      <c r="R819" s="52"/>
      <c r="S819" s="52"/>
      <c r="T819" s="52"/>
      <c r="U819" s="52"/>
      <c r="V819" s="52"/>
      <c r="W819" s="52"/>
      <c r="X819" s="52"/>
      <c r="Y819" s="52"/>
      <c r="Z819" s="52"/>
      <c r="AA819" s="52"/>
      <c r="AB819" s="52"/>
      <c r="AC819" s="52"/>
      <c r="AD819" s="52"/>
      <c r="AE819" s="52"/>
      <c r="AF819" s="52"/>
      <c r="AG819" s="52"/>
      <c r="AH819" s="52"/>
      <c r="AI819" s="52"/>
      <c r="AJ819" s="52"/>
      <c r="AK819" s="52"/>
      <c r="AL819" s="52"/>
      <c r="AM819" s="52"/>
      <c r="AN819" s="52"/>
      <c r="AO819" s="52"/>
      <c r="AP819" s="52"/>
      <c r="AQ819" s="52"/>
    </row>
    <row r="820" spans="1:43">
      <c r="A820" s="150"/>
      <c r="B820" s="477"/>
      <c r="C820" s="125"/>
      <c r="D820" s="478"/>
      <c r="E820" s="478"/>
      <c r="F820" s="52"/>
      <c r="G820" s="52"/>
      <c r="H820" s="52"/>
      <c r="I820" s="52"/>
      <c r="J820" s="52"/>
      <c r="K820" s="52"/>
      <c r="L820" s="52"/>
      <c r="M820" s="52"/>
      <c r="N820" s="52"/>
      <c r="O820" s="52"/>
      <c r="P820" s="52"/>
      <c r="Q820" s="52"/>
      <c r="R820" s="52"/>
      <c r="S820" s="52"/>
      <c r="T820" s="52"/>
      <c r="U820" s="52"/>
      <c r="V820" s="52"/>
      <c r="W820" s="52"/>
      <c r="X820" s="52"/>
      <c r="Y820" s="52"/>
      <c r="Z820" s="52"/>
      <c r="AA820" s="52"/>
      <c r="AB820" s="52"/>
      <c r="AC820" s="52"/>
      <c r="AD820" s="52"/>
      <c r="AE820" s="52"/>
      <c r="AF820" s="52"/>
      <c r="AG820" s="52"/>
      <c r="AH820" s="52"/>
      <c r="AI820" s="52"/>
      <c r="AJ820" s="52"/>
      <c r="AK820" s="52"/>
      <c r="AL820" s="52"/>
      <c r="AM820" s="52"/>
      <c r="AN820" s="52"/>
      <c r="AO820" s="52"/>
      <c r="AP820" s="52"/>
      <c r="AQ820" s="52"/>
    </row>
    <row r="821" spans="1:43">
      <c r="A821" s="150"/>
      <c r="B821" s="477"/>
      <c r="C821" s="125"/>
      <c r="D821" s="478"/>
      <c r="E821" s="478"/>
      <c r="F821" s="52"/>
      <c r="G821" s="52"/>
      <c r="H821" s="52"/>
      <c r="I821" s="52"/>
      <c r="J821" s="52"/>
      <c r="K821" s="52"/>
      <c r="L821" s="52"/>
      <c r="M821" s="52"/>
      <c r="N821" s="52"/>
      <c r="O821" s="52"/>
      <c r="P821" s="52"/>
      <c r="Q821" s="52"/>
      <c r="R821" s="52"/>
      <c r="S821" s="52"/>
      <c r="T821" s="52"/>
      <c r="U821" s="52"/>
      <c r="V821" s="52"/>
      <c r="W821" s="52"/>
      <c r="X821" s="52"/>
      <c r="Y821" s="52"/>
      <c r="Z821" s="52"/>
      <c r="AA821" s="52"/>
      <c r="AB821" s="52"/>
      <c r="AC821" s="52"/>
      <c r="AD821" s="52"/>
      <c r="AE821" s="52"/>
      <c r="AF821" s="52"/>
      <c r="AG821" s="52"/>
      <c r="AH821" s="52"/>
      <c r="AI821" s="52"/>
      <c r="AJ821" s="52"/>
      <c r="AK821" s="52"/>
      <c r="AL821" s="52"/>
      <c r="AM821" s="52"/>
      <c r="AN821" s="52"/>
      <c r="AO821" s="52"/>
      <c r="AP821" s="52"/>
      <c r="AQ821" s="52"/>
    </row>
    <row r="822" spans="1:43">
      <c r="A822" s="150"/>
      <c r="B822" s="477"/>
      <c r="C822" s="125"/>
      <c r="D822" s="478"/>
      <c r="E822" s="478"/>
      <c r="F822" s="52"/>
      <c r="G822" s="52"/>
      <c r="H822" s="52"/>
      <c r="I822" s="52"/>
      <c r="J822" s="52"/>
      <c r="K822" s="52"/>
      <c r="L822" s="52"/>
      <c r="M822" s="52"/>
      <c r="N822" s="52"/>
      <c r="O822" s="52"/>
      <c r="P822" s="52"/>
      <c r="Q822" s="52"/>
      <c r="R822" s="52"/>
      <c r="S822" s="52"/>
      <c r="T822" s="52"/>
      <c r="U822" s="52"/>
      <c r="V822" s="52"/>
      <c r="W822" s="52"/>
      <c r="X822" s="52"/>
      <c r="Y822" s="52"/>
      <c r="Z822" s="52"/>
      <c r="AA822" s="52"/>
      <c r="AB822" s="52"/>
      <c r="AC822" s="52"/>
      <c r="AD822" s="52"/>
      <c r="AE822" s="52"/>
      <c r="AF822" s="52"/>
      <c r="AG822" s="52"/>
      <c r="AH822" s="52"/>
      <c r="AI822" s="52"/>
      <c r="AJ822" s="52"/>
      <c r="AK822" s="52"/>
      <c r="AL822" s="52"/>
      <c r="AM822" s="52"/>
      <c r="AN822" s="52"/>
      <c r="AO822" s="52"/>
      <c r="AP822" s="52"/>
      <c r="AQ822" s="52"/>
    </row>
    <row r="823" spans="1:43">
      <c r="A823" s="150"/>
      <c r="B823" s="477"/>
      <c r="C823" s="125"/>
      <c r="D823" s="478"/>
      <c r="E823" s="478"/>
      <c r="F823" s="52"/>
      <c r="G823" s="52"/>
      <c r="H823" s="52"/>
      <c r="I823" s="52"/>
      <c r="J823" s="52"/>
      <c r="K823" s="52"/>
      <c r="L823" s="52"/>
      <c r="M823" s="52"/>
      <c r="N823" s="52"/>
      <c r="O823" s="52"/>
      <c r="P823" s="52"/>
      <c r="Q823" s="52"/>
      <c r="R823" s="52"/>
      <c r="S823" s="52"/>
      <c r="T823" s="52"/>
      <c r="U823" s="52"/>
      <c r="V823" s="52"/>
      <c r="W823" s="52"/>
      <c r="X823" s="52"/>
      <c r="Y823" s="52"/>
      <c r="Z823" s="52"/>
      <c r="AA823" s="52"/>
      <c r="AB823" s="52"/>
      <c r="AC823" s="52"/>
      <c r="AD823" s="52"/>
      <c r="AE823" s="52"/>
      <c r="AF823" s="52"/>
      <c r="AG823" s="52"/>
      <c r="AH823" s="52"/>
      <c r="AI823" s="52"/>
      <c r="AJ823" s="52"/>
      <c r="AK823" s="52"/>
      <c r="AL823" s="52"/>
      <c r="AM823" s="52"/>
      <c r="AN823" s="52"/>
      <c r="AO823" s="52"/>
      <c r="AP823" s="52"/>
      <c r="AQ823" s="52"/>
    </row>
    <row r="824" spans="1:43">
      <c r="A824" s="150"/>
      <c r="B824" s="477"/>
      <c r="C824" s="125"/>
      <c r="D824" s="478"/>
      <c r="E824" s="478"/>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row>
    <row r="825" spans="1:43">
      <c r="A825" s="150"/>
      <c r="B825" s="477"/>
      <c r="C825" s="125"/>
      <c r="D825" s="478"/>
      <c r="E825" s="478"/>
      <c r="F825" s="52"/>
      <c r="G825" s="52"/>
      <c r="H825" s="52"/>
      <c r="I825" s="52"/>
      <c r="J825" s="52"/>
      <c r="K825" s="52"/>
      <c r="L825" s="52"/>
      <c r="M825" s="52"/>
      <c r="N825" s="52"/>
      <c r="O825" s="52"/>
      <c r="P825" s="52"/>
      <c r="Q825" s="52"/>
      <c r="R825" s="52"/>
      <c r="S825" s="52"/>
      <c r="T825" s="52"/>
      <c r="U825" s="52"/>
      <c r="V825" s="52"/>
      <c r="W825" s="52"/>
      <c r="X825" s="52"/>
      <c r="Y825" s="52"/>
      <c r="Z825" s="52"/>
      <c r="AA825" s="52"/>
      <c r="AB825" s="52"/>
      <c r="AC825" s="52"/>
      <c r="AD825" s="52"/>
      <c r="AE825" s="52"/>
      <c r="AF825" s="52"/>
      <c r="AG825" s="52"/>
      <c r="AH825" s="52"/>
      <c r="AI825" s="52"/>
      <c r="AJ825" s="52"/>
      <c r="AK825" s="52"/>
      <c r="AL825" s="52"/>
      <c r="AM825" s="52"/>
      <c r="AN825" s="52"/>
      <c r="AO825" s="52"/>
      <c r="AP825" s="52"/>
      <c r="AQ825" s="52"/>
    </row>
    <row r="826" spans="1:43">
      <c r="A826" s="150"/>
      <c r="B826" s="477"/>
      <c r="C826" s="125"/>
      <c r="D826" s="478"/>
      <c r="E826" s="478"/>
      <c r="F826" s="52"/>
      <c r="G826" s="52"/>
      <c r="H826" s="52"/>
      <c r="I826" s="52"/>
      <c r="J826" s="52"/>
      <c r="K826" s="52"/>
      <c r="L826" s="52"/>
      <c r="M826" s="52"/>
      <c r="N826" s="52"/>
      <c r="O826" s="52"/>
      <c r="P826" s="52"/>
      <c r="Q826" s="52"/>
      <c r="R826" s="52"/>
      <c r="S826" s="52"/>
      <c r="T826" s="52"/>
      <c r="U826" s="52"/>
      <c r="V826" s="52"/>
      <c r="W826" s="52"/>
      <c r="X826" s="52"/>
      <c r="Y826" s="52"/>
      <c r="Z826" s="52"/>
      <c r="AA826" s="52"/>
      <c r="AB826" s="52"/>
      <c r="AC826" s="52"/>
      <c r="AD826" s="52"/>
      <c r="AE826" s="52"/>
      <c r="AF826" s="52"/>
      <c r="AG826" s="52"/>
      <c r="AH826" s="52"/>
      <c r="AI826" s="52"/>
      <c r="AJ826" s="52"/>
      <c r="AK826" s="52"/>
      <c r="AL826" s="52"/>
      <c r="AM826" s="52"/>
      <c r="AN826" s="52"/>
      <c r="AO826" s="52"/>
      <c r="AP826" s="52"/>
      <c r="AQ826" s="52"/>
    </row>
    <row r="827" spans="1:43">
      <c r="A827" s="150"/>
      <c r="B827" s="477"/>
      <c r="C827" s="125"/>
      <c r="D827" s="478"/>
      <c r="E827" s="478"/>
      <c r="F827" s="52"/>
      <c r="G827" s="52"/>
      <c r="H827" s="52"/>
      <c r="I827" s="52"/>
      <c r="J827" s="52"/>
      <c r="K827" s="52"/>
      <c r="L827" s="52"/>
      <c r="M827" s="52"/>
      <c r="N827" s="52"/>
      <c r="O827" s="52"/>
      <c r="P827" s="52"/>
      <c r="Q827" s="52"/>
      <c r="R827" s="52"/>
      <c r="S827" s="52"/>
      <c r="T827" s="52"/>
      <c r="U827" s="52"/>
      <c r="V827" s="52"/>
      <c r="W827" s="52"/>
      <c r="X827" s="52"/>
      <c r="Y827" s="52"/>
      <c r="Z827" s="52"/>
      <c r="AA827" s="52"/>
      <c r="AB827" s="52"/>
      <c r="AC827" s="52"/>
      <c r="AD827" s="52"/>
      <c r="AE827" s="52"/>
      <c r="AF827" s="52"/>
      <c r="AG827" s="52"/>
      <c r="AH827" s="52"/>
      <c r="AI827" s="52"/>
      <c r="AJ827" s="52"/>
      <c r="AK827" s="52"/>
      <c r="AL827" s="52"/>
      <c r="AM827" s="52"/>
      <c r="AN827" s="52"/>
      <c r="AO827" s="52"/>
      <c r="AP827" s="52"/>
      <c r="AQ827" s="52"/>
    </row>
    <row r="828" spans="1:43">
      <c r="A828" s="150"/>
      <c r="B828" s="477"/>
      <c r="C828" s="125"/>
      <c r="D828" s="478"/>
      <c r="E828" s="478"/>
      <c r="F828" s="52"/>
      <c r="G828" s="52"/>
      <c r="H828" s="52"/>
      <c r="I828" s="52"/>
      <c r="J828" s="52"/>
      <c r="K828" s="52"/>
      <c r="L828" s="52"/>
      <c r="M828" s="52"/>
      <c r="N828" s="52"/>
      <c r="O828" s="52"/>
      <c r="P828" s="52"/>
      <c r="Q828" s="52"/>
      <c r="R828" s="52"/>
      <c r="S828" s="52"/>
      <c r="T828" s="52"/>
      <c r="U828" s="52"/>
      <c r="V828" s="52"/>
      <c r="W828" s="52"/>
      <c r="X828" s="52"/>
      <c r="Y828" s="52"/>
      <c r="Z828" s="52"/>
      <c r="AA828" s="52"/>
      <c r="AB828" s="52"/>
      <c r="AC828" s="52"/>
      <c r="AD828" s="52"/>
      <c r="AE828" s="52"/>
      <c r="AF828" s="52"/>
      <c r="AG828" s="52"/>
      <c r="AH828" s="52"/>
      <c r="AI828" s="52"/>
      <c r="AJ828" s="52"/>
      <c r="AK828" s="52"/>
      <c r="AL828" s="52"/>
      <c r="AM828" s="52"/>
      <c r="AN828" s="52"/>
      <c r="AO828" s="52"/>
      <c r="AP828" s="52"/>
      <c r="AQ828" s="52"/>
    </row>
    <row r="829" spans="1:43">
      <c r="A829" s="150"/>
      <c r="B829" s="477"/>
      <c r="C829" s="125"/>
      <c r="D829" s="478"/>
      <c r="E829" s="478"/>
      <c r="F829" s="52"/>
      <c r="G829" s="52"/>
      <c r="H829" s="52"/>
      <c r="I829" s="52"/>
      <c r="J829" s="52"/>
      <c r="K829" s="52"/>
      <c r="L829" s="52"/>
      <c r="M829" s="52"/>
      <c r="N829" s="52"/>
      <c r="O829" s="52"/>
      <c r="P829" s="52"/>
      <c r="Q829" s="52"/>
      <c r="R829" s="52"/>
      <c r="S829" s="52"/>
      <c r="T829" s="52"/>
      <c r="U829" s="52"/>
      <c r="V829" s="52"/>
      <c r="W829" s="52"/>
      <c r="X829" s="52"/>
      <c r="Y829" s="52"/>
      <c r="Z829" s="52"/>
      <c r="AA829" s="52"/>
      <c r="AB829" s="52"/>
      <c r="AC829" s="52"/>
      <c r="AD829" s="52"/>
      <c r="AE829" s="52"/>
      <c r="AF829" s="52"/>
      <c r="AG829" s="52"/>
      <c r="AH829" s="52"/>
      <c r="AI829" s="52"/>
      <c r="AJ829" s="52"/>
      <c r="AK829" s="52"/>
      <c r="AL829" s="52"/>
      <c r="AM829" s="52"/>
      <c r="AN829" s="52"/>
      <c r="AO829" s="52"/>
      <c r="AP829" s="52"/>
      <c r="AQ829" s="52"/>
    </row>
    <row r="830" spans="1:43">
      <c r="A830" s="150"/>
      <c r="B830" s="477"/>
      <c r="C830" s="125"/>
      <c r="D830" s="478"/>
      <c r="E830" s="478"/>
      <c r="F830" s="52"/>
      <c r="G830" s="52"/>
      <c r="H830" s="52"/>
      <c r="I830" s="52"/>
      <c r="J830" s="52"/>
      <c r="K830" s="52"/>
      <c r="L830" s="52"/>
      <c r="M830" s="52"/>
      <c r="N830" s="52"/>
      <c r="O830" s="52"/>
      <c r="P830" s="52"/>
      <c r="Q830" s="52"/>
      <c r="R830" s="52"/>
      <c r="S830" s="52"/>
      <c r="T830" s="52"/>
      <c r="U830" s="52"/>
      <c r="V830" s="52"/>
      <c r="W830" s="52"/>
      <c r="X830" s="52"/>
      <c r="Y830" s="52"/>
      <c r="Z830" s="52"/>
      <c r="AA830" s="52"/>
      <c r="AB830" s="52"/>
      <c r="AC830" s="52"/>
      <c r="AD830" s="52"/>
      <c r="AE830" s="52"/>
      <c r="AF830" s="52"/>
      <c r="AG830" s="52"/>
      <c r="AH830" s="52"/>
      <c r="AI830" s="52"/>
      <c r="AJ830" s="52"/>
      <c r="AK830" s="52"/>
      <c r="AL830" s="52"/>
      <c r="AM830" s="52"/>
      <c r="AN830" s="52"/>
      <c r="AO830" s="52"/>
      <c r="AP830" s="52"/>
      <c r="AQ830" s="52"/>
    </row>
    <row r="831" spans="1:43">
      <c r="A831" s="150"/>
      <c r="B831" s="477"/>
      <c r="C831" s="125"/>
      <c r="D831" s="478"/>
      <c r="E831" s="478"/>
      <c r="F831" s="52"/>
      <c r="G831" s="52"/>
      <c r="H831" s="52"/>
      <c r="I831" s="52"/>
      <c r="J831" s="52"/>
      <c r="K831" s="52"/>
      <c r="L831" s="52"/>
      <c r="M831" s="52"/>
      <c r="N831" s="52"/>
      <c r="O831" s="52"/>
      <c r="P831" s="52"/>
      <c r="Q831" s="52"/>
      <c r="R831" s="52"/>
      <c r="S831" s="52"/>
      <c r="T831" s="52"/>
      <c r="U831" s="52"/>
      <c r="V831" s="52"/>
      <c r="W831" s="52"/>
      <c r="X831" s="52"/>
      <c r="Y831" s="52"/>
      <c r="Z831" s="52"/>
      <c r="AA831" s="52"/>
      <c r="AB831" s="52"/>
      <c r="AC831" s="52"/>
      <c r="AD831" s="52"/>
      <c r="AE831" s="52"/>
      <c r="AF831" s="52"/>
      <c r="AG831" s="52"/>
      <c r="AH831" s="52"/>
      <c r="AI831" s="52"/>
      <c r="AJ831" s="52"/>
      <c r="AK831" s="52"/>
      <c r="AL831" s="52"/>
      <c r="AM831" s="52"/>
      <c r="AN831" s="52"/>
      <c r="AO831" s="52"/>
      <c r="AP831" s="52"/>
      <c r="AQ831" s="52"/>
    </row>
    <row r="832" spans="1:43">
      <c r="A832" s="150"/>
      <c r="B832" s="477"/>
      <c r="C832" s="125"/>
      <c r="D832" s="478"/>
      <c r="E832" s="478"/>
      <c r="F832" s="52"/>
      <c r="G832" s="52"/>
      <c r="H832" s="52"/>
      <c r="I832" s="52"/>
      <c r="J832" s="52"/>
      <c r="K832" s="52"/>
      <c r="L832" s="52"/>
      <c r="M832" s="52"/>
      <c r="N832" s="52"/>
      <c r="O832" s="52"/>
      <c r="P832" s="52"/>
      <c r="Q832" s="52"/>
      <c r="R832" s="52"/>
      <c r="S832" s="52"/>
      <c r="T832" s="52"/>
      <c r="U832" s="52"/>
      <c r="V832" s="52"/>
      <c r="W832" s="52"/>
      <c r="X832" s="52"/>
      <c r="Y832" s="52"/>
      <c r="Z832" s="52"/>
      <c r="AA832" s="52"/>
      <c r="AB832" s="52"/>
      <c r="AC832" s="52"/>
      <c r="AD832" s="52"/>
      <c r="AE832" s="52"/>
      <c r="AF832" s="52"/>
      <c r="AG832" s="52"/>
      <c r="AH832" s="52"/>
      <c r="AI832" s="52"/>
      <c r="AJ832" s="52"/>
      <c r="AK832" s="52"/>
      <c r="AL832" s="52"/>
      <c r="AM832" s="52"/>
      <c r="AN832" s="52"/>
      <c r="AO832" s="52"/>
      <c r="AP832" s="52"/>
      <c r="AQ832" s="52"/>
    </row>
    <row r="833" spans="1:43">
      <c r="A833" s="150"/>
      <c r="B833" s="477"/>
      <c r="C833" s="125"/>
      <c r="D833" s="478"/>
      <c r="E833" s="478"/>
      <c r="F833" s="52"/>
      <c r="G833" s="52"/>
      <c r="H833" s="52"/>
      <c r="I833" s="52"/>
      <c r="J833" s="52"/>
      <c r="K833" s="52"/>
      <c r="L833" s="52"/>
      <c r="M833" s="52"/>
      <c r="N833" s="52"/>
      <c r="O833" s="52"/>
      <c r="P833" s="52"/>
      <c r="Q833" s="52"/>
      <c r="R833" s="52"/>
      <c r="S833" s="52"/>
      <c r="T833" s="52"/>
      <c r="U833" s="52"/>
      <c r="V833" s="52"/>
      <c r="W833" s="52"/>
      <c r="X833" s="52"/>
      <c r="Y833" s="52"/>
      <c r="Z833" s="52"/>
      <c r="AA833" s="52"/>
      <c r="AB833" s="52"/>
      <c r="AC833" s="52"/>
      <c r="AD833" s="52"/>
      <c r="AE833" s="52"/>
      <c r="AF833" s="52"/>
      <c r="AG833" s="52"/>
      <c r="AH833" s="52"/>
      <c r="AI833" s="52"/>
      <c r="AJ833" s="52"/>
      <c r="AK833" s="52"/>
      <c r="AL833" s="52"/>
      <c r="AM833" s="52"/>
      <c r="AN833" s="52"/>
      <c r="AO833" s="52"/>
      <c r="AP833" s="52"/>
      <c r="AQ833" s="52"/>
    </row>
    <row r="834" spans="1:43">
      <c r="A834" s="150"/>
      <c r="B834" s="477"/>
      <c r="C834" s="125"/>
      <c r="D834" s="478"/>
      <c r="E834" s="478"/>
      <c r="F834" s="52"/>
      <c r="G834" s="52"/>
      <c r="H834" s="52"/>
      <c r="I834" s="52"/>
      <c r="J834" s="52"/>
      <c r="K834" s="52"/>
      <c r="L834" s="52"/>
      <c r="M834" s="52"/>
      <c r="N834" s="52"/>
      <c r="O834" s="52"/>
      <c r="P834" s="52"/>
      <c r="Q834" s="52"/>
      <c r="R834" s="52"/>
      <c r="S834" s="52"/>
      <c r="T834" s="52"/>
      <c r="U834" s="52"/>
      <c r="V834" s="52"/>
      <c r="W834" s="52"/>
      <c r="X834" s="52"/>
      <c r="Y834" s="52"/>
      <c r="Z834" s="52"/>
      <c r="AA834" s="52"/>
      <c r="AB834" s="52"/>
      <c r="AC834" s="52"/>
      <c r="AD834" s="52"/>
      <c r="AE834" s="52"/>
      <c r="AF834" s="52"/>
      <c r="AG834" s="52"/>
      <c r="AH834" s="52"/>
      <c r="AI834" s="52"/>
      <c r="AJ834" s="52"/>
      <c r="AK834" s="52"/>
      <c r="AL834" s="52"/>
      <c r="AM834" s="52"/>
      <c r="AN834" s="52"/>
      <c r="AO834" s="52"/>
      <c r="AP834" s="52"/>
      <c r="AQ834" s="52"/>
    </row>
    <row r="835" spans="1:43">
      <c r="A835" s="150"/>
      <c r="B835" s="477"/>
      <c r="C835" s="125"/>
      <c r="D835" s="478"/>
      <c r="E835" s="478"/>
      <c r="F835" s="52"/>
      <c r="G835" s="52"/>
      <c r="H835" s="52"/>
      <c r="I835" s="52"/>
      <c r="J835" s="52"/>
      <c r="K835" s="52"/>
      <c r="L835" s="52"/>
      <c r="M835" s="52"/>
      <c r="N835" s="52"/>
      <c r="O835" s="52"/>
      <c r="P835" s="52"/>
      <c r="Q835" s="52"/>
      <c r="R835" s="52"/>
      <c r="S835" s="52"/>
      <c r="T835" s="52"/>
      <c r="U835" s="52"/>
      <c r="V835" s="52"/>
      <c r="W835" s="52"/>
      <c r="X835" s="52"/>
      <c r="Y835" s="52"/>
      <c r="Z835" s="52"/>
      <c r="AA835" s="52"/>
      <c r="AB835" s="52"/>
      <c r="AC835" s="52"/>
      <c r="AD835" s="52"/>
      <c r="AE835" s="52"/>
      <c r="AF835" s="52"/>
      <c r="AG835" s="52"/>
      <c r="AH835" s="52"/>
      <c r="AI835" s="52"/>
      <c r="AJ835" s="52"/>
      <c r="AK835" s="52"/>
      <c r="AL835" s="52"/>
      <c r="AM835" s="52"/>
      <c r="AN835" s="52"/>
      <c r="AO835" s="52"/>
      <c r="AP835" s="52"/>
      <c r="AQ835" s="52"/>
    </row>
    <row r="836" spans="1:43">
      <c r="A836" s="150"/>
      <c r="B836" s="477"/>
      <c r="C836" s="125"/>
      <c r="D836" s="478"/>
      <c r="E836" s="478"/>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row>
    <row r="837" spans="1:43">
      <c r="A837" s="150"/>
      <c r="B837" s="477"/>
      <c r="C837" s="125"/>
      <c r="D837" s="478"/>
      <c r="E837" s="478"/>
      <c r="F837" s="52"/>
      <c r="G837" s="52"/>
      <c r="H837" s="52"/>
      <c r="I837" s="52"/>
      <c r="J837" s="52"/>
      <c r="K837" s="52"/>
      <c r="L837" s="52"/>
      <c r="M837" s="52"/>
      <c r="N837" s="52"/>
      <c r="O837" s="52"/>
      <c r="P837" s="52"/>
      <c r="Q837" s="52"/>
      <c r="R837" s="52"/>
      <c r="S837" s="52"/>
      <c r="T837" s="52"/>
      <c r="U837" s="52"/>
      <c r="V837" s="52"/>
      <c r="W837" s="52"/>
      <c r="X837" s="52"/>
      <c r="Y837" s="52"/>
      <c r="Z837" s="52"/>
      <c r="AA837" s="52"/>
      <c r="AB837" s="52"/>
      <c r="AC837" s="52"/>
      <c r="AD837" s="52"/>
      <c r="AE837" s="52"/>
      <c r="AF837" s="52"/>
      <c r="AG837" s="52"/>
      <c r="AH837" s="52"/>
      <c r="AI837" s="52"/>
      <c r="AJ837" s="52"/>
      <c r="AK837" s="52"/>
      <c r="AL837" s="52"/>
      <c r="AM837" s="52"/>
      <c r="AN837" s="52"/>
      <c r="AO837" s="52"/>
      <c r="AP837" s="52"/>
      <c r="AQ837" s="52"/>
    </row>
    <row r="838" spans="1:43">
      <c r="A838" s="150"/>
      <c r="B838" s="477"/>
      <c r="C838" s="125"/>
      <c r="D838" s="478"/>
      <c r="E838" s="478"/>
      <c r="F838" s="52"/>
      <c r="G838" s="52"/>
      <c r="H838" s="52"/>
      <c r="I838" s="52"/>
      <c r="J838" s="52"/>
      <c r="K838" s="52"/>
      <c r="L838" s="52"/>
      <c r="M838" s="52"/>
      <c r="N838" s="52"/>
      <c r="O838" s="52"/>
      <c r="P838" s="52"/>
      <c r="Q838" s="52"/>
      <c r="R838" s="52"/>
      <c r="S838" s="52"/>
      <c r="T838" s="52"/>
      <c r="U838" s="52"/>
      <c r="V838" s="52"/>
      <c r="W838" s="52"/>
      <c r="X838" s="52"/>
      <c r="Y838" s="52"/>
      <c r="Z838" s="52"/>
      <c r="AA838" s="52"/>
      <c r="AB838" s="52"/>
      <c r="AC838" s="52"/>
      <c r="AD838" s="52"/>
      <c r="AE838" s="52"/>
      <c r="AF838" s="52"/>
      <c r="AG838" s="52"/>
      <c r="AH838" s="52"/>
      <c r="AI838" s="52"/>
      <c r="AJ838" s="52"/>
      <c r="AK838" s="52"/>
      <c r="AL838" s="52"/>
      <c r="AM838" s="52"/>
      <c r="AN838" s="52"/>
      <c r="AO838" s="52"/>
      <c r="AP838" s="52"/>
      <c r="AQ838" s="52"/>
    </row>
    <row r="839" spans="1:43">
      <c r="A839" s="150"/>
      <c r="B839" s="477"/>
      <c r="C839" s="125"/>
      <c r="D839" s="478"/>
      <c r="E839" s="478"/>
      <c r="F839" s="52"/>
      <c r="G839" s="52"/>
      <c r="H839" s="52"/>
      <c r="I839" s="52"/>
      <c r="J839" s="52"/>
      <c r="K839" s="52"/>
      <c r="L839" s="52"/>
      <c r="M839" s="52"/>
      <c r="N839" s="52"/>
      <c r="O839" s="52"/>
      <c r="P839" s="52"/>
      <c r="Q839" s="52"/>
      <c r="R839" s="52"/>
      <c r="S839" s="52"/>
      <c r="T839" s="52"/>
      <c r="U839" s="52"/>
      <c r="V839" s="52"/>
      <c r="W839" s="52"/>
      <c r="X839" s="52"/>
      <c r="Y839" s="52"/>
      <c r="Z839" s="52"/>
      <c r="AA839" s="52"/>
      <c r="AB839" s="52"/>
      <c r="AC839" s="52"/>
      <c r="AD839" s="52"/>
      <c r="AE839" s="52"/>
      <c r="AF839" s="52"/>
      <c r="AG839" s="52"/>
      <c r="AH839" s="52"/>
      <c r="AI839" s="52"/>
      <c r="AJ839" s="52"/>
      <c r="AK839" s="52"/>
      <c r="AL839" s="52"/>
      <c r="AM839" s="52"/>
      <c r="AN839" s="52"/>
      <c r="AO839" s="52"/>
      <c r="AP839" s="52"/>
      <c r="AQ839" s="52"/>
    </row>
    <row r="840" spans="1:43">
      <c r="A840" s="150"/>
      <c r="B840" s="477"/>
      <c r="C840" s="125"/>
      <c r="D840" s="478"/>
      <c r="E840" s="478"/>
      <c r="F840" s="52"/>
      <c r="G840" s="52"/>
      <c r="H840" s="52"/>
      <c r="I840" s="52"/>
      <c r="J840" s="52"/>
      <c r="K840" s="52"/>
      <c r="L840" s="52"/>
      <c r="M840" s="52"/>
      <c r="N840" s="52"/>
      <c r="O840" s="52"/>
      <c r="P840" s="52"/>
      <c r="Q840" s="52"/>
      <c r="R840" s="52"/>
      <c r="S840" s="52"/>
      <c r="T840" s="52"/>
      <c r="U840" s="52"/>
      <c r="V840" s="52"/>
      <c r="W840" s="52"/>
      <c r="X840" s="52"/>
      <c r="Y840" s="52"/>
      <c r="Z840" s="52"/>
      <c r="AA840" s="52"/>
      <c r="AB840" s="52"/>
      <c r="AC840" s="52"/>
      <c r="AD840" s="52"/>
      <c r="AE840" s="52"/>
      <c r="AF840" s="52"/>
      <c r="AG840" s="52"/>
      <c r="AH840" s="52"/>
      <c r="AI840" s="52"/>
      <c r="AJ840" s="52"/>
      <c r="AK840" s="52"/>
      <c r="AL840" s="52"/>
      <c r="AM840" s="52"/>
      <c r="AN840" s="52"/>
      <c r="AO840" s="52"/>
      <c r="AP840" s="52"/>
      <c r="AQ840" s="52"/>
    </row>
    <row r="841" spans="1:43">
      <c r="A841" s="150"/>
      <c r="B841" s="477"/>
      <c r="C841" s="125"/>
      <c r="D841" s="478"/>
      <c r="E841" s="478"/>
      <c r="F841" s="52"/>
      <c r="G841" s="52"/>
      <c r="H841" s="52"/>
      <c r="I841" s="52"/>
      <c r="J841" s="52"/>
      <c r="K841" s="52"/>
      <c r="L841" s="52"/>
      <c r="M841" s="52"/>
      <c r="N841" s="52"/>
      <c r="O841" s="52"/>
      <c r="P841" s="52"/>
      <c r="Q841" s="52"/>
      <c r="R841" s="52"/>
      <c r="S841" s="52"/>
      <c r="T841" s="52"/>
      <c r="U841" s="52"/>
      <c r="V841" s="52"/>
      <c r="W841" s="52"/>
      <c r="X841" s="52"/>
      <c r="Y841" s="52"/>
      <c r="Z841" s="52"/>
      <c r="AA841" s="52"/>
      <c r="AB841" s="52"/>
      <c r="AC841" s="52"/>
      <c r="AD841" s="52"/>
      <c r="AE841" s="52"/>
      <c r="AF841" s="52"/>
      <c r="AG841" s="52"/>
      <c r="AH841" s="52"/>
      <c r="AI841" s="52"/>
      <c r="AJ841" s="52"/>
      <c r="AK841" s="52"/>
      <c r="AL841" s="52"/>
      <c r="AM841" s="52"/>
      <c r="AN841" s="52"/>
      <c r="AO841" s="52"/>
      <c r="AP841" s="52"/>
      <c r="AQ841" s="52"/>
    </row>
    <row r="842" spans="1:43">
      <c r="A842" s="150"/>
      <c r="B842" s="477"/>
      <c r="C842" s="125"/>
      <c r="D842" s="478"/>
      <c r="E842" s="478"/>
      <c r="F842" s="52"/>
      <c r="G842" s="52"/>
      <c r="H842" s="52"/>
      <c r="I842" s="52"/>
      <c r="J842" s="52"/>
      <c r="K842" s="52"/>
      <c r="L842" s="52"/>
      <c r="M842" s="52"/>
      <c r="N842" s="52"/>
      <c r="O842" s="52"/>
      <c r="P842" s="52"/>
      <c r="Q842" s="52"/>
      <c r="R842" s="52"/>
      <c r="S842" s="52"/>
      <c r="T842" s="52"/>
      <c r="U842" s="52"/>
      <c r="V842" s="52"/>
      <c r="W842" s="52"/>
      <c r="X842" s="52"/>
      <c r="Y842" s="52"/>
      <c r="Z842" s="52"/>
      <c r="AA842" s="52"/>
      <c r="AB842" s="52"/>
      <c r="AC842" s="52"/>
      <c r="AD842" s="52"/>
      <c r="AE842" s="52"/>
      <c r="AF842" s="52"/>
      <c r="AG842" s="52"/>
      <c r="AH842" s="52"/>
      <c r="AI842" s="52"/>
      <c r="AJ842" s="52"/>
      <c r="AK842" s="52"/>
      <c r="AL842" s="52"/>
      <c r="AM842" s="52"/>
      <c r="AN842" s="52"/>
      <c r="AO842" s="52"/>
      <c r="AP842" s="52"/>
      <c r="AQ842" s="52"/>
    </row>
    <row r="843" spans="1:43">
      <c r="A843" s="150"/>
      <c r="B843" s="477"/>
      <c r="C843" s="125"/>
      <c r="D843" s="478"/>
      <c r="E843" s="478"/>
      <c r="F843" s="52"/>
      <c r="G843" s="52"/>
      <c r="H843" s="52"/>
      <c r="I843" s="52"/>
      <c r="J843" s="52"/>
      <c r="K843" s="52"/>
      <c r="L843" s="52"/>
      <c r="M843" s="52"/>
      <c r="N843" s="52"/>
      <c r="O843" s="52"/>
      <c r="P843" s="52"/>
      <c r="Q843" s="52"/>
      <c r="R843" s="52"/>
      <c r="S843" s="52"/>
      <c r="T843" s="52"/>
      <c r="U843" s="52"/>
      <c r="V843" s="52"/>
      <c r="W843" s="52"/>
      <c r="X843" s="52"/>
      <c r="Y843" s="52"/>
      <c r="Z843" s="52"/>
      <c r="AA843" s="52"/>
      <c r="AB843" s="52"/>
      <c r="AC843" s="52"/>
      <c r="AD843" s="52"/>
      <c r="AE843" s="52"/>
      <c r="AF843" s="52"/>
      <c r="AG843" s="52"/>
      <c r="AH843" s="52"/>
      <c r="AI843" s="52"/>
      <c r="AJ843" s="52"/>
      <c r="AK843" s="52"/>
      <c r="AL843" s="52"/>
      <c r="AM843" s="52"/>
      <c r="AN843" s="52"/>
      <c r="AO843" s="52"/>
      <c r="AP843" s="52"/>
      <c r="AQ843" s="52"/>
    </row>
    <row r="844" spans="1:43">
      <c r="A844" s="150"/>
      <c r="B844" s="477"/>
      <c r="C844" s="125"/>
      <c r="D844" s="478"/>
      <c r="E844" s="478"/>
      <c r="F844" s="52"/>
      <c r="G844" s="52"/>
      <c r="H844" s="52"/>
      <c r="I844" s="52"/>
      <c r="J844" s="52"/>
      <c r="K844" s="52"/>
      <c r="L844" s="52"/>
      <c r="M844" s="52"/>
      <c r="N844" s="52"/>
      <c r="O844" s="52"/>
      <c r="P844" s="52"/>
      <c r="Q844" s="52"/>
      <c r="R844" s="52"/>
      <c r="S844" s="52"/>
      <c r="T844" s="52"/>
      <c r="U844" s="52"/>
      <c r="V844" s="52"/>
      <c r="W844" s="52"/>
      <c r="X844" s="52"/>
      <c r="Y844" s="52"/>
      <c r="Z844" s="52"/>
      <c r="AA844" s="52"/>
      <c r="AB844" s="52"/>
      <c r="AC844" s="52"/>
      <c r="AD844" s="52"/>
      <c r="AE844" s="52"/>
      <c r="AF844" s="52"/>
      <c r="AG844" s="52"/>
      <c r="AH844" s="52"/>
      <c r="AI844" s="52"/>
      <c r="AJ844" s="52"/>
      <c r="AK844" s="52"/>
      <c r="AL844" s="52"/>
      <c r="AM844" s="52"/>
      <c r="AN844" s="52"/>
      <c r="AO844" s="52"/>
      <c r="AP844" s="52"/>
      <c r="AQ844" s="52"/>
    </row>
    <row r="845" spans="1:43">
      <c r="A845" s="150"/>
      <c r="B845" s="477"/>
      <c r="C845" s="125"/>
      <c r="D845" s="478"/>
      <c r="E845" s="478"/>
      <c r="F845" s="52"/>
      <c r="G845" s="52"/>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c r="AG845" s="52"/>
      <c r="AH845" s="52"/>
      <c r="AI845" s="52"/>
      <c r="AJ845" s="52"/>
      <c r="AK845" s="52"/>
      <c r="AL845" s="52"/>
      <c r="AM845" s="52"/>
      <c r="AN845" s="52"/>
      <c r="AO845" s="52"/>
      <c r="AP845" s="52"/>
      <c r="AQ845" s="52"/>
    </row>
    <row r="846" spans="1:43">
      <c r="A846" s="150"/>
      <c r="B846" s="477"/>
      <c r="C846" s="125"/>
      <c r="D846" s="478"/>
      <c r="E846" s="478"/>
      <c r="F846" s="52"/>
      <c r="G846" s="52"/>
      <c r="H846" s="52"/>
      <c r="I846" s="52"/>
      <c r="J846" s="52"/>
      <c r="K846" s="52"/>
      <c r="L846" s="52"/>
      <c r="M846" s="52"/>
      <c r="N846" s="52"/>
      <c r="O846" s="52"/>
      <c r="P846" s="52"/>
      <c r="Q846" s="52"/>
      <c r="R846" s="52"/>
      <c r="S846" s="52"/>
      <c r="T846" s="52"/>
      <c r="U846" s="52"/>
      <c r="V846" s="52"/>
      <c r="W846" s="52"/>
      <c r="X846" s="52"/>
      <c r="Y846" s="52"/>
      <c r="Z846" s="52"/>
      <c r="AA846" s="52"/>
      <c r="AB846" s="52"/>
      <c r="AC846" s="52"/>
      <c r="AD846" s="52"/>
      <c r="AE846" s="52"/>
      <c r="AF846" s="52"/>
      <c r="AG846" s="52"/>
      <c r="AH846" s="52"/>
      <c r="AI846" s="52"/>
      <c r="AJ846" s="52"/>
      <c r="AK846" s="52"/>
      <c r="AL846" s="52"/>
      <c r="AM846" s="52"/>
      <c r="AN846" s="52"/>
      <c r="AO846" s="52"/>
      <c r="AP846" s="52"/>
      <c r="AQ846" s="52"/>
    </row>
    <row r="847" spans="1:43">
      <c r="A847" s="150"/>
      <c r="B847" s="477"/>
      <c r="C847" s="125"/>
      <c r="D847" s="478"/>
      <c r="E847" s="478"/>
      <c r="F847" s="52"/>
      <c r="G847" s="52"/>
      <c r="H847" s="52"/>
      <c r="I847" s="52"/>
      <c r="J847" s="52"/>
      <c r="K847" s="52"/>
      <c r="L847" s="52"/>
      <c r="M847" s="52"/>
      <c r="N847" s="52"/>
      <c r="O847" s="52"/>
      <c r="P847" s="52"/>
      <c r="Q847" s="52"/>
      <c r="R847" s="52"/>
      <c r="S847" s="52"/>
      <c r="T847" s="52"/>
      <c r="U847" s="52"/>
      <c r="V847" s="52"/>
      <c r="W847" s="52"/>
      <c r="X847" s="52"/>
      <c r="Y847" s="52"/>
      <c r="Z847" s="52"/>
      <c r="AA847" s="52"/>
      <c r="AB847" s="52"/>
      <c r="AC847" s="52"/>
      <c r="AD847" s="52"/>
      <c r="AE847" s="52"/>
      <c r="AF847" s="52"/>
      <c r="AG847" s="52"/>
      <c r="AH847" s="52"/>
      <c r="AI847" s="52"/>
      <c r="AJ847" s="52"/>
      <c r="AK847" s="52"/>
      <c r="AL847" s="52"/>
      <c r="AM847" s="52"/>
      <c r="AN847" s="52"/>
      <c r="AO847" s="52"/>
      <c r="AP847" s="52"/>
      <c r="AQ847" s="52"/>
    </row>
    <row r="848" spans="1:43">
      <c r="A848" s="150"/>
      <c r="B848" s="477"/>
      <c r="C848" s="125"/>
      <c r="D848" s="478"/>
      <c r="E848" s="478"/>
      <c r="F848" s="52"/>
      <c r="G848" s="52"/>
      <c r="H848" s="52"/>
      <c r="I848" s="52"/>
      <c r="J848" s="52"/>
      <c r="K848" s="52"/>
      <c r="L848" s="52"/>
      <c r="M848" s="52"/>
      <c r="N848" s="52"/>
      <c r="O848" s="52"/>
      <c r="P848" s="52"/>
      <c r="Q848" s="52"/>
      <c r="R848" s="52"/>
      <c r="S848" s="52"/>
      <c r="T848" s="52"/>
      <c r="U848" s="52"/>
      <c r="V848" s="52"/>
      <c r="W848" s="52"/>
      <c r="X848" s="52"/>
      <c r="Y848" s="52"/>
      <c r="Z848" s="52"/>
      <c r="AA848" s="52"/>
      <c r="AB848" s="52"/>
      <c r="AC848" s="52"/>
      <c r="AD848" s="52"/>
      <c r="AE848" s="52"/>
      <c r="AF848" s="52"/>
      <c r="AG848" s="52"/>
      <c r="AH848" s="52"/>
      <c r="AI848" s="52"/>
      <c r="AJ848" s="52"/>
      <c r="AK848" s="52"/>
      <c r="AL848" s="52"/>
      <c r="AM848" s="52"/>
      <c r="AN848" s="52"/>
      <c r="AO848" s="52"/>
      <c r="AP848" s="52"/>
      <c r="AQ848" s="52"/>
    </row>
    <row r="849" spans="1:43">
      <c r="A849" s="150"/>
      <c r="B849" s="477"/>
      <c r="C849" s="125"/>
      <c r="D849" s="478"/>
      <c r="E849" s="478"/>
      <c r="F849" s="52"/>
      <c r="G849" s="52"/>
      <c r="H849" s="52"/>
      <c r="I849" s="52"/>
      <c r="J849" s="52"/>
      <c r="K849" s="52"/>
      <c r="L849" s="52"/>
      <c r="M849" s="52"/>
      <c r="N849" s="52"/>
      <c r="O849" s="52"/>
      <c r="P849" s="52"/>
      <c r="Q849" s="52"/>
      <c r="R849" s="52"/>
      <c r="S849" s="52"/>
      <c r="T849" s="52"/>
      <c r="U849" s="52"/>
      <c r="V849" s="52"/>
      <c r="W849" s="52"/>
      <c r="X849" s="52"/>
      <c r="Y849" s="52"/>
      <c r="Z849" s="52"/>
      <c r="AA849" s="52"/>
      <c r="AB849" s="52"/>
      <c r="AC849" s="52"/>
      <c r="AD849" s="52"/>
      <c r="AE849" s="52"/>
      <c r="AF849" s="52"/>
      <c r="AG849" s="52"/>
      <c r="AH849" s="52"/>
      <c r="AI849" s="52"/>
      <c r="AJ849" s="52"/>
      <c r="AK849" s="52"/>
      <c r="AL849" s="52"/>
      <c r="AM849" s="52"/>
      <c r="AN849" s="52"/>
      <c r="AO849" s="52"/>
      <c r="AP849" s="52"/>
      <c r="AQ849" s="52"/>
    </row>
    <row r="850" spans="1:43">
      <c r="A850" s="150"/>
      <c r="B850" s="477"/>
      <c r="C850" s="125"/>
      <c r="D850" s="478"/>
      <c r="E850" s="478"/>
      <c r="F850" s="52"/>
      <c r="G850" s="52"/>
      <c r="H850" s="52"/>
      <c r="I850" s="52"/>
      <c r="J850" s="52"/>
      <c r="K850" s="52"/>
      <c r="L850" s="52"/>
      <c r="M850" s="52"/>
      <c r="N850" s="52"/>
      <c r="O850" s="52"/>
      <c r="P850" s="52"/>
      <c r="Q850" s="52"/>
      <c r="R850" s="52"/>
      <c r="S850" s="52"/>
      <c r="T850" s="52"/>
      <c r="U850" s="52"/>
      <c r="V850" s="52"/>
      <c r="W850" s="52"/>
      <c r="X850" s="52"/>
      <c r="Y850" s="52"/>
      <c r="Z850" s="52"/>
      <c r="AA850" s="52"/>
      <c r="AB850" s="52"/>
      <c r="AC850" s="52"/>
      <c r="AD850" s="52"/>
      <c r="AE850" s="52"/>
      <c r="AF850" s="52"/>
      <c r="AG850" s="52"/>
      <c r="AH850" s="52"/>
      <c r="AI850" s="52"/>
      <c r="AJ850" s="52"/>
      <c r="AK850" s="52"/>
      <c r="AL850" s="52"/>
      <c r="AM850" s="52"/>
      <c r="AN850" s="52"/>
      <c r="AO850" s="52"/>
      <c r="AP850" s="52"/>
      <c r="AQ850" s="52"/>
    </row>
    <row r="851" spans="1:43">
      <c r="A851" s="150"/>
      <c r="B851" s="477"/>
      <c r="C851" s="125"/>
      <c r="D851" s="478"/>
      <c r="E851" s="478"/>
      <c r="F851" s="52"/>
      <c r="G851" s="52"/>
      <c r="H851" s="52"/>
      <c r="I851" s="52"/>
      <c r="J851" s="52"/>
      <c r="K851" s="52"/>
      <c r="L851" s="52"/>
      <c r="M851" s="52"/>
      <c r="N851" s="52"/>
      <c r="O851" s="52"/>
      <c r="P851" s="52"/>
      <c r="Q851" s="52"/>
      <c r="R851" s="52"/>
      <c r="S851" s="52"/>
      <c r="T851" s="52"/>
      <c r="U851" s="52"/>
      <c r="V851" s="52"/>
      <c r="W851" s="52"/>
      <c r="X851" s="52"/>
      <c r="Y851" s="52"/>
      <c r="Z851" s="52"/>
      <c r="AA851" s="52"/>
      <c r="AB851" s="52"/>
      <c r="AC851" s="52"/>
      <c r="AD851" s="52"/>
      <c r="AE851" s="52"/>
      <c r="AF851" s="52"/>
      <c r="AG851" s="52"/>
      <c r="AH851" s="52"/>
      <c r="AI851" s="52"/>
      <c r="AJ851" s="52"/>
      <c r="AK851" s="52"/>
      <c r="AL851" s="52"/>
      <c r="AM851" s="52"/>
      <c r="AN851" s="52"/>
      <c r="AO851" s="52"/>
      <c r="AP851" s="52"/>
      <c r="AQ851" s="52"/>
    </row>
    <row r="852" spans="1:43">
      <c r="A852" s="150"/>
      <c r="B852" s="477"/>
      <c r="C852" s="125"/>
      <c r="D852" s="478"/>
      <c r="E852" s="478"/>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c r="AG852" s="52"/>
      <c r="AH852" s="52"/>
      <c r="AI852" s="52"/>
      <c r="AJ852" s="52"/>
      <c r="AK852" s="52"/>
      <c r="AL852" s="52"/>
      <c r="AM852" s="52"/>
      <c r="AN852" s="52"/>
      <c r="AO852" s="52"/>
      <c r="AP852" s="52"/>
      <c r="AQ852" s="52"/>
    </row>
    <row r="853" spans="1:43">
      <c r="A853" s="150"/>
      <c r="B853" s="477"/>
      <c r="C853" s="125"/>
      <c r="D853" s="478"/>
      <c r="E853" s="478"/>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c r="AG853" s="52"/>
      <c r="AH853" s="52"/>
      <c r="AI853" s="52"/>
      <c r="AJ853" s="52"/>
      <c r="AK853" s="52"/>
      <c r="AL853" s="52"/>
      <c r="AM853" s="52"/>
      <c r="AN853" s="52"/>
      <c r="AO853" s="52"/>
      <c r="AP853" s="52"/>
      <c r="AQ853" s="52"/>
    </row>
    <row r="854" spans="1:43">
      <c r="A854" s="150"/>
      <c r="B854" s="477"/>
      <c r="C854" s="125"/>
      <c r="D854" s="478"/>
      <c r="E854" s="478"/>
      <c r="F854" s="52"/>
      <c r="G854" s="52"/>
      <c r="H854" s="52"/>
      <c r="I854" s="52"/>
      <c r="J854" s="52"/>
      <c r="K854" s="52"/>
      <c r="L854" s="52"/>
      <c r="M854" s="52"/>
      <c r="N854" s="52"/>
      <c r="O854" s="52"/>
      <c r="P854" s="52"/>
      <c r="Q854" s="52"/>
      <c r="R854" s="52"/>
      <c r="S854" s="52"/>
      <c r="T854" s="52"/>
      <c r="U854" s="52"/>
      <c r="V854" s="52"/>
      <c r="W854" s="52"/>
      <c r="X854" s="52"/>
      <c r="Y854" s="52"/>
      <c r="Z854" s="52"/>
      <c r="AA854" s="52"/>
      <c r="AB854" s="52"/>
      <c r="AC854" s="52"/>
      <c r="AD854" s="52"/>
      <c r="AE854" s="52"/>
      <c r="AF854" s="52"/>
      <c r="AG854" s="52"/>
      <c r="AH854" s="52"/>
      <c r="AI854" s="52"/>
      <c r="AJ854" s="52"/>
      <c r="AK854" s="52"/>
      <c r="AL854" s="52"/>
      <c r="AM854" s="52"/>
      <c r="AN854" s="52"/>
      <c r="AO854" s="52"/>
      <c r="AP854" s="52"/>
      <c r="AQ854" s="52"/>
    </row>
    <row r="855" spans="1:43">
      <c r="A855" s="150"/>
      <c r="B855" s="477"/>
      <c r="C855" s="125"/>
      <c r="D855" s="478"/>
      <c r="E855" s="478"/>
      <c r="F855" s="52"/>
      <c r="G855" s="52"/>
      <c r="H855" s="52"/>
      <c r="I855" s="52"/>
      <c r="J855" s="52"/>
      <c r="K855" s="52"/>
      <c r="L855" s="52"/>
      <c r="M855" s="52"/>
      <c r="N855" s="52"/>
      <c r="O855" s="52"/>
      <c r="P855" s="52"/>
      <c r="Q855" s="52"/>
      <c r="R855" s="52"/>
      <c r="S855" s="52"/>
      <c r="T855" s="52"/>
      <c r="U855" s="52"/>
      <c r="V855" s="52"/>
      <c r="W855" s="52"/>
      <c r="X855" s="52"/>
      <c r="Y855" s="52"/>
      <c r="Z855" s="52"/>
      <c r="AA855" s="52"/>
      <c r="AB855" s="52"/>
      <c r="AC855" s="52"/>
      <c r="AD855" s="52"/>
      <c r="AE855" s="52"/>
      <c r="AF855" s="52"/>
      <c r="AG855" s="52"/>
      <c r="AH855" s="52"/>
      <c r="AI855" s="52"/>
      <c r="AJ855" s="52"/>
      <c r="AK855" s="52"/>
      <c r="AL855" s="52"/>
      <c r="AM855" s="52"/>
      <c r="AN855" s="52"/>
      <c r="AO855" s="52"/>
      <c r="AP855" s="52"/>
      <c r="AQ855" s="52"/>
    </row>
    <row r="856" spans="1:43">
      <c r="A856" s="150"/>
      <c r="B856" s="477"/>
      <c r="C856" s="125"/>
      <c r="D856" s="478"/>
      <c r="E856" s="478"/>
      <c r="F856" s="52"/>
      <c r="G856" s="52"/>
      <c r="H856" s="52"/>
      <c r="I856" s="52"/>
      <c r="J856" s="52"/>
      <c r="K856" s="52"/>
      <c r="L856" s="52"/>
      <c r="M856" s="52"/>
      <c r="N856" s="52"/>
      <c r="O856" s="52"/>
      <c r="P856" s="52"/>
      <c r="Q856" s="52"/>
      <c r="R856" s="52"/>
      <c r="S856" s="52"/>
      <c r="T856" s="52"/>
      <c r="U856" s="52"/>
      <c r="V856" s="52"/>
      <c r="W856" s="52"/>
      <c r="X856" s="52"/>
      <c r="Y856" s="52"/>
      <c r="Z856" s="52"/>
      <c r="AA856" s="52"/>
      <c r="AB856" s="52"/>
      <c r="AC856" s="52"/>
      <c r="AD856" s="52"/>
      <c r="AE856" s="52"/>
      <c r="AF856" s="52"/>
      <c r="AG856" s="52"/>
      <c r="AH856" s="52"/>
      <c r="AI856" s="52"/>
      <c r="AJ856" s="52"/>
      <c r="AK856" s="52"/>
      <c r="AL856" s="52"/>
      <c r="AM856" s="52"/>
      <c r="AN856" s="52"/>
      <c r="AO856" s="52"/>
      <c r="AP856" s="52"/>
      <c r="AQ856" s="52"/>
    </row>
    <row r="857" spans="1:43">
      <c r="A857" s="150"/>
      <c r="B857" s="477"/>
      <c r="C857" s="125"/>
      <c r="D857" s="478"/>
      <c r="E857" s="478"/>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c r="AG857" s="52"/>
      <c r="AH857" s="52"/>
      <c r="AI857" s="52"/>
      <c r="AJ857" s="52"/>
      <c r="AK857" s="52"/>
      <c r="AL857" s="52"/>
      <c r="AM857" s="52"/>
      <c r="AN857" s="52"/>
      <c r="AO857" s="52"/>
      <c r="AP857" s="52"/>
      <c r="AQ857" s="52"/>
    </row>
    <row r="858" spans="1:43">
      <c r="A858" s="150"/>
      <c r="B858" s="477"/>
      <c r="C858" s="125"/>
      <c r="D858" s="478"/>
      <c r="E858" s="478"/>
      <c r="F858" s="52"/>
      <c r="G858" s="52"/>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c r="AG858" s="52"/>
      <c r="AH858" s="52"/>
      <c r="AI858" s="52"/>
      <c r="AJ858" s="52"/>
      <c r="AK858" s="52"/>
      <c r="AL858" s="52"/>
      <c r="AM858" s="52"/>
      <c r="AN858" s="52"/>
      <c r="AO858" s="52"/>
      <c r="AP858" s="52"/>
      <c r="AQ858" s="52"/>
    </row>
    <row r="859" spans="1:43">
      <c r="A859" s="150"/>
      <c r="B859" s="477"/>
      <c r="C859" s="125"/>
      <c r="D859" s="478"/>
      <c r="E859" s="478"/>
      <c r="F859" s="52"/>
      <c r="G859" s="52"/>
      <c r="H859" s="52"/>
      <c r="I859" s="52"/>
      <c r="J859" s="52"/>
      <c r="K859" s="52"/>
      <c r="L859" s="52"/>
      <c r="M859" s="52"/>
      <c r="N859" s="52"/>
      <c r="O859" s="52"/>
      <c r="P859" s="52"/>
      <c r="Q859" s="52"/>
      <c r="R859" s="52"/>
      <c r="S859" s="52"/>
      <c r="T859" s="52"/>
      <c r="U859" s="52"/>
      <c r="V859" s="52"/>
      <c r="W859" s="52"/>
      <c r="X859" s="52"/>
      <c r="Y859" s="52"/>
      <c r="Z859" s="52"/>
      <c r="AA859" s="52"/>
      <c r="AB859" s="52"/>
      <c r="AC859" s="52"/>
      <c r="AD859" s="52"/>
      <c r="AE859" s="52"/>
      <c r="AF859" s="52"/>
      <c r="AG859" s="52"/>
      <c r="AH859" s="52"/>
      <c r="AI859" s="52"/>
      <c r="AJ859" s="52"/>
      <c r="AK859" s="52"/>
      <c r="AL859" s="52"/>
      <c r="AM859" s="52"/>
      <c r="AN859" s="52"/>
      <c r="AO859" s="52"/>
      <c r="AP859" s="52"/>
      <c r="AQ859" s="52"/>
    </row>
    <row r="860" spans="1:43">
      <c r="A860" s="150"/>
      <c r="B860" s="477"/>
      <c r="C860" s="125"/>
      <c r="D860" s="478"/>
      <c r="E860" s="478"/>
      <c r="F860" s="52"/>
      <c r="G860" s="52"/>
      <c r="H860" s="52"/>
      <c r="I860" s="52"/>
      <c r="J860" s="52"/>
      <c r="K860" s="52"/>
      <c r="L860" s="52"/>
      <c r="M860" s="52"/>
      <c r="N860" s="52"/>
      <c r="O860" s="52"/>
      <c r="P860" s="52"/>
      <c r="Q860" s="52"/>
      <c r="R860" s="52"/>
      <c r="S860" s="52"/>
      <c r="T860" s="52"/>
      <c r="U860" s="52"/>
      <c r="V860" s="52"/>
      <c r="W860" s="52"/>
      <c r="X860" s="52"/>
      <c r="Y860" s="52"/>
      <c r="Z860" s="52"/>
      <c r="AA860" s="52"/>
      <c r="AB860" s="52"/>
      <c r="AC860" s="52"/>
      <c r="AD860" s="52"/>
      <c r="AE860" s="52"/>
      <c r="AF860" s="52"/>
      <c r="AG860" s="52"/>
      <c r="AH860" s="52"/>
      <c r="AI860" s="52"/>
      <c r="AJ860" s="52"/>
      <c r="AK860" s="52"/>
      <c r="AL860" s="52"/>
      <c r="AM860" s="52"/>
      <c r="AN860" s="52"/>
      <c r="AO860" s="52"/>
      <c r="AP860" s="52"/>
      <c r="AQ860" s="52"/>
    </row>
    <row r="861" spans="1:43">
      <c r="A861" s="150"/>
      <c r="B861" s="477"/>
      <c r="C861" s="125"/>
      <c r="D861" s="478"/>
      <c r="E861" s="478"/>
      <c r="F861" s="52"/>
      <c r="G861" s="52"/>
      <c r="H861" s="52"/>
      <c r="I861" s="52"/>
      <c r="J861" s="52"/>
      <c r="K861" s="52"/>
      <c r="L861" s="52"/>
      <c r="M861" s="52"/>
      <c r="N861" s="52"/>
      <c r="O861" s="52"/>
      <c r="P861" s="52"/>
      <c r="Q861" s="52"/>
      <c r="R861" s="52"/>
      <c r="S861" s="52"/>
      <c r="T861" s="52"/>
      <c r="U861" s="52"/>
      <c r="V861" s="52"/>
      <c r="W861" s="52"/>
      <c r="X861" s="52"/>
      <c r="Y861" s="52"/>
      <c r="Z861" s="52"/>
      <c r="AA861" s="52"/>
      <c r="AB861" s="52"/>
      <c r="AC861" s="52"/>
      <c r="AD861" s="52"/>
      <c r="AE861" s="52"/>
      <c r="AF861" s="52"/>
      <c r="AG861" s="52"/>
      <c r="AH861" s="52"/>
      <c r="AI861" s="52"/>
      <c r="AJ861" s="52"/>
      <c r="AK861" s="52"/>
      <c r="AL861" s="52"/>
      <c r="AM861" s="52"/>
      <c r="AN861" s="52"/>
      <c r="AO861" s="52"/>
      <c r="AP861" s="52"/>
      <c r="AQ861" s="52"/>
    </row>
    <row r="862" spans="1:43">
      <c r="A862" s="150"/>
      <c r="B862" s="477"/>
      <c r="C862" s="125"/>
      <c r="D862" s="478"/>
      <c r="E862" s="478"/>
      <c r="F862" s="52"/>
      <c r="G862" s="52"/>
      <c r="H862" s="52"/>
      <c r="I862" s="52"/>
      <c r="J862" s="52"/>
      <c r="K862" s="52"/>
      <c r="L862" s="52"/>
      <c r="M862" s="52"/>
      <c r="N862" s="52"/>
      <c r="O862" s="52"/>
      <c r="P862" s="52"/>
      <c r="Q862" s="52"/>
      <c r="R862" s="52"/>
      <c r="S862" s="52"/>
      <c r="T862" s="52"/>
      <c r="U862" s="52"/>
      <c r="V862" s="52"/>
      <c r="W862" s="52"/>
      <c r="X862" s="52"/>
      <c r="Y862" s="52"/>
      <c r="Z862" s="52"/>
      <c r="AA862" s="52"/>
      <c r="AB862" s="52"/>
      <c r="AC862" s="52"/>
      <c r="AD862" s="52"/>
      <c r="AE862" s="52"/>
      <c r="AF862" s="52"/>
      <c r="AG862" s="52"/>
      <c r="AH862" s="52"/>
      <c r="AI862" s="52"/>
      <c r="AJ862" s="52"/>
      <c r="AK862" s="52"/>
      <c r="AL862" s="52"/>
      <c r="AM862" s="52"/>
      <c r="AN862" s="52"/>
      <c r="AO862" s="52"/>
      <c r="AP862" s="52"/>
      <c r="AQ862" s="52"/>
    </row>
    <row r="863" spans="1:43">
      <c r="A863" s="150"/>
      <c r="B863" s="477"/>
      <c r="C863" s="125"/>
      <c r="D863" s="478"/>
      <c r="E863" s="478"/>
      <c r="F863" s="52"/>
      <c r="G863" s="52"/>
      <c r="H863" s="52"/>
      <c r="I863" s="52"/>
      <c r="J863" s="52"/>
      <c r="K863" s="52"/>
      <c r="L863" s="52"/>
      <c r="M863" s="52"/>
      <c r="N863" s="52"/>
      <c r="O863" s="52"/>
      <c r="P863" s="52"/>
      <c r="Q863" s="52"/>
      <c r="R863" s="52"/>
      <c r="S863" s="52"/>
      <c r="T863" s="52"/>
      <c r="U863" s="52"/>
      <c r="V863" s="52"/>
      <c r="W863" s="52"/>
      <c r="X863" s="52"/>
      <c r="Y863" s="52"/>
      <c r="Z863" s="52"/>
      <c r="AA863" s="52"/>
      <c r="AB863" s="52"/>
      <c r="AC863" s="52"/>
      <c r="AD863" s="52"/>
      <c r="AE863" s="52"/>
      <c r="AF863" s="52"/>
      <c r="AG863" s="52"/>
      <c r="AH863" s="52"/>
      <c r="AI863" s="52"/>
      <c r="AJ863" s="52"/>
      <c r="AK863" s="52"/>
      <c r="AL863" s="52"/>
      <c r="AM863" s="52"/>
      <c r="AN863" s="52"/>
      <c r="AO863" s="52"/>
      <c r="AP863" s="52"/>
      <c r="AQ863" s="52"/>
    </row>
    <row r="864" spans="1:43">
      <c r="A864" s="150"/>
      <c r="B864" s="477"/>
      <c r="C864" s="125"/>
      <c r="D864" s="478"/>
      <c r="E864" s="478"/>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c r="AG864" s="52"/>
      <c r="AH864" s="52"/>
      <c r="AI864" s="52"/>
      <c r="AJ864" s="52"/>
      <c r="AK864" s="52"/>
      <c r="AL864" s="52"/>
      <c r="AM864" s="52"/>
      <c r="AN864" s="52"/>
      <c r="AO864" s="52"/>
      <c r="AP864" s="52"/>
      <c r="AQ864" s="52"/>
    </row>
    <row r="865" spans="1:43">
      <c r="A865" s="150"/>
      <c r="B865" s="477"/>
      <c r="C865" s="125"/>
      <c r="D865" s="478"/>
      <c r="E865" s="478"/>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c r="AG865" s="52"/>
      <c r="AH865" s="52"/>
      <c r="AI865" s="52"/>
      <c r="AJ865" s="52"/>
      <c r="AK865" s="52"/>
      <c r="AL865" s="52"/>
      <c r="AM865" s="52"/>
      <c r="AN865" s="52"/>
      <c r="AO865" s="52"/>
      <c r="AP865" s="52"/>
      <c r="AQ865" s="52"/>
    </row>
    <row r="866" spans="1:43">
      <c r="A866" s="150"/>
      <c r="B866" s="477"/>
      <c r="C866" s="125"/>
      <c r="D866" s="478"/>
      <c r="E866" s="478"/>
      <c r="F866" s="52"/>
      <c r="G866" s="52"/>
      <c r="H866" s="52"/>
      <c r="I866" s="52"/>
      <c r="J866" s="52"/>
      <c r="K866" s="52"/>
      <c r="L866" s="52"/>
      <c r="M866" s="52"/>
      <c r="N866" s="52"/>
      <c r="O866" s="52"/>
      <c r="P866" s="52"/>
      <c r="Q866" s="52"/>
      <c r="R866" s="52"/>
      <c r="S866" s="52"/>
      <c r="T866" s="52"/>
      <c r="U866" s="52"/>
      <c r="V866" s="52"/>
      <c r="W866" s="52"/>
      <c r="X866" s="52"/>
      <c r="Y866" s="52"/>
      <c r="Z866" s="52"/>
      <c r="AA866" s="52"/>
      <c r="AB866" s="52"/>
      <c r="AC866" s="52"/>
      <c r="AD866" s="52"/>
      <c r="AE866" s="52"/>
      <c r="AF866" s="52"/>
      <c r="AG866" s="52"/>
      <c r="AH866" s="52"/>
      <c r="AI866" s="52"/>
      <c r="AJ866" s="52"/>
      <c r="AK866" s="52"/>
      <c r="AL866" s="52"/>
      <c r="AM866" s="52"/>
      <c r="AN866" s="52"/>
      <c r="AO866" s="52"/>
      <c r="AP866" s="52"/>
      <c r="AQ866" s="52"/>
    </row>
    <row r="867" spans="1:43">
      <c r="A867" s="150"/>
      <c r="B867" s="477"/>
      <c r="C867" s="125"/>
      <c r="D867" s="478"/>
      <c r="E867" s="478"/>
      <c r="F867" s="52"/>
      <c r="G867" s="52"/>
      <c r="H867" s="52"/>
      <c r="I867" s="52"/>
      <c r="J867" s="52"/>
      <c r="K867" s="52"/>
      <c r="L867" s="52"/>
      <c r="M867" s="52"/>
      <c r="N867" s="52"/>
      <c r="O867" s="52"/>
      <c r="P867" s="52"/>
      <c r="Q867" s="52"/>
      <c r="R867" s="52"/>
      <c r="S867" s="52"/>
      <c r="T867" s="52"/>
      <c r="U867" s="52"/>
      <c r="V867" s="52"/>
      <c r="W867" s="52"/>
      <c r="X867" s="52"/>
      <c r="Y867" s="52"/>
      <c r="Z867" s="52"/>
      <c r="AA867" s="52"/>
      <c r="AB867" s="52"/>
      <c r="AC867" s="52"/>
      <c r="AD867" s="52"/>
      <c r="AE867" s="52"/>
      <c r="AF867" s="52"/>
      <c r="AG867" s="52"/>
      <c r="AH867" s="52"/>
      <c r="AI867" s="52"/>
      <c r="AJ867" s="52"/>
      <c r="AK867" s="52"/>
      <c r="AL867" s="52"/>
      <c r="AM867" s="52"/>
      <c r="AN867" s="52"/>
      <c r="AO867" s="52"/>
      <c r="AP867" s="52"/>
      <c r="AQ867" s="52"/>
    </row>
    <row r="868" spans="1:43">
      <c r="A868" s="150"/>
      <c r="B868" s="477"/>
      <c r="C868" s="125"/>
      <c r="D868" s="478"/>
      <c r="E868" s="478"/>
      <c r="F868" s="52"/>
      <c r="G868" s="52"/>
      <c r="H868" s="52"/>
      <c r="I868" s="52"/>
      <c r="J868" s="52"/>
      <c r="K868" s="52"/>
      <c r="L868" s="52"/>
      <c r="M868" s="52"/>
      <c r="N868" s="52"/>
      <c r="O868" s="52"/>
      <c r="P868" s="52"/>
      <c r="Q868" s="52"/>
      <c r="R868" s="52"/>
      <c r="S868" s="52"/>
      <c r="T868" s="52"/>
      <c r="U868" s="52"/>
      <c r="V868" s="52"/>
      <c r="W868" s="52"/>
      <c r="X868" s="52"/>
      <c r="Y868" s="52"/>
      <c r="Z868" s="52"/>
      <c r="AA868" s="52"/>
      <c r="AB868" s="52"/>
      <c r="AC868" s="52"/>
      <c r="AD868" s="52"/>
      <c r="AE868" s="52"/>
      <c r="AF868" s="52"/>
      <c r="AG868" s="52"/>
      <c r="AH868" s="52"/>
      <c r="AI868" s="52"/>
      <c r="AJ868" s="52"/>
      <c r="AK868" s="52"/>
      <c r="AL868" s="52"/>
      <c r="AM868" s="52"/>
      <c r="AN868" s="52"/>
      <c r="AO868" s="52"/>
      <c r="AP868" s="52"/>
      <c r="AQ868" s="52"/>
    </row>
    <row r="869" spans="1:43">
      <c r="A869" s="150"/>
      <c r="B869" s="477"/>
      <c r="C869" s="125"/>
      <c r="D869" s="478"/>
      <c r="E869" s="478"/>
      <c r="F869" s="52"/>
      <c r="G869" s="52"/>
      <c r="H869" s="52"/>
      <c r="I869" s="52"/>
      <c r="J869" s="52"/>
      <c r="K869" s="52"/>
      <c r="L869" s="52"/>
      <c r="M869" s="52"/>
      <c r="N869" s="52"/>
      <c r="O869" s="52"/>
      <c r="P869" s="52"/>
      <c r="Q869" s="52"/>
      <c r="R869" s="52"/>
      <c r="S869" s="52"/>
      <c r="T869" s="52"/>
      <c r="U869" s="52"/>
      <c r="V869" s="52"/>
      <c r="W869" s="52"/>
      <c r="X869" s="52"/>
      <c r="Y869" s="52"/>
      <c r="Z869" s="52"/>
      <c r="AA869" s="52"/>
      <c r="AB869" s="52"/>
      <c r="AC869" s="52"/>
      <c r="AD869" s="52"/>
      <c r="AE869" s="52"/>
      <c r="AF869" s="52"/>
      <c r="AG869" s="52"/>
      <c r="AH869" s="52"/>
      <c r="AI869" s="52"/>
      <c r="AJ869" s="52"/>
      <c r="AK869" s="52"/>
      <c r="AL869" s="52"/>
      <c r="AM869" s="52"/>
      <c r="AN869" s="52"/>
      <c r="AO869" s="52"/>
      <c r="AP869" s="52"/>
      <c r="AQ869" s="52"/>
    </row>
    <row r="870" spans="1:43">
      <c r="A870" s="150"/>
      <c r="B870" s="477"/>
      <c r="C870" s="125"/>
      <c r="D870" s="478"/>
      <c r="E870" s="478"/>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c r="AG870" s="52"/>
      <c r="AH870" s="52"/>
      <c r="AI870" s="52"/>
      <c r="AJ870" s="52"/>
      <c r="AK870" s="52"/>
      <c r="AL870" s="52"/>
      <c r="AM870" s="52"/>
      <c r="AN870" s="52"/>
      <c r="AO870" s="52"/>
      <c r="AP870" s="52"/>
      <c r="AQ870" s="52"/>
    </row>
    <row r="871" spans="1:43">
      <c r="A871" s="150"/>
      <c r="B871" s="477"/>
      <c r="C871" s="125"/>
      <c r="D871" s="478"/>
      <c r="E871" s="478"/>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c r="AG871" s="52"/>
      <c r="AH871" s="52"/>
      <c r="AI871" s="52"/>
      <c r="AJ871" s="52"/>
      <c r="AK871" s="52"/>
      <c r="AL871" s="52"/>
      <c r="AM871" s="52"/>
      <c r="AN871" s="52"/>
      <c r="AO871" s="52"/>
      <c r="AP871" s="52"/>
      <c r="AQ871" s="52"/>
    </row>
    <row r="872" spans="1:43">
      <c r="A872" s="150"/>
      <c r="B872" s="477"/>
      <c r="C872" s="125"/>
      <c r="D872" s="478"/>
      <c r="E872" s="478"/>
      <c r="F872" s="52"/>
      <c r="G872" s="52"/>
      <c r="H872" s="52"/>
      <c r="I872" s="52"/>
      <c r="J872" s="52"/>
      <c r="K872" s="52"/>
      <c r="L872" s="52"/>
      <c r="M872" s="52"/>
      <c r="N872" s="52"/>
      <c r="O872" s="52"/>
      <c r="P872" s="52"/>
      <c r="Q872" s="52"/>
      <c r="R872" s="52"/>
      <c r="S872" s="52"/>
      <c r="T872" s="52"/>
      <c r="U872" s="52"/>
      <c r="V872" s="52"/>
      <c r="W872" s="52"/>
      <c r="X872" s="52"/>
      <c r="Y872" s="52"/>
      <c r="Z872" s="52"/>
      <c r="AA872" s="52"/>
      <c r="AB872" s="52"/>
      <c r="AC872" s="52"/>
      <c r="AD872" s="52"/>
      <c r="AE872" s="52"/>
      <c r="AF872" s="52"/>
      <c r="AG872" s="52"/>
      <c r="AH872" s="52"/>
      <c r="AI872" s="52"/>
      <c r="AJ872" s="52"/>
      <c r="AK872" s="52"/>
      <c r="AL872" s="52"/>
      <c r="AM872" s="52"/>
      <c r="AN872" s="52"/>
      <c r="AO872" s="52"/>
      <c r="AP872" s="52"/>
      <c r="AQ872" s="52"/>
    </row>
    <row r="873" spans="1:43">
      <c r="A873" s="150"/>
      <c r="B873" s="477"/>
      <c r="C873" s="125"/>
      <c r="D873" s="478"/>
      <c r="E873" s="478"/>
      <c r="F873" s="52"/>
      <c r="G873" s="52"/>
      <c r="H873" s="52"/>
      <c r="I873" s="52"/>
      <c r="J873" s="52"/>
      <c r="K873" s="52"/>
      <c r="L873" s="52"/>
      <c r="M873" s="52"/>
      <c r="N873" s="52"/>
      <c r="O873" s="52"/>
      <c r="P873" s="52"/>
      <c r="Q873" s="52"/>
      <c r="R873" s="52"/>
      <c r="S873" s="52"/>
      <c r="T873" s="52"/>
      <c r="U873" s="52"/>
      <c r="V873" s="52"/>
      <c r="W873" s="52"/>
      <c r="X873" s="52"/>
      <c r="Y873" s="52"/>
      <c r="Z873" s="52"/>
      <c r="AA873" s="52"/>
      <c r="AB873" s="52"/>
      <c r="AC873" s="52"/>
      <c r="AD873" s="52"/>
      <c r="AE873" s="52"/>
      <c r="AF873" s="52"/>
      <c r="AG873" s="52"/>
      <c r="AH873" s="52"/>
      <c r="AI873" s="52"/>
      <c r="AJ873" s="52"/>
      <c r="AK873" s="52"/>
      <c r="AL873" s="52"/>
      <c r="AM873" s="52"/>
      <c r="AN873" s="52"/>
      <c r="AO873" s="52"/>
      <c r="AP873" s="52"/>
      <c r="AQ873" s="52"/>
    </row>
    <row r="874" spans="1:43">
      <c r="A874" s="150"/>
      <c r="B874" s="477"/>
      <c r="C874" s="125"/>
      <c r="D874" s="478"/>
      <c r="E874" s="478"/>
      <c r="F874" s="52"/>
      <c r="G874" s="52"/>
      <c r="H874" s="52"/>
      <c r="I874" s="52"/>
      <c r="J874" s="52"/>
      <c r="K874" s="52"/>
      <c r="L874" s="52"/>
      <c r="M874" s="52"/>
      <c r="N874" s="52"/>
      <c r="O874" s="52"/>
      <c r="P874" s="52"/>
      <c r="Q874" s="52"/>
      <c r="R874" s="52"/>
      <c r="S874" s="52"/>
      <c r="T874" s="52"/>
      <c r="U874" s="52"/>
      <c r="V874" s="52"/>
      <c r="W874" s="52"/>
      <c r="X874" s="52"/>
      <c r="Y874" s="52"/>
      <c r="Z874" s="52"/>
      <c r="AA874" s="52"/>
      <c r="AB874" s="52"/>
      <c r="AC874" s="52"/>
      <c r="AD874" s="52"/>
      <c r="AE874" s="52"/>
      <c r="AF874" s="52"/>
      <c r="AG874" s="52"/>
      <c r="AH874" s="52"/>
      <c r="AI874" s="52"/>
      <c r="AJ874" s="52"/>
      <c r="AK874" s="52"/>
      <c r="AL874" s="52"/>
      <c r="AM874" s="52"/>
      <c r="AN874" s="52"/>
      <c r="AO874" s="52"/>
      <c r="AP874" s="52"/>
      <c r="AQ874" s="52"/>
    </row>
    <row r="875" spans="1:43">
      <c r="A875" s="150"/>
      <c r="B875" s="477"/>
      <c r="C875" s="125"/>
      <c r="D875" s="478"/>
      <c r="E875" s="478"/>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row>
    <row r="876" spans="1:43">
      <c r="A876" s="150"/>
      <c r="B876" s="477"/>
      <c r="C876" s="125"/>
      <c r="D876" s="478"/>
      <c r="E876" s="478"/>
      <c r="F876" s="52"/>
      <c r="G876" s="52"/>
      <c r="H876" s="52"/>
      <c r="I876" s="52"/>
      <c r="J876" s="52"/>
      <c r="K876" s="52"/>
      <c r="L876" s="52"/>
      <c r="M876" s="52"/>
      <c r="N876" s="52"/>
      <c r="O876" s="52"/>
      <c r="P876" s="52"/>
      <c r="Q876" s="52"/>
      <c r="R876" s="52"/>
      <c r="S876" s="52"/>
      <c r="T876" s="52"/>
      <c r="U876" s="52"/>
      <c r="V876" s="52"/>
      <c r="W876" s="52"/>
      <c r="X876" s="52"/>
      <c r="Y876" s="52"/>
      <c r="Z876" s="52"/>
      <c r="AA876" s="52"/>
      <c r="AB876" s="52"/>
      <c r="AC876" s="52"/>
      <c r="AD876" s="52"/>
      <c r="AE876" s="52"/>
      <c r="AF876" s="52"/>
      <c r="AG876" s="52"/>
      <c r="AH876" s="52"/>
      <c r="AI876" s="52"/>
      <c r="AJ876" s="52"/>
      <c r="AK876" s="52"/>
      <c r="AL876" s="52"/>
      <c r="AM876" s="52"/>
      <c r="AN876" s="52"/>
      <c r="AO876" s="52"/>
      <c r="AP876" s="52"/>
      <c r="AQ876" s="52"/>
    </row>
    <row r="877" spans="1:43">
      <c r="A877" s="150"/>
      <c r="B877" s="477"/>
      <c r="C877" s="125"/>
      <c r="D877" s="478"/>
      <c r="E877" s="478"/>
      <c r="F877" s="52"/>
      <c r="G877" s="52"/>
      <c r="H877" s="52"/>
      <c r="I877" s="52"/>
      <c r="J877" s="52"/>
      <c r="K877" s="52"/>
      <c r="L877" s="52"/>
      <c r="M877" s="52"/>
      <c r="N877" s="52"/>
      <c r="O877" s="52"/>
      <c r="P877" s="52"/>
      <c r="Q877" s="52"/>
      <c r="R877" s="52"/>
      <c r="S877" s="52"/>
      <c r="T877" s="52"/>
      <c r="U877" s="52"/>
      <c r="V877" s="52"/>
      <c r="W877" s="52"/>
      <c r="X877" s="52"/>
      <c r="Y877" s="52"/>
      <c r="Z877" s="52"/>
      <c r="AA877" s="52"/>
      <c r="AB877" s="52"/>
      <c r="AC877" s="52"/>
      <c r="AD877" s="52"/>
      <c r="AE877" s="52"/>
      <c r="AF877" s="52"/>
      <c r="AG877" s="52"/>
      <c r="AH877" s="52"/>
      <c r="AI877" s="52"/>
      <c r="AJ877" s="52"/>
      <c r="AK877" s="52"/>
      <c r="AL877" s="52"/>
      <c r="AM877" s="52"/>
      <c r="AN877" s="52"/>
      <c r="AO877" s="52"/>
      <c r="AP877" s="52"/>
      <c r="AQ877" s="52"/>
    </row>
    <row r="878" spans="1:43">
      <c r="A878" s="150"/>
      <c r="B878" s="477"/>
      <c r="C878" s="125"/>
      <c r="D878" s="478"/>
      <c r="E878" s="478"/>
      <c r="F878" s="52"/>
      <c r="G878" s="52"/>
      <c r="H878" s="52"/>
      <c r="I878" s="52"/>
      <c r="J878" s="52"/>
      <c r="K878" s="52"/>
      <c r="L878" s="52"/>
      <c r="M878" s="52"/>
      <c r="N878" s="52"/>
      <c r="O878" s="52"/>
      <c r="P878" s="52"/>
      <c r="Q878" s="52"/>
      <c r="R878" s="52"/>
      <c r="S878" s="52"/>
      <c r="T878" s="52"/>
      <c r="U878" s="52"/>
      <c r="V878" s="52"/>
      <c r="W878" s="52"/>
      <c r="X878" s="52"/>
      <c r="Y878" s="52"/>
      <c r="Z878" s="52"/>
      <c r="AA878" s="52"/>
      <c r="AB878" s="52"/>
      <c r="AC878" s="52"/>
      <c r="AD878" s="52"/>
      <c r="AE878" s="52"/>
      <c r="AF878" s="52"/>
      <c r="AG878" s="52"/>
      <c r="AH878" s="52"/>
      <c r="AI878" s="52"/>
      <c r="AJ878" s="52"/>
      <c r="AK878" s="52"/>
      <c r="AL878" s="52"/>
      <c r="AM878" s="52"/>
      <c r="AN878" s="52"/>
      <c r="AO878" s="52"/>
      <c r="AP878" s="52"/>
      <c r="AQ878" s="52"/>
    </row>
    <row r="879" spans="1:43">
      <c r="A879" s="150"/>
      <c r="B879" s="477"/>
      <c r="C879" s="125"/>
      <c r="D879" s="478"/>
      <c r="E879" s="478"/>
      <c r="F879" s="52"/>
      <c r="G879" s="52"/>
      <c r="H879" s="52"/>
      <c r="I879" s="52"/>
      <c r="J879" s="52"/>
      <c r="K879" s="52"/>
      <c r="L879" s="52"/>
      <c r="M879" s="52"/>
      <c r="N879" s="52"/>
      <c r="O879" s="52"/>
      <c r="P879" s="52"/>
      <c r="Q879" s="52"/>
      <c r="R879" s="52"/>
      <c r="S879" s="52"/>
      <c r="T879" s="52"/>
      <c r="U879" s="52"/>
      <c r="V879" s="52"/>
      <c r="W879" s="52"/>
      <c r="X879" s="52"/>
      <c r="Y879" s="52"/>
      <c r="Z879" s="52"/>
      <c r="AA879" s="52"/>
      <c r="AB879" s="52"/>
      <c r="AC879" s="52"/>
      <c r="AD879" s="52"/>
      <c r="AE879" s="52"/>
      <c r="AF879" s="52"/>
      <c r="AG879" s="52"/>
      <c r="AH879" s="52"/>
      <c r="AI879" s="52"/>
      <c r="AJ879" s="52"/>
      <c r="AK879" s="52"/>
      <c r="AL879" s="52"/>
      <c r="AM879" s="52"/>
      <c r="AN879" s="52"/>
      <c r="AO879" s="52"/>
      <c r="AP879" s="52"/>
      <c r="AQ879" s="52"/>
    </row>
    <row r="880" spans="1:43">
      <c r="A880" s="150"/>
      <c r="B880" s="477"/>
      <c r="C880" s="125"/>
      <c r="D880" s="478"/>
      <c r="E880" s="478"/>
      <c r="F880" s="52"/>
      <c r="G880" s="52"/>
      <c r="H880" s="52"/>
      <c r="I880" s="52"/>
      <c r="J880" s="52"/>
      <c r="K880" s="52"/>
      <c r="L880" s="52"/>
      <c r="M880" s="52"/>
      <c r="N880" s="52"/>
      <c r="O880" s="52"/>
      <c r="P880" s="52"/>
      <c r="Q880" s="52"/>
      <c r="R880" s="52"/>
      <c r="S880" s="52"/>
      <c r="T880" s="52"/>
      <c r="U880" s="52"/>
      <c r="V880" s="52"/>
      <c r="W880" s="52"/>
      <c r="X880" s="52"/>
      <c r="Y880" s="52"/>
      <c r="Z880" s="52"/>
      <c r="AA880" s="52"/>
      <c r="AB880" s="52"/>
      <c r="AC880" s="52"/>
      <c r="AD880" s="52"/>
      <c r="AE880" s="52"/>
      <c r="AF880" s="52"/>
      <c r="AG880" s="52"/>
      <c r="AH880" s="52"/>
      <c r="AI880" s="52"/>
      <c r="AJ880" s="52"/>
      <c r="AK880" s="52"/>
      <c r="AL880" s="52"/>
      <c r="AM880" s="52"/>
      <c r="AN880" s="52"/>
      <c r="AO880" s="52"/>
      <c r="AP880" s="52"/>
      <c r="AQ880" s="52"/>
    </row>
    <row r="881" spans="1:43">
      <c r="A881" s="150"/>
      <c r="B881" s="477"/>
      <c r="C881" s="125"/>
      <c r="D881" s="478"/>
      <c r="E881" s="478"/>
      <c r="F881" s="52"/>
      <c r="G881" s="52"/>
      <c r="H881" s="52"/>
      <c r="I881" s="52"/>
      <c r="J881" s="52"/>
      <c r="K881" s="52"/>
      <c r="L881" s="52"/>
      <c r="M881" s="52"/>
      <c r="N881" s="52"/>
      <c r="O881" s="52"/>
      <c r="P881" s="52"/>
      <c r="Q881" s="52"/>
      <c r="R881" s="52"/>
      <c r="S881" s="52"/>
      <c r="T881" s="52"/>
      <c r="U881" s="52"/>
      <c r="V881" s="52"/>
      <c r="W881" s="52"/>
      <c r="X881" s="52"/>
      <c r="Y881" s="52"/>
      <c r="Z881" s="52"/>
      <c r="AA881" s="52"/>
      <c r="AB881" s="52"/>
      <c r="AC881" s="52"/>
      <c r="AD881" s="52"/>
      <c r="AE881" s="52"/>
      <c r="AF881" s="52"/>
      <c r="AG881" s="52"/>
      <c r="AH881" s="52"/>
      <c r="AI881" s="52"/>
      <c r="AJ881" s="52"/>
      <c r="AK881" s="52"/>
      <c r="AL881" s="52"/>
      <c r="AM881" s="52"/>
      <c r="AN881" s="52"/>
      <c r="AO881" s="52"/>
      <c r="AP881" s="52"/>
      <c r="AQ881" s="52"/>
    </row>
    <row r="882" spans="1:43">
      <c r="A882" s="150"/>
      <c r="B882" s="477"/>
      <c r="C882" s="125"/>
      <c r="D882" s="478"/>
      <c r="E882" s="478"/>
      <c r="F882" s="52"/>
      <c r="G882" s="52"/>
      <c r="H882" s="52"/>
      <c r="I882" s="52"/>
      <c r="J882" s="52"/>
      <c r="K882" s="52"/>
      <c r="L882" s="52"/>
      <c r="M882" s="52"/>
      <c r="N882" s="52"/>
      <c r="O882" s="52"/>
      <c r="P882" s="52"/>
      <c r="Q882" s="52"/>
      <c r="R882" s="52"/>
      <c r="S882" s="52"/>
      <c r="T882" s="52"/>
      <c r="U882" s="52"/>
      <c r="V882" s="52"/>
      <c r="W882" s="52"/>
      <c r="X882" s="52"/>
      <c r="Y882" s="52"/>
      <c r="Z882" s="52"/>
      <c r="AA882" s="52"/>
      <c r="AB882" s="52"/>
      <c r="AC882" s="52"/>
      <c r="AD882" s="52"/>
      <c r="AE882" s="52"/>
      <c r="AF882" s="52"/>
      <c r="AG882" s="52"/>
      <c r="AH882" s="52"/>
      <c r="AI882" s="52"/>
      <c r="AJ882" s="52"/>
      <c r="AK882" s="52"/>
      <c r="AL882" s="52"/>
      <c r="AM882" s="52"/>
      <c r="AN882" s="52"/>
      <c r="AO882" s="52"/>
      <c r="AP882" s="52"/>
      <c r="AQ882" s="52"/>
    </row>
    <row r="883" spans="1:43">
      <c r="A883" s="150"/>
      <c r="B883" s="477"/>
      <c r="C883" s="125"/>
      <c r="D883" s="478"/>
      <c r="E883" s="478"/>
      <c r="F883" s="52"/>
      <c r="G883" s="52"/>
      <c r="H883" s="52"/>
      <c r="I883" s="52"/>
      <c r="J883" s="52"/>
      <c r="K883" s="52"/>
      <c r="L883" s="52"/>
      <c r="M883" s="52"/>
      <c r="N883" s="52"/>
      <c r="O883" s="52"/>
      <c r="P883" s="52"/>
      <c r="Q883" s="52"/>
      <c r="R883" s="52"/>
      <c r="S883" s="52"/>
      <c r="T883" s="52"/>
      <c r="U883" s="52"/>
      <c r="V883" s="52"/>
      <c r="W883" s="52"/>
      <c r="X883" s="52"/>
      <c r="Y883" s="52"/>
      <c r="Z883" s="52"/>
      <c r="AA883" s="52"/>
      <c r="AB883" s="52"/>
      <c r="AC883" s="52"/>
      <c r="AD883" s="52"/>
      <c r="AE883" s="52"/>
      <c r="AF883" s="52"/>
      <c r="AG883" s="52"/>
      <c r="AH883" s="52"/>
      <c r="AI883" s="52"/>
      <c r="AJ883" s="52"/>
      <c r="AK883" s="52"/>
      <c r="AL883" s="52"/>
      <c r="AM883" s="52"/>
      <c r="AN883" s="52"/>
      <c r="AO883" s="52"/>
      <c r="AP883" s="52"/>
      <c r="AQ883" s="52"/>
    </row>
    <row r="884" spans="1:43">
      <c r="A884" s="150"/>
      <c r="B884" s="477"/>
      <c r="C884" s="125"/>
      <c r="D884" s="478"/>
      <c r="E884" s="478"/>
      <c r="F884" s="52"/>
      <c r="G884" s="52"/>
      <c r="H884" s="52"/>
      <c r="I884" s="52"/>
      <c r="J884" s="52"/>
      <c r="K884" s="52"/>
      <c r="L884" s="52"/>
      <c r="M884" s="52"/>
      <c r="N884" s="52"/>
      <c r="O884" s="52"/>
      <c r="P884" s="52"/>
      <c r="Q884" s="52"/>
      <c r="R884" s="52"/>
      <c r="S884" s="52"/>
      <c r="T884" s="52"/>
      <c r="U884" s="52"/>
      <c r="V884" s="52"/>
      <c r="W884" s="52"/>
      <c r="X884" s="52"/>
      <c r="Y884" s="52"/>
      <c r="Z884" s="52"/>
      <c r="AA884" s="52"/>
      <c r="AB884" s="52"/>
      <c r="AC884" s="52"/>
      <c r="AD884" s="52"/>
      <c r="AE884" s="52"/>
      <c r="AF884" s="52"/>
      <c r="AG884" s="52"/>
      <c r="AH884" s="52"/>
      <c r="AI884" s="52"/>
      <c r="AJ884" s="52"/>
      <c r="AK884" s="52"/>
      <c r="AL884" s="52"/>
      <c r="AM884" s="52"/>
      <c r="AN884" s="52"/>
      <c r="AO884" s="52"/>
      <c r="AP884" s="52"/>
      <c r="AQ884" s="52"/>
    </row>
    <row r="885" spans="1:43">
      <c r="A885" s="150"/>
      <c r="B885" s="477"/>
      <c r="C885" s="125"/>
      <c r="D885" s="478"/>
      <c r="E885" s="478"/>
      <c r="F885" s="52"/>
      <c r="G885" s="52"/>
      <c r="H885" s="52"/>
      <c r="I885" s="52"/>
      <c r="J885" s="52"/>
      <c r="K885" s="52"/>
      <c r="L885" s="52"/>
      <c r="M885" s="52"/>
      <c r="N885" s="52"/>
      <c r="O885" s="52"/>
      <c r="P885" s="52"/>
      <c r="Q885" s="52"/>
      <c r="R885" s="52"/>
      <c r="S885" s="52"/>
      <c r="T885" s="52"/>
      <c r="U885" s="52"/>
      <c r="V885" s="52"/>
      <c r="W885" s="52"/>
      <c r="X885" s="52"/>
      <c r="Y885" s="52"/>
      <c r="Z885" s="52"/>
      <c r="AA885" s="52"/>
      <c r="AB885" s="52"/>
      <c r="AC885" s="52"/>
      <c r="AD885" s="52"/>
      <c r="AE885" s="52"/>
      <c r="AF885" s="52"/>
      <c r="AG885" s="52"/>
      <c r="AH885" s="52"/>
      <c r="AI885" s="52"/>
      <c r="AJ885" s="52"/>
      <c r="AK885" s="52"/>
      <c r="AL885" s="52"/>
      <c r="AM885" s="52"/>
      <c r="AN885" s="52"/>
      <c r="AO885" s="52"/>
      <c r="AP885" s="52"/>
      <c r="AQ885" s="52"/>
    </row>
    <row r="886" spans="1:43">
      <c r="A886" s="150"/>
      <c r="B886" s="477"/>
      <c r="C886" s="125"/>
      <c r="D886" s="478"/>
      <c r="E886" s="478"/>
      <c r="F886" s="52"/>
      <c r="G886" s="52"/>
      <c r="H886" s="52"/>
      <c r="I886" s="52"/>
      <c r="J886" s="52"/>
      <c r="K886" s="52"/>
      <c r="L886" s="52"/>
      <c r="M886" s="52"/>
      <c r="N886" s="52"/>
      <c r="O886" s="52"/>
      <c r="P886" s="52"/>
      <c r="Q886" s="52"/>
      <c r="R886" s="52"/>
      <c r="S886" s="52"/>
      <c r="T886" s="52"/>
      <c r="U886" s="52"/>
      <c r="V886" s="52"/>
      <c r="W886" s="52"/>
      <c r="X886" s="52"/>
      <c r="Y886" s="52"/>
      <c r="Z886" s="52"/>
      <c r="AA886" s="52"/>
      <c r="AB886" s="52"/>
      <c r="AC886" s="52"/>
      <c r="AD886" s="52"/>
      <c r="AE886" s="52"/>
      <c r="AF886" s="52"/>
      <c r="AG886" s="52"/>
      <c r="AH886" s="52"/>
      <c r="AI886" s="52"/>
      <c r="AJ886" s="52"/>
      <c r="AK886" s="52"/>
      <c r="AL886" s="52"/>
      <c r="AM886" s="52"/>
      <c r="AN886" s="52"/>
      <c r="AO886" s="52"/>
      <c r="AP886" s="52"/>
      <c r="AQ886" s="52"/>
    </row>
    <row r="887" spans="1:43">
      <c r="A887" s="150"/>
      <c r="B887" s="477"/>
      <c r="C887" s="125"/>
      <c r="D887" s="478"/>
      <c r="E887" s="478"/>
      <c r="F887" s="52"/>
      <c r="G887" s="52"/>
      <c r="H887" s="52"/>
      <c r="I887" s="52"/>
      <c r="J887" s="52"/>
      <c r="K887" s="52"/>
      <c r="L887" s="52"/>
      <c r="M887" s="52"/>
      <c r="N887" s="52"/>
      <c r="O887" s="52"/>
      <c r="P887" s="52"/>
      <c r="Q887" s="52"/>
      <c r="R887" s="52"/>
      <c r="S887" s="52"/>
      <c r="T887" s="52"/>
      <c r="U887" s="52"/>
      <c r="V887" s="52"/>
      <c r="W887" s="52"/>
      <c r="X887" s="52"/>
      <c r="Y887" s="52"/>
      <c r="Z887" s="52"/>
      <c r="AA887" s="52"/>
      <c r="AB887" s="52"/>
      <c r="AC887" s="52"/>
      <c r="AD887" s="52"/>
      <c r="AE887" s="52"/>
      <c r="AF887" s="52"/>
      <c r="AG887" s="52"/>
      <c r="AH887" s="52"/>
      <c r="AI887" s="52"/>
      <c r="AJ887" s="52"/>
      <c r="AK887" s="52"/>
      <c r="AL887" s="52"/>
      <c r="AM887" s="52"/>
      <c r="AN887" s="52"/>
      <c r="AO887" s="52"/>
      <c r="AP887" s="52"/>
      <c r="AQ887" s="52"/>
    </row>
    <row r="888" spans="1:43">
      <c r="A888" s="150"/>
      <c r="B888" s="477"/>
      <c r="C888" s="125"/>
      <c r="D888" s="478"/>
      <c r="E888" s="478"/>
      <c r="F888" s="52"/>
      <c r="G888" s="52"/>
      <c r="H888" s="52"/>
      <c r="I888" s="52"/>
      <c r="J888" s="52"/>
      <c r="K888" s="52"/>
      <c r="L888" s="52"/>
      <c r="M888" s="52"/>
      <c r="N888" s="52"/>
      <c r="O888" s="52"/>
      <c r="P888" s="52"/>
      <c r="Q888" s="52"/>
      <c r="R888" s="52"/>
      <c r="S888" s="52"/>
      <c r="T888" s="52"/>
      <c r="U888" s="52"/>
      <c r="V888" s="52"/>
      <c r="W888" s="52"/>
      <c r="X888" s="52"/>
      <c r="Y888" s="52"/>
      <c r="Z888" s="52"/>
      <c r="AA888" s="52"/>
      <c r="AB888" s="52"/>
      <c r="AC888" s="52"/>
      <c r="AD888" s="52"/>
      <c r="AE888" s="52"/>
      <c r="AF888" s="52"/>
      <c r="AG888" s="52"/>
      <c r="AH888" s="52"/>
      <c r="AI888" s="52"/>
      <c r="AJ888" s="52"/>
      <c r="AK888" s="52"/>
      <c r="AL888" s="52"/>
      <c r="AM888" s="52"/>
      <c r="AN888" s="52"/>
      <c r="AO888" s="52"/>
      <c r="AP888" s="52"/>
      <c r="AQ888" s="52"/>
    </row>
    <row r="889" spans="1:43">
      <c r="A889" s="150"/>
      <c r="B889" s="477"/>
      <c r="C889" s="125"/>
      <c r="D889" s="478"/>
      <c r="E889" s="478"/>
      <c r="F889" s="52"/>
      <c r="G889" s="52"/>
      <c r="H889" s="52"/>
      <c r="I889" s="52"/>
      <c r="J889" s="52"/>
      <c r="K889" s="52"/>
      <c r="L889" s="52"/>
      <c r="M889" s="52"/>
      <c r="N889" s="52"/>
      <c r="O889" s="52"/>
      <c r="P889" s="52"/>
      <c r="Q889" s="52"/>
      <c r="R889" s="52"/>
      <c r="S889" s="52"/>
      <c r="T889" s="52"/>
      <c r="U889" s="52"/>
      <c r="V889" s="52"/>
      <c r="W889" s="52"/>
      <c r="X889" s="52"/>
      <c r="Y889" s="52"/>
      <c r="Z889" s="52"/>
      <c r="AA889" s="52"/>
      <c r="AB889" s="52"/>
      <c r="AC889" s="52"/>
      <c r="AD889" s="52"/>
      <c r="AE889" s="52"/>
      <c r="AF889" s="52"/>
      <c r="AG889" s="52"/>
      <c r="AH889" s="52"/>
      <c r="AI889" s="52"/>
      <c r="AJ889" s="52"/>
      <c r="AK889" s="52"/>
      <c r="AL889" s="52"/>
      <c r="AM889" s="52"/>
      <c r="AN889" s="52"/>
      <c r="AO889" s="52"/>
      <c r="AP889" s="52"/>
      <c r="AQ889" s="52"/>
    </row>
    <row r="890" spans="1:43">
      <c r="A890" s="150"/>
      <c r="B890" s="477"/>
      <c r="C890" s="125"/>
      <c r="D890" s="478"/>
      <c r="E890" s="478"/>
      <c r="F890" s="52"/>
      <c r="G890" s="52"/>
      <c r="H890" s="52"/>
      <c r="I890" s="52"/>
      <c r="J890" s="52"/>
      <c r="K890" s="52"/>
      <c r="L890" s="52"/>
      <c r="M890" s="52"/>
      <c r="N890" s="52"/>
      <c r="O890" s="52"/>
      <c r="P890" s="52"/>
      <c r="Q890" s="52"/>
      <c r="R890" s="52"/>
      <c r="S890" s="52"/>
      <c r="T890" s="52"/>
      <c r="U890" s="52"/>
      <c r="V890" s="52"/>
      <c r="W890" s="52"/>
      <c r="X890" s="52"/>
      <c r="Y890" s="52"/>
      <c r="Z890" s="52"/>
      <c r="AA890" s="52"/>
      <c r="AB890" s="52"/>
      <c r="AC890" s="52"/>
      <c r="AD890" s="52"/>
      <c r="AE890" s="52"/>
      <c r="AF890" s="52"/>
      <c r="AG890" s="52"/>
      <c r="AH890" s="52"/>
      <c r="AI890" s="52"/>
      <c r="AJ890" s="52"/>
      <c r="AK890" s="52"/>
      <c r="AL890" s="52"/>
      <c r="AM890" s="52"/>
      <c r="AN890" s="52"/>
      <c r="AO890" s="52"/>
      <c r="AP890" s="52"/>
      <c r="AQ890" s="52"/>
    </row>
    <row r="891" spans="1:43">
      <c r="A891" s="150"/>
      <c r="B891" s="477"/>
      <c r="C891" s="125"/>
      <c r="D891" s="478"/>
      <c r="E891" s="478"/>
      <c r="F891" s="52"/>
      <c r="G891" s="52"/>
      <c r="H891" s="52"/>
      <c r="I891" s="52"/>
      <c r="J891" s="52"/>
      <c r="K891" s="52"/>
      <c r="L891" s="52"/>
      <c r="M891" s="52"/>
      <c r="N891" s="52"/>
      <c r="O891" s="52"/>
      <c r="P891" s="52"/>
      <c r="Q891" s="52"/>
      <c r="R891" s="52"/>
      <c r="S891" s="52"/>
      <c r="T891" s="52"/>
      <c r="U891" s="52"/>
      <c r="V891" s="52"/>
      <c r="W891" s="52"/>
      <c r="X891" s="52"/>
      <c r="Y891" s="52"/>
      <c r="Z891" s="52"/>
      <c r="AA891" s="52"/>
      <c r="AB891" s="52"/>
      <c r="AC891" s="52"/>
      <c r="AD891" s="52"/>
      <c r="AE891" s="52"/>
      <c r="AF891" s="52"/>
      <c r="AG891" s="52"/>
      <c r="AH891" s="52"/>
      <c r="AI891" s="52"/>
      <c r="AJ891" s="52"/>
      <c r="AK891" s="52"/>
      <c r="AL891" s="52"/>
      <c r="AM891" s="52"/>
      <c r="AN891" s="52"/>
      <c r="AO891" s="52"/>
      <c r="AP891" s="52"/>
      <c r="AQ891" s="52"/>
    </row>
    <row r="892" spans="1:43">
      <c r="A892" s="150"/>
      <c r="B892" s="477"/>
      <c r="C892" s="125"/>
      <c r="D892" s="478"/>
      <c r="E892" s="478"/>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c r="AG892" s="52"/>
      <c r="AH892" s="52"/>
      <c r="AI892" s="52"/>
      <c r="AJ892" s="52"/>
      <c r="AK892" s="52"/>
      <c r="AL892" s="52"/>
      <c r="AM892" s="52"/>
      <c r="AN892" s="52"/>
      <c r="AO892" s="52"/>
      <c r="AP892" s="52"/>
      <c r="AQ892" s="52"/>
    </row>
    <row r="893" spans="1:43">
      <c r="A893" s="150"/>
      <c r="B893" s="477"/>
      <c r="C893" s="125"/>
      <c r="D893" s="478"/>
      <c r="E893" s="478"/>
      <c r="F893" s="52"/>
      <c r="G893" s="5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c r="AG893" s="52"/>
      <c r="AH893" s="52"/>
      <c r="AI893" s="52"/>
      <c r="AJ893" s="52"/>
      <c r="AK893" s="52"/>
      <c r="AL893" s="52"/>
      <c r="AM893" s="52"/>
      <c r="AN893" s="52"/>
      <c r="AO893" s="52"/>
      <c r="AP893" s="52"/>
      <c r="AQ893" s="52"/>
    </row>
    <row r="894" spans="1:43">
      <c r="A894" s="150"/>
      <c r="B894" s="477"/>
      <c r="C894" s="125"/>
      <c r="D894" s="478"/>
      <c r="E894" s="478"/>
      <c r="F894" s="52"/>
      <c r="G894" s="52"/>
      <c r="H894" s="52"/>
      <c r="I894" s="52"/>
      <c r="J894" s="52"/>
      <c r="K894" s="52"/>
      <c r="L894" s="52"/>
      <c r="M894" s="52"/>
      <c r="N894" s="52"/>
      <c r="O894" s="52"/>
      <c r="P894" s="52"/>
      <c r="Q894" s="52"/>
      <c r="R894" s="52"/>
      <c r="S894" s="52"/>
      <c r="T894" s="52"/>
      <c r="U894" s="52"/>
      <c r="V894" s="52"/>
      <c r="W894" s="52"/>
      <c r="X894" s="52"/>
      <c r="Y894" s="52"/>
      <c r="Z894" s="52"/>
      <c r="AA894" s="52"/>
      <c r="AB894" s="52"/>
      <c r="AC894" s="52"/>
      <c r="AD894" s="52"/>
      <c r="AE894" s="52"/>
      <c r="AF894" s="52"/>
      <c r="AG894" s="52"/>
      <c r="AH894" s="52"/>
      <c r="AI894" s="52"/>
      <c r="AJ894" s="52"/>
      <c r="AK894" s="52"/>
      <c r="AL894" s="52"/>
      <c r="AM894" s="52"/>
      <c r="AN894" s="52"/>
      <c r="AO894" s="52"/>
      <c r="AP894" s="52"/>
      <c r="AQ894" s="52"/>
    </row>
    <row r="895" spans="1:43">
      <c r="A895" s="150"/>
      <c r="B895" s="477"/>
      <c r="C895" s="125"/>
      <c r="D895" s="478"/>
      <c r="E895" s="478"/>
      <c r="F895" s="52"/>
      <c r="G895" s="52"/>
      <c r="H895" s="52"/>
      <c r="I895" s="52"/>
      <c r="J895" s="52"/>
      <c r="K895" s="52"/>
      <c r="L895" s="52"/>
      <c r="M895" s="52"/>
      <c r="N895" s="52"/>
      <c r="O895" s="52"/>
      <c r="P895" s="52"/>
      <c r="Q895" s="52"/>
      <c r="R895" s="52"/>
      <c r="S895" s="52"/>
      <c r="T895" s="52"/>
      <c r="U895" s="52"/>
      <c r="V895" s="52"/>
      <c r="W895" s="52"/>
      <c r="X895" s="52"/>
      <c r="Y895" s="52"/>
      <c r="Z895" s="52"/>
      <c r="AA895" s="52"/>
      <c r="AB895" s="52"/>
      <c r="AC895" s="52"/>
      <c r="AD895" s="52"/>
      <c r="AE895" s="52"/>
      <c r="AF895" s="52"/>
      <c r="AG895" s="52"/>
      <c r="AH895" s="52"/>
      <c r="AI895" s="52"/>
      <c r="AJ895" s="52"/>
      <c r="AK895" s="52"/>
      <c r="AL895" s="52"/>
      <c r="AM895" s="52"/>
      <c r="AN895" s="52"/>
      <c r="AO895" s="52"/>
      <c r="AP895" s="52"/>
      <c r="AQ895" s="52"/>
    </row>
    <row r="896" spans="1:43">
      <c r="A896" s="150"/>
      <c r="B896" s="477"/>
      <c r="C896" s="125"/>
      <c r="D896" s="478"/>
      <c r="E896" s="478"/>
      <c r="F896" s="52"/>
      <c r="G896" s="52"/>
      <c r="H896" s="52"/>
      <c r="I896" s="52"/>
      <c r="J896" s="52"/>
      <c r="K896" s="52"/>
      <c r="L896" s="52"/>
      <c r="M896" s="52"/>
      <c r="N896" s="52"/>
      <c r="O896" s="52"/>
      <c r="P896" s="52"/>
      <c r="Q896" s="52"/>
      <c r="R896" s="52"/>
      <c r="S896" s="52"/>
      <c r="T896" s="52"/>
      <c r="U896" s="52"/>
      <c r="V896" s="52"/>
      <c r="W896" s="52"/>
      <c r="X896" s="52"/>
      <c r="Y896" s="52"/>
      <c r="Z896" s="52"/>
      <c r="AA896" s="52"/>
      <c r="AB896" s="52"/>
      <c r="AC896" s="52"/>
      <c r="AD896" s="52"/>
      <c r="AE896" s="52"/>
      <c r="AF896" s="52"/>
      <c r="AG896" s="52"/>
      <c r="AH896" s="52"/>
      <c r="AI896" s="52"/>
      <c r="AJ896" s="52"/>
      <c r="AK896" s="52"/>
      <c r="AL896" s="52"/>
      <c r="AM896" s="52"/>
      <c r="AN896" s="52"/>
      <c r="AO896" s="52"/>
      <c r="AP896" s="52"/>
      <c r="AQ896" s="52"/>
    </row>
    <row r="897" spans="1:43">
      <c r="A897" s="150"/>
      <c r="B897" s="477"/>
      <c r="C897" s="125"/>
      <c r="D897" s="478"/>
      <c r="E897" s="478"/>
      <c r="F897" s="52"/>
      <c r="G897" s="52"/>
      <c r="H897" s="52"/>
      <c r="I897" s="52"/>
      <c r="J897" s="52"/>
      <c r="K897" s="52"/>
      <c r="L897" s="52"/>
      <c r="M897" s="52"/>
      <c r="N897" s="52"/>
      <c r="O897" s="52"/>
      <c r="P897" s="52"/>
      <c r="Q897" s="52"/>
      <c r="R897" s="52"/>
      <c r="S897" s="52"/>
      <c r="T897" s="52"/>
      <c r="U897" s="52"/>
      <c r="V897" s="52"/>
      <c r="W897" s="52"/>
      <c r="X897" s="52"/>
      <c r="Y897" s="52"/>
      <c r="Z897" s="52"/>
      <c r="AA897" s="52"/>
      <c r="AB897" s="52"/>
      <c r="AC897" s="52"/>
      <c r="AD897" s="52"/>
      <c r="AE897" s="52"/>
      <c r="AF897" s="52"/>
      <c r="AG897" s="52"/>
      <c r="AH897" s="52"/>
      <c r="AI897" s="52"/>
      <c r="AJ897" s="52"/>
      <c r="AK897" s="52"/>
      <c r="AL897" s="52"/>
      <c r="AM897" s="52"/>
      <c r="AN897" s="52"/>
      <c r="AO897" s="52"/>
      <c r="AP897" s="52"/>
      <c r="AQ897" s="52"/>
    </row>
    <row r="898" spans="1:43">
      <c r="A898" s="150"/>
      <c r="B898" s="477"/>
      <c r="C898" s="125"/>
      <c r="D898" s="478"/>
      <c r="E898" s="478"/>
      <c r="F898" s="52"/>
      <c r="G898" s="52"/>
      <c r="H898" s="52"/>
      <c r="I898" s="52"/>
      <c r="J898" s="52"/>
      <c r="K898" s="52"/>
      <c r="L898" s="52"/>
      <c r="M898" s="52"/>
      <c r="N898" s="52"/>
      <c r="O898" s="52"/>
      <c r="P898" s="52"/>
      <c r="Q898" s="52"/>
      <c r="R898" s="52"/>
      <c r="S898" s="52"/>
      <c r="T898" s="52"/>
      <c r="U898" s="52"/>
      <c r="V898" s="52"/>
      <c r="W898" s="52"/>
      <c r="X898" s="52"/>
      <c r="Y898" s="52"/>
      <c r="Z898" s="52"/>
      <c r="AA898" s="52"/>
      <c r="AB898" s="52"/>
      <c r="AC898" s="52"/>
      <c r="AD898" s="52"/>
      <c r="AE898" s="52"/>
      <c r="AF898" s="52"/>
      <c r="AG898" s="52"/>
      <c r="AH898" s="52"/>
      <c r="AI898" s="52"/>
      <c r="AJ898" s="52"/>
      <c r="AK898" s="52"/>
      <c r="AL898" s="52"/>
      <c r="AM898" s="52"/>
      <c r="AN898" s="52"/>
      <c r="AO898" s="52"/>
      <c r="AP898" s="52"/>
      <c r="AQ898" s="52"/>
    </row>
    <row r="899" spans="1:43">
      <c r="A899" s="150"/>
      <c r="B899" s="477"/>
      <c r="C899" s="125"/>
      <c r="D899" s="478"/>
      <c r="E899" s="478"/>
      <c r="F899" s="52"/>
      <c r="G899" s="52"/>
      <c r="H899" s="52"/>
      <c r="I899" s="52"/>
      <c r="J899" s="52"/>
      <c r="K899" s="52"/>
      <c r="L899" s="52"/>
      <c r="M899" s="52"/>
      <c r="N899" s="52"/>
      <c r="O899" s="52"/>
      <c r="P899" s="52"/>
      <c r="Q899" s="52"/>
      <c r="R899" s="52"/>
      <c r="S899" s="52"/>
      <c r="T899" s="52"/>
      <c r="U899" s="52"/>
      <c r="V899" s="52"/>
      <c r="W899" s="52"/>
      <c r="X899" s="52"/>
      <c r="Y899" s="52"/>
      <c r="Z899" s="52"/>
      <c r="AA899" s="52"/>
      <c r="AB899" s="52"/>
      <c r="AC899" s="52"/>
      <c r="AD899" s="52"/>
      <c r="AE899" s="52"/>
      <c r="AF899" s="52"/>
      <c r="AG899" s="52"/>
      <c r="AH899" s="52"/>
      <c r="AI899" s="52"/>
      <c r="AJ899" s="52"/>
      <c r="AK899" s="52"/>
      <c r="AL899" s="52"/>
      <c r="AM899" s="52"/>
      <c r="AN899" s="52"/>
      <c r="AO899" s="52"/>
      <c r="AP899" s="52"/>
      <c r="AQ899" s="52"/>
    </row>
    <row r="900" spans="1:43">
      <c r="A900" s="150"/>
      <c r="B900" s="477"/>
      <c r="C900" s="125"/>
      <c r="D900" s="478"/>
      <c r="E900" s="478"/>
      <c r="F900" s="52"/>
      <c r="G900" s="52"/>
      <c r="H900" s="52"/>
      <c r="I900" s="52"/>
      <c r="J900" s="52"/>
      <c r="K900" s="52"/>
      <c r="L900" s="52"/>
      <c r="M900" s="52"/>
      <c r="N900" s="52"/>
      <c r="O900" s="52"/>
      <c r="P900" s="52"/>
      <c r="Q900" s="52"/>
      <c r="R900" s="52"/>
      <c r="S900" s="52"/>
      <c r="T900" s="52"/>
      <c r="U900" s="52"/>
      <c r="V900" s="52"/>
      <c r="W900" s="52"/>
      <c r="X900" s="52"/>
      <c r="Y900" s="52"/>
      <c r="Z900" s="52"/>
      <c r="AA900" s="52"/>
      <c r="AB900" s="52"/>
      <c r="AC900" s="52"/>
      <c r="AD900" s="52"/>
      <c r="AE900" s="52"/>
      <c r="AF900" s="52"/>
      <c r="AG900" s="52"/>
      <c r="AH900" s="52"/>
      <c r="AI900" s="52"/>
      <c r="AJ900" s="52"/>
      <c r="AK900" s="52"/>
      <c r="AL900" s="52"/>
      <c r="AM900" s="52"/>
      <c r="AN900" s="52"/>
      <c r="AO900" s="52"/>
      <c r="AP900" s="52"/>
      <c r="AQ900" s="52"/>
    </row>
    <row r="901" spans="1:43">
      <c r="A901" s="150"/>
      <c r="B901" s="477"/>
      <c r="C901" s="125"/>
      <c r="D901" s="478"/>
      <c r="E901" s="478"/>
      <c r="F901" s="52"/>
      <c r="G901" s="52"/>
      <c r="H901" s="52"/>
      <c r="I901" s="52"/>
      <c r="J901" s="52"/>
      <c r="K901" s="52"/>
      <c r="L901" s="52"/>
      <c r="M901" s="52"/>
      <c r="N901" s="52"/>
      <c r="O901" s="52"/>
      <c r="P901" s="52"/>
      <c r="Q901" s="52"/>
      <c r="R901" s="52"/>
      <c r="S901" s="52"/>
      <c r="T901" s="52"/>
      <c r="U901" s="52"/>
      <c r="V901" s="52"/>
      <c r="W901" s="52"/>
      <c r="X901" s="52"/>
      <c r="Y901" s="52"/>
      <c r="Z901" s="52"/>
      <c r="AA901" s="52"/>
      <c r="AB901" s="52"/>
      <c r="AC901" s="52"/>
      <c r="AD901" s="52"/>
      <c r="AE901" s="52"/>
      <c r="AF901" s="52"/>
      <c r="AG901" s="52"/>
      <c r="AH901" s="52"/>
      <c r="AI901" s="52"/>
      <c r="AJ901" s="52"/>
      <c r="AK901" s="52"/>
      <c r="AL901" s="52"/>
      <c r="AM901" s="52"/>
      <c r="AN901" s="52"/>
      <c r="AO901" s="52"/>
      <c r="AP901" s="52"/>
      <c r="AQ901" s="52"/>
    </row>
    <row r="902" spans="1:43">
      <c r="A902" s="150"/>
      <c r="B902" s="477"/>
      <c r="C902" s="125"/>
      <c r="D902" s="478"/>
      <c r="E902" s="478"/>
      <c r="F902" s="52"/>
      <c r="G902" s="52"/>
      <c r="H902" s="52"/>
      <c r="I902" s="52"/>
      <c r="J902" s="52"/>
      <c r="K902" s="52"/>
      <c r="L902" s="52"/>
      <c r="M902" s="52"/>
      <c r="N902" s="52"/>
      <c r="O902" s="52"/>
      <c r="P902" s="52"/>
      <c r="Q902" s="52"/>
      <c r="R902" s="52"/>
      <c r="S902" s="52"/>
      <c r="T902" s="52"/>
      <c r="U902" s="52"/>
      <c r="V902" s="52"/>
      <c r="W902" s="52"/>
      <c r="X902" s="52"/>
      <c r="Y902" s="52"/>
      <c r="Z902" s="52"/>
      <c r="AA902" s="52"/>
      <c r="AB902" s="52"/>
      <c r="AC902" s="52"/>
      <c r="AD902" s="52"/>
      <c r="AE902" s="52"/>
      <c r="AF902" s="52"/>
      <c r="AG902" s="52"/>
      <c r="AH902" s="52"/>
      <c r="AI902" s="52"/>
      <c r="AJ902" s="52"/>
      <c r="AK902" s="52"/>
      <c r="AL902" s="52"/>
      <c r="AM902" s="52"/>
      <c r="AN902" s="52"/>
      <c r="AO902" s="52"/>
      <c r="AP902" s="52"/>
      <c r="AQ902" s="52"/>
    </row>
    <row r="903" spans="1:43">
      <c r="A903" s="150"/>
      <c r="B903" s="477"/>
      <c r="C903" s="125"/>
      <c r="D903" s="478"/>
      <c r="E903" s="478"/>
      <c r="F903" s="52"/>
      <c r="G903" s="52"/>
      <c r="H903" s="52"/>
      <c r="I903" s="52"/>
      <c r="J903" s="52"/>
      <c r="K903" s="52"/>
      <c r="L903" s="52"/>
      <c r="M903" s="52"/>
      <c r="N903" s="52"/>
      <c r="O903" s="52"/>
      <c r="P903" s="52"/>
      <c r="Q903" s="52"/>
      <c r="R903" s="52"/>
      <c r="S903" s="52"/>
      <c r="T903" s="52"/>
      <c r="U903" s="52"/>
      <c r="V903" s="52"/>
      <c r="W903" s="52"/>
      <c r="X903" s="52"/>
      <c r="Y903" s="52"/>
      <c r="Z903" s="52"/>
      <c r="AA903" s="52"/>
      <c r="AB903" s="52"/>
      <c r="AC903" s="52"/>
      <c r="AD903" s="52"/>
      <c r="AE903" s="52"/>
      <c r="AF903" s="52"/>
      <c r="AG903" s="52"/>
      <c r="AH903" s="52"/>
      <c r="AI903" s="52"/>
      <c r="AJ903" s="52"/>
      <c r="AK903" s="52"/>
      <c r="AL903" s="52"/>
      <c r="AM903" s="52"/>
      <c r="AN903" s="52"/>
      <c r="AO903" s="52"/>
      <c r="AP903" s="52"/>
      <c r="AQ903" s="52"/>
    </row>
    <row r="904" spans="1:43">
      <c r="A904" s="150"/>
      <c r="B904" s="477"/>
      <c r="C904" s="125"/>
      <c r="D904" s="478"/>
      <c r="E904" s="478"/>
      <c r="F904" s="52"/>
      <c r="G904" s="52"/>
      <c r="H904" s="52"/>
      <c r="I904" s="52"/>
      <c r="J904" s="52"/>
      <c r="K904" s="52"/>
      <c r="L904" s="52"/>
      <c r="M904" s="52"/>
      <c r="N904" s="52"/>
      <c r="O904" s="52"/>
      <c r="P904" s="52"/>
      <c r="Q904" s="52"/>
      <c r="R904" s="52"/>
      <c r="S904" s="52"/>
      <c r="T904" s="52"/>
      <c r="U904" s="52"/>
      <c r="V904" s="52"/>
      <c r="W904" s="52"/>
      <c r="X904" s="52"/>
      <c r="Y904" s="52"/>
      <c r="Z904" s="52"/>
      <c r="AA904" s="52"/>
      <c r="AB904" s="52"/>
      <c r="AC904" s="52"/>
      <c r="AD904" s="52"/>
      <c r="AE904" s="52"/>
      <c r="AF904" s="52"/>
      <c r="AG904" s="52"/>
      <c r="AH904" s="52"/>
      <c r="AI904" s="52"/>
      <c r="AJ904" s="52"/>
      <c r="AK904" s="52"/>
      <c r="AL904" s="52"/>
      <c r="AM904" s="52"/>
      <c r="AN904" s="52"/>
      <c r="AO904" s="52"/>
      <c r="AP904" s="52"/>
      <c r="AQ904" s="52"/>
    </row>
    <row r="905" spans="1:43">
      <c r="A905" s="150"/>
      <c r="B905" s="477"/>
      <c r="C905" s="125"/>
      <c r="D905" s="478"/>
      <c r="E905" s="478"/>
      <c r="F905" s="52"/>
      <c r="G905" s="52"/>
      <c r="H905" s="52"/>
      <c r="I905" s="52"/>
      <c r="J905" s="52"/>
      <c r="K905" s="52"/>
      <c r="L905" s="52"/>
      <c r="M905" s="52"/>
      <c r="N905" s="52"/>
      <c r="O905" s="52"/>
      <c r="P905" s="52"/>
      <c r="Q905" s="52"/>
      <c r="R905" s="52"/>
      <c r="S905" s="52"/>
      <c r="T905" s="52"/>
      <c r="U905" s="52"/>
      <c r="V905" s="52"/>
      <c r="W905" s="52"/>
      <c r="X905" s="52"/>
      <c r="Y905" s="52"/>
      <c r="Z905" s="52"/>
      <c r="AA905" s="52"/>
      <c r="AB905" s="52"/>
      <c r="AC905" s="52"/>
      <c r="AD905" s="52"/>
      <c r="AE905" s="52"/>
      <c r="AF905" s="52"/>
      <c r="AG905" s="52"/>
      <c r="AH905" s="52"/>
      <c r="AI905" s="52"/>
      <c r="AJ905" s="52"/>
      <c r="AK905" s="52"/>
      <c r="AL905" s="52"/>
      <c r="AM905" s="52"/>
      <c r="AN905" s="52"/>
      <c r="AO905" s="52"/>
      <c r="AP905" s="52"/>
      <c r="AQ905" s="52"/>
    </row>
    <row r="906" spans="1:43">
      <c r="A906" s="150"/>
      <c r="B906" s="477"/>
      <c r="C906" s="125"/>
      <c r="D906" s="478"/>
      <c r="E906" s="478"/>
      <c r="F906" s="52"/>
      <c r="G906" s="52"/>
      <c r="H906" s="52"/>
      <c r="I906" s="52"/>
      <c r="J906" s="52"/>
      <c r="K906" s="52"/>
      <c r="L906" s="52"/>
      <c r="M906" s="52"/>
      <c r="N906" s="52"/>
      <c r="O906" s="52"/>
      <c r="P906" s="52"/>
      <c r="Q906" s="52"/>
      <c r="R906" s="52"/>
      <c r="S906" s="52"/>
      <c r="T906" s="52"/>
      <c r="U906" s="52"/>
      <c r="V906" s="52"/>
      <c r="W906" s="52"/>
      <c r="X906" s="52"/>
      <c r="Y906" s="52"/>
      <c r="Z906" s="52"/>
      <c r="AA906" s="52"/>
      <c r="AB906" s="52"/>
      <c r="AC906" s="52"/>
      <c r="AD906" s="52"/>
      <c r="AE906" s="52"/>
      <c r="AF906" s="52"/>
      <c r="AG906" s="52"/>
      <c r="AH906" s="52"/>
      <c r="AI906" s="52"/>
      <c r="AJ906" s="52"/>
      <c r="AK906" s="52"/>
      <c r="AL906" s="52"/>
      <c r="AM906" s="52"/>
      <c r="AN906" s="52"/>
      <c r="AO906" s="52"/>
      <c r="AP906" s="52"/>
      <c r="AQ906" s="52"/>
    </row>
    <row r="907" spans="1:43">
      <c r="A907" s="150"/>
      <c r="B907" s="477"/>
      <c r="C907" s="125"/>
      <c r="D907" s="478"/>
      <c r="E907" s="478"/>
      <c r="F907" s="52"/>
      <c r="G907" s="52"/>
      <c r="H907" s="52"/>
      <c r="I907" s="52"/>
      <c r="J907" s="52"/>
      <c r="K907" s="52"/>
      <c r="L907" s="52"/>
      <c r="M907" s="52"/>
      <c r="N907" s="52"/>
      <c r="O907" s="52"/>
      <c r="P907" s="52"/>
      <c r="Q907" s="52"/>
      <c r="R907" s="52"/>
      <c r="S907" s="52"/>
      <c r="T907" s="52"/>
      <c r="U907" s="52"/>
      <c r="V907" s="52"/>
      <c r="W907" s="52"/>
      <c r="X907" s="52"/>
      <c r="Y907" s="52"/>
      <c r="Z907" s="52"/>
      <c r="AA907" s="52"/>
      <c r="AB907" s="52"/>
      <c r="AC907" s="52"/>
      <c r="AD907" s="52"/>
      <c r="AE907" s="52"/>
      <c r="AF907" s="52"/>
      <c r="AG907" s="52"/>
      <c r="AH907" s="52"/>
      <c r="AI907" s="52"/>
      <c r="AJ907" s="52"/>
      <c r="AK907" s="52"/>
      <c r="AL907" s="52"/>
      <c r="AM907" s="52"/>
      <c r="AN907" s="52"/>
      <c r="AO907" s="52"/>
      <c r="AP907" s="52"/>
      <c r="AQ907" s="52"/>
    </row>
    <row r="908" spans="1:43">
      <c r="A908" s="150"/>
      <c r="B908" s="477"/>
      <c r="C908" s="125"/>
      <c r="D908" s="478"/>
      <c r="E908" s="478"/>
      <c r="F908" s="52"/>
      <c r="G908" s="52"/>
      <c r="H908" s="52"/>
      <c r="I908" s="52"/>
      <c r="J908" s="52"/>
      <c r="K908" s="52"/>
      <c r="L908" s="52"/>
      <c r="M908" s="52"/>
      <c r="N908" s="52"/>
      <c r="O908" s="52"/>
      <c r="P908" s="52"/>
      <c r="Q908" s="52"/>
      <c r="R908" s="52"/>
      <c r="S908" s="52"/>
      <c r="T908" s="52"/>
      <c r="U908" s="52"/>
      <c r="V908" s="52"/>
      <c r="W908" s="52"/>
      <c r="X908" s="52"/>
      <c r="Y908" s="52"/>
      <c r="Z908" s="52"/>
      <c r="AA908" s="52"/>
      <c r="AB908" s="52"/>
      <c r="AC908" s="52"/>
      <c r="AD908" s="52"/>
      <c r="AE908" s="52"/>
      <c r="AF908" s="52"/>
      <c r="AG908" s="52"/>
      <c r="AH908" s="52"/>
      <c r="AI908" s="52"/>
      <c r="AJ908" s="52"/>
      <c r="AK908" s="52"/>
      <c r="AL908" s="52"/>
      <c r="AM908" s="52"/>
      <c r="AN908" s="52"/>
      <c r="AO908" s="52"/>
      <c r="AP908" s="52"/>
      <c r="AQ908" s="52"/>
    </row>
    <row r="909" spans="1:43">
      <c r="A909" s="150"/>
      <c r="B909" s="477"/>
      <c r="C909" s="125"/>
      <c r="D909" s="478"/>
      <c r="E909" s="478"/>
      <c r="F909" s="52"/>
      <c r="G909" s="52"/>
      <c r="H909" s="52"/>
      <c r="I909" s="52"/>
      <c r="J909" s="52"/>
      <c r="K909" s="52"/>
      <c r="L909" s="52"/>
      <c r="M909" s="52"/>
      <c r="N909" s="52"/>
      <c r="O909" s="52"/>
      <c r="P909" s="52"/>
      <c r="Q909" s="52"/>
      <c r="R909" s="52"/>
      <c r="S909" s="52"/>
      <c r="T909" s="52"/>
      <c r="U909" s="52"/>
      <c r="V909" s="52"/>
      <c r="W909" s="52"/>
      <c r="X909" s="52"/>
      <c r="Y909" s="52"/>
      <c r="Z909" s="52"/>
      <c r="AA909" s="52"/>
      <c r="AB909" s="52"/>
      <c r="AC909" s="52"/>
      <c r="AD909" s="52"/>
      <c r="AE909" s="52"/>
      <c r="AF909" s="52"/>
      <c r="AG909" s="52"/>
      <c r="AH909" s="52"/>
      <c r="AI909" s="52"/>
      <c r="AJ909" s="52"/>
      <c r="AK909" s="52"/>
      <c r="AL909" s="52"/>
      <c r="AM909" s="52"/>
      <c r="AN909" s="52"/>
      <c r="AO909" s="52"/>
      <c r="AP909" s="52"/>
      <c r="AQ909" s="52"/>
    </row>
    <row r="910" spans="1:43">
      <c r="A910" s="150"/>
      <c r="B910" s="477"/>
      <c r="C910" s="125"/>
      <c r="D910" s="478"/>
      <c r="E910" s="478"/>
      <c r="F910" s="52"/>
      <c r="G910" s="52"/>
      <c r="H910" s="52"/>
      <c r="I910" s="52"/>
      <c r="J910" s="52"/>
      <c r="K910" s="52"/>
      <c r="L910" s="52"/>
      <c r="M910" s="52"/>
      <c r="N910" s="52"/>
      <c r="O910" s="52"/>
      <c r="P910" s="52"/>
      <c r="Q910" s="52"/>
      <c r="R910" s="52"/>
      <c r="S910" s="52"/>
      <c r="T910" s="52"/>
      <c r="U910" s="52"/>
      <c r="V910" s="52"/>
      <c r="W910" s="52"/>
      <c r="X910" s="52"/>
      <c r="Y910" s="52"/>
      <c r="Z910" s="52"/>
      <c r="AA910" s="52"/>
      <c r="AB910" s="52"/>
      <c r="AC910" s="52"/>
      <c r="AD910" s="52"/>
      <c r="AE910" s="52"/>
      <c r="AF910" s="52"/>
      <c r="AG910" s="52"/>
      <c r="AH910" s="52"/>
      <c r="AI910" s="52"/>
      <c r="AJ910" s="52"/>
      <c r="AK910" s="52"/>
      <c r="AL910" s="52"/>
      <c r="AM910" s="52"/>
      <c r="AN910" s="52"/>
      <c r="AO910" s="52"/>
      <c r="AP910" s="52"/>
      <c r="AQ910" s="52"/>
    </row>
    <row r="911" spans="1:43">
      <c r="A911" s="150"/>
      <c r="B911" s="477"/>
      <c r="C911" s="125"/>
      <c r="D911" s="478"/>
      <c r="E911" s="478"/>
      <c r="F911" s="52"/>
      <c r="G911" s="52"/>
      <c r="H911" s="52"/>
      <c r="I911" s="52"/>
      <c r="J911" s="52"/>
      <c r="K911" s="52"/>
      <c r="L911" s="52"/>
      <c r="M911" s="52"/>
      <c r="N911" s="52"/>
      <c r="O911" s="52"/>
      <c r="P911" s="52"/>
      <c r="Q911" s="52"/>
      <c r="R911" s="52"/>
      <c r="S911" s="52"/>
      <c r="T911" s="52"/>
      <c r="U911" s="52"/>
      <c r="V911" s="52"/>
      <c r="W911" s="52"/>
      <c r="X911" s="52"/>
      <c r="Y911" s="52"/>
      <c r="Z911" s="52"/>
      <c r="AA911" s="52"/>
      <c r="AB911" s="52"/>
      <c r="AC911" s="52"/>
      <c r="AD911" s="52"/>
      <c r="AE911" s="52"/>
      <c r="AF911" s="52"/>
      <c r="AG911" s="52"/>
      <c r="AH911" s="52"/>
      <c r="AI911" s="52"/>
      <c r="AJ911" s="52"/>
      <c r="AK911" s="52"/>
      <c r="AL911" s="52"/>
      <c r="AM911" s="52"/>
      <c r="AN911" s="52"/>
      <c r="AO911" s="52"/>
      <c r="AP911" s="52"/>
      <c r="AQ911" s="52"/>
    </row>
    <row r="912" spans="1:43">
      <c r="A912" s="150"/>
      <c r="B912" s="477"/>
      <c r="C912" s="125"/>
      <c r="D912" s="478"/>
      <c r="E912" s="478"/>
      <c r="F912" s="52"/>
      <c r="G912" s="52"/>
      <c r="H912" s="52"/>
      <c r="I912" s="52"/>
      <c r="J912" s="52"/>
      <c r="K912" s="52"/>
      <c r="L912" s="52"/>
      <c r="M912" s="52"/>
      <c r="N912" s="52"/>
      <c r="O912" s="52"/>
      <c r="P912" s="52"/>
      <c r="Q912" s="52"/>
      <c r="R912" s="52"/>
      <c r="S912" s="52"/>
      <c r="T912" s="52"/>
      <c r="U912" s="52"/>
      <c r="V912" s="52"/>
      <c r="W912" s="52"/>
      <c r="X912" s="52"/>
      <c r="Y912" s="52"/>
      <c r="Z912" s="52"/>
      <c r="AA912" s="52"/>
      <c r="AB912" s="52"/>
      <c r="AC912" s="52"/>
      <c r="AD912" s="52"/>
      <c r="AE912" s="52"/>
      <c r="AF912" s="52"/>
      <c r="AG912" s="52"/>
      <c r="AH912" s="52"/>
      <c r="AI912" s="52"/>
      <c r="AJ912" s="52"/>
      <c r="AK912" s="52"/>
      <c r="AL912" s="52"/>
      <c r="AM912" s="52"/>
      <c r="AN912" s="52"/>
      <c r="AO912" s="52"/>
      <c r="AP912" s="52"/>
      <c r="AQ912" s="52"/>
    </row>
    <row r="913" spans="1:43">
      <c r="A913" s="150"/>
      <c r="B913" s="477"/>
      <c r="C913" s="125"/>
      <c r="D913" s="478"/>
      <c r="E913" s="478"/>
      <c r="F913" s="52"/>
      <c r="G913" s="52"/>
      <c r="H913" s="52"/>
      <c r="I913" s="52"/>
      <c r="J913" s="52"/>
      <c r="K913" s="52"/>
      <c r="L913" s="52"/>
      <c r="M913" s="52"/>
      <c r="N913" s="52"/>
      <c r="O913" s="52"/>
      <c r="P913" s="52"/>
      <c r="Q913" s="52"/>
      <c r="R913" s="52"/>
      <c r="S913" s="52"/>
      <c r="T913" s="52"/>
      <c r="U913" s="52"/>
      <c r="V913" s="52"/>
      <c r="W913" s="52"/>
      <c r="X913" s="52"/>
      <c r="Y913" s="52"/>
      <c r="Z913" s="52"/>
      <c r="AA913" s="52"/>
      <c r="AB913" s="52"/>
      <c r="AC913" s="52"/>
      <c r="AD913" s="52"/>
      <c r="AE913" s="52"/>
      <c r="AF913" s="52"/>
      <c r="AG913" s="52"/>
      <c r="AH913" s="52"/>
      <c r="AI913" s="52"/>
      <c r="AJ913" s="52"/>
      <c r="AK913" s="52"/>
      <c r="AL913" s="52"/>
      <c r="AM913" s="52"/>
      <c r="AN913" s="52"/>
      <c r="AO913" s="52"/>
      <c r="AP913" s="52"/>
      <c r="AQ913" s="52"/>
    </row>
    <row r="914" spans="1:43">
      <c r="A914" s="150"/>
      <c r="B914" s="477"/>
      <c r="C914" s="125"/>
      <c r="D914" s="478"/>
      <c r="E914" s="478"/>
      <c r="F914" s="52"/>
      <c r="G914" s="52"/>
      <c r="H914" s="52"/>
      <c r="I914" s="52"/>
      <c r="J914" s="52"/>
      <c r="K914" s="52"/>
      <c r="L914" s="52"/>
      <c r="M914" s="52"/>
      <c r="N914" s="52"/>
      <c r="O914" s="52"/>
      <c r="P914" s="52"/>
      <c r="Q914" s="52"/>
      <c r="R914" s="52"/>
      <c r="S914" s="52"/>
      <c r="T914" s="52"/>
      <c r="U914" s="52"/>
      <c r="V914" s="52"/>
      <c r="W914" s="52"/>
      <c r="X914" s="52"/>
      <c r="Y914" s="52"/>
      <c r="Z914" s="52"/>
      <c r="AA914" s="52"/>
      <c r="AB914" s="52"/>
      <c r="AC914" s="52"/>
      <c r="AD914" s="52"/>
      <c r="AE914" s="52"/>
      <c r="AF914" s="52"/>
      <c r="AG914" s="52"/>
      <c r="AH914" s="52"/>
      <c r="AI914" s="52"/>
      <c r="AJ914" s="52"/>
      <c r="AK914" s="52"/>
      <c r="AL914" s="52"/>
      <c r="AM914" s="52"/>
      <c r="AN914" s="52"/>
      <c r="AO914" s="52"/>
      <c r="AP914" s="52"/>
      <c r="AQ914" s="52"/>
    </row>
    <row r="915" spans="1:43">
      <c r="A915" s="150"/>
      <c r="B915" s="477"/>
      <c r="C915" s="125"/>
      <c r="D915" s="478"/>
      <c r="E915" s="478"/>
      <c r="F915" s="52"/>
      <c r="G915" s="52"/>
      <c r="H915" s="52"/>
      <c r="I915" s="52"/>
      <c r="J915" s="52"/>
      <c r="K915" s="52"/>
      <c r="L915" s="52"/>
      <c r="M915" s="52"/>
      <c r="N915" s="52"/>
      <c r="O915" s="52"/>
      <c r="P915" s="52"/>
      <c r="Q915" s="52"/>
      <c r="R915" s="52"/>
      <c r="S915" s="52"/>
      <c r="T915" s="52"/>
      <c r="U915" s="52"/>
      <c r="V915" s="52"/>
      <c r="W915" s="52"/>
      <c r="X915" s="52"/>
      <c r="Y915" s="52"/>
      <c r="Z915" s="52"/>
      <c r="AA915" s="52"/>
      <c r="AB915" s="52"/>
      <c r="AC915" s="52"/>
      <c r="AD915" s="52"/>
      <c r="AE915" s="52"/>
      <c r="AF915" s="52"/>
      <c r="AG915" s="52"/>
      <c r="AH915" s="52"/>
      <c r="AI915" s="52"/>
      <c r="AJ915" s="52"/>
      <c r="AK915" s="52"/>
      <c r="AL915" s="52"/>
      <c r="AM915" s="52"/>
      <c r="AN915" s="52"/>
      <c r="AO915" s="52"/>
      <c r="AP915" s="52"/>
      <c r="AQ915" s="52"/>
    </row>
    <row r="916" spans="1:43">
      <c r="A916" s="150"/>
      <c r="B916" s="477"/>
      <c r="C916" s="125"/>
      <c r="D916" s="478"/>
      <c r="E916" s="478"/>
      <c r="F916" s="52"/>
      <c r="G916" s="52"/>
      <c r="H916" s="52"/>
      <c r="I916" s="52"/>
      <c r="J916" s="52"/>
      <c r="K916" s="52"/>
      <c r="L916" s="52"/>
      <c r="M916" s="52"/>
      <c r="N916" s="52"/>
      <c r="O916" s="52"/>
      <c r="P916" s="52"/>
      <c r="Q916" s="52"/>
      <c r="R916" s="52"/>
      <c r="S916" s="52"/>
      <c r="T916" s="52"/>
      <c r="U916" s="52"/>
      <c r="V916" s="52"/>
      <c r="W916" s="52"/>
      <c r="X916" s="52"/>
      <c r="Y916" s="52"/>
      <c r="Z916" s="52"/>
      <c r="AA916" s="52"/>
      <c r="AB916" s="52"/>
      <c r="AC916" s="52"/>
      <c r="AD916" s="52"/>
      <c r="AE916" s="52"/>
      <c r="AF916" s="52"/>
      <c r="AG916" s="52"/>
      <c r="AH916" s="52"/>
      <c r="AI916" s="52"/>
      <c r="AJ916" s="52"/>
      <c r="AK916" s="52"/>
      <c r="AL916" s="52"/>
      <c r="AM916" s="52"/>
      <c r="AN916" s="52"/>
      <c r="AO916" s="52"/>
      <c r="AP916" s="52"/>
      <c r="AQ916" s="52"/>
    </row>
    <row r="917" spans="1:43">
      <c r="A917" s="150"/>
      <c r="B917" s="477"/>
      <c r="C917" s="125"/>
      <c r="D917" s="478"/>
      <c r="E917" s="478"/>
      <c r="F917" s="52"/>
      <c r="G917" s="52"/>
      <c r="H917" s="52"/>
      <c r="I917" s="52"/>
      <c r="J917" s="52"/>
      <c r="K917" s="52"/>
      <c r="L917" s="52"/>
      <c r="M917" s="52"/>
      <c r="N917" s="52"/>
      <c r="O917" s="52"/>
      <c r="P917" s="52"/>
      <c r="Q917" s="52"/>
      <c r="R917" s="52"/>
      <c r="S917" s="52"/>
      <c r="T917" s="52"/>
      <c r="U917" s="52"/>
      <c r="V917" s="52"/>
      <c r="W917" s="52"/>
      <c r="X917" s="52"/>
      <c r="Y917" s="52"/>
      <c r="Z917" s="52"/>
      <c r="AA917" s="52"/>
      <c r="AB917" s="52"/>
      <c r="AC917" s="52"/>
      <c r="AD917" s="52"/>
      <c r="AE917" s="52"/>
      <c r="AF917" s="52"/>
      <c r="AG917" s="52"/>
      <c r="AH917" s="52"/>
      <c r="AI917" s="52"/>
      <c r="AJ917" s="52"/>
      <c r="AK917" s="52"/>
      <c r="AL917" s="52"/>
      <c r="AM917" s="52"/>
      <c r="AN917" s="52"/>
      <c r="AO917" s="52"/>
      <c r="AP917" s="52"/>
      <c r="AQ917" s="52"/>
    </row>
    <row r="918" spans="1:43">
      <c r="A918" s="150"/>
      <c r="B918" s="477"/>
      <c r="C918" s="125"/>
      <c r="D918" s="478"/>
      <c r="E918" s="478"/>
      <c r="F918" s="52"/>
      <c r="G918" s="52"/>
      <c r="H918" s="52"/>
      <c r="I918" s="52"/>
      <c r="J918" s="52"/>
      <c r="K918" s="52"/>
      <c r="L918" s="52"/>
      <c r="M918" s="52"/>
      <c r="N918" s="52"/>
      <c r="O918" s="52"/>
      <c r="P918" s="52"/>
      <c r="Q918" s="52"/>
      <c r="R918" s="52"/>
      <c r="S918" s="52"/>
      <c r="T918" s="52"/>
      <c r="U918" s="52"/>
      <c r="V918" s="52"/>
      <c r="W918" s="52"/>
      <c r="X918" s="52"/>
      <c r="Y918" s="52"/>
      <c r="Z918" s="52"/>
      <c r="AA918" s="52"/>
      <c r="AB918" s="52"/>
      <c r="AC918" s="52"/>
      <c r="AD918" s="52"/>
      <c r="AE918" s="52"/>
      <c r="AF918" s="52"/>
      <c r="AG918" s="52"/>
      <c r="AH918" s="52"/>
      <c r="AI918" s="52"/>
      <c r="AJ918" s="52"/>
      <c r="AK918" s="52"/>
      <c r="AL918" s="52"/>
      <c r="AM918" s="52"/>
      <c r="AN918" s="52"/>
      <c r="AO918" s="52"/>
      <c r="AP918" s="52"/>
      <c r="AQ918" s="52"/>
    </row>
    <row r="919" spans="1:43">
      <c r="A919" s="150"/>
      <c r="B919" s="477"/>
      <c r="C919" s="125"/>
      <c r="D919" s="478"/>
      <c r="E919" s="478"/>
      <c r="F919" s="52"/>
      <c r="G919" s="52"/>
      <c r="H919" s="52"/>
      <c r="I919" s="52"/>
      <c r="J919" s="52"/>
      <c r="K919" s="52"/>
      <c r="L919" s="52"/>
      <c r="M919" s="52"/>
      <c r="N919" s="52"/>
      <c r="O919" s="52"/>
      <c r="P919" s="52"/>
      <c r="Q919" s="52"/>
      <c r="R919" s="52"/>
      <c r="S919" s="52"/>
      <c r="T919" s="52"/>
      <c r="U919" s="52"/>
      <c r="V919" s="52"/>
      <c r="W919" s="52"/>
      <c r="X919" s="52"/>
      <c r="Y919" s="52"/>
      <c r="Z919" s="52"/>
      <c r="AA919" s="52"/>
      <c r="AB919" s="52"/>
      <c r="AC919" s="52"/>
      <c r="AD919" s="52"/>
      <c r="AE919" s="52"/>
      <c r="AF919" s="52"/>
      <c r="AG919" s="52"/>
      <c r="AH919" s="52"/>
      <c r="AI919" s="52"/>
      <c r="AJ919" s="52"/>
      <c r="AK919" s="52"/>
      <c r="AL919" s="52"/>
      <c r="AM919" s="52"/>
      <c r="AN919" s="52"/>
      <c r="AO919" s="52"/>
      <c r="AP919" s="52"/>
      <c r="AQ919" s="52"/>
    </row>
    <row r="920" spans="1:43">
      <c r="A920" s="150"/>
      <c r="B920" s="477"/>
      <c r="C920" s="125"/>
      <c r="D920" s="478"/>
      <c r="E920" s="478"/>
      <c r="F920" s="52"/>
      <c r="G920" s="52"/>
      <c r="H920" s="52"/>
      <c r="I920" s="52"/>
      <c r="J920" s="52"/>
      <c r="K920" s="52"/>
      <c r="L920" s="52"/>
      <c r="M920" s="52"/>
      <c r="N920" s="52"/>
      <c r="O920" s="52"/>
      <c r="P920" s="52"/>
      <c r="Q920" s="52"/>
      <c r="R920" s="52"/>
      <c r="S920" s="52"/>
      <c r="T920" s="52"/>
      <c r="U920" s="52"/>
      <c r="V920" s="52"/>
      <c r="W920" s="52"/>
      <c r="X920" s="52"/>
      <c r="Y920" s="52"/>
      <c r="Z920" s="52"/>
      <c r="AA920" s="52"/>
      <c r="AB920" s="52"/>
      <c r="AC920" s="52"/>
      <c r="AD920" s="52"/>
      <c r="AE920" s="52"/>
      <c r="AF920" s="52"/>
      <c r="AG920" s="52"/>
      <c r="AH920" s="52"/>
      <c r="AI920" s="52"/>
      <c r="AJ920" s="52"/>
      <c r="AK920" s="52"/>
      <c r="AL920" s="52"/>
      <c r="AM920" s="52"/>
      <c r="AN920" s="52"/>
      <c r="AO920" s="52"/>
      <c r="AP920" s="52"/>
      <c r="AQ920" s="52"/>
    </row>
    <row r="921" spans="1:43">
      <c r="A921" s="150"/>
      <c r="B921" s="477"/>
      <c r="C921" s="125"/>
      <c r="D921" s="478"/>
      <c r="E921" s="478"/>
      <c r="F921" s="52"/>
      <c r="G921" s="52"/>
      <c r="H921" s="52"/>
      <c r="I921" s="52"/>
      <c r="J921" s="52"/>
      <c r="K921" s="52"/>
      <c r="L921" s="52"/>
      <c r="M921" s="52"/>
      <c r="N921" s="52"/>
      <c r="O921" s="52"/>
      <c r="P921" s="52"/>
      <c r="Q921" s="52"/>
      <c r="R921" s="52"/>
      <c r="S921" s="52"/>
      <c r="T921" s="52"/>
      <c r="U921" s="52"/>
      <c r="V921" s="52"/>
      <c r="W921" s="52"/>
      <c r="X921" s="52"/>
      <c r="Y921" s="52"/>
      <c r="Z921" s="52"/>
      <c r="AA921" s="52"/>
      <c r="AB921" s="52"/>
      <c r="AC921" s="52"/>
      <c r="AD921" s="52"/>
      <c r="AE921" s="52"/>
      <c r="AF921" s="52"/>
      <c r="AG921" s="52"/>
      <c r="AH921" s="52"/>
      <c r="AI921" s="52"/>
      <c r="AJ921" s="52"/>
      <c r="AK921" s="52"/>
      <c r="AL921" s="52"/>
      <c r="AM921" s="52"/>
      <c r="AN921" s="52"/>
      <c r="AO921" s="52"/>
      <c r="AP921" s="52"/>
      <c r="AQ921" s="52"/>
    </row>
    <row r="922" spans="1:43">
      <c r="A922" s="150"/>
      <c r="B922" s="477"/>
      <c r="C922" s="125"/>
      <c r="D922" s="478"/>
      <c r="E922" s="478"/>
      <c r="F922" s="52"/>
      <c r="G922" s="52"/>
      <c r="H922" s="52"/>
      <c r="I922" s="52"/>
      <c r="J922" s="52"/>
      <c r="K922" s="52"/>
      <c r="L922" s="52"/>
      <c r="M922" s="52"/>
      <c r="N922" s="52"/>
      <c r="O922" s="52"/>
      <c r="P922" s="52"/>
      <c r="Q922" s="52"/>
      <c r="R922" s="52"/>
      <c r="S922" s="52"/>
      <c r="T922" s="52"/>
      <c r="U922" s="52"/>
      <c r="V922" s="52"/>
      <c r="W922" s="52"/>
      <c r="X922" s="52"/>
      <c r="Y922" s="52"/>
      <c r="Z922" s="52"/>
      <c r="AA922" s="52"/>
      <c r="AB922" s="52"/>
      <c r="AC922" s="52"/>
      <c r="AD922" s="52"/>
      <c r="AE922" s="52"/>
      <c r="AF922" s="52"/>
      <c r="AG922" s="52"/>
      <c r="AH922" s="52"/>
      <c r="AI922" s="52"/>
      <c r="AJ922" s="52"/>
      <c r="AK922" s="52"/>
      <c r="AL922" s="52"/>
      <c r="AM922" s="52"/>
      <c r="AN922" s="52"/>
      <c r="AO922" s="52"/>
      <c r="AP922" s="52"/>
      <c r="AQ922" s="52"/>
    </row>
    <row r="923" spans="1:43">
      <c r="A923" s="150"/>
      <c r="B923" s="477"/>
      <c r="C923" s="125"/>
      <c r="D923" s="478"/>
      <c r="E923" s="478"/>
      <c r="F923" s="52"/>
      <c r="G923" s="52"/>
      <c r="H923" s="52"/>
      <c r="I923" s="52"/>
      <c r="J923" s="52"/>
      <c r="K923" s="52"/>
      <c r="L923" s="52"/>
      <c r="M923" s="52"/>
      <c r="N923" s="52"/>
      <c r="O923" s="52"/>
      <c r="P923" s="52"/>
      <c r="Q923" s="52"/>
      <c r="R923" s="52"/>
      <c r="S923" s="52"/>
      <c r="T923" s="52"/>
      <c r="U923" s="52"/>
      <c r="V923" s="52"/>
      <c r="W923" s="52"/>
      <c r="X923" s="52"/>
      <c r="Y923" s="52"/>
      <c r="Z923" s="52"/>
      <c r="AA923" s="52"/>
      <c r="AB923" s="52"/>
      <c r="AC923" s="52"/>
      <c r="AD923" s="52"/>
      <c r="AE923" s="52"/>
      <c r="AF923" s="52"/>
      <c r="AG923" s="52"/>
      <c r="AH923" s="52"/>
      <c r="AI923" s="52"/>
      <c r="AJ923" s="52"/>
      <c r="AK923" s="52"/>
      <c r="AL923" s="52"/>
      <c r="AM923" s="52"/>
      <c r="AN923" s="52"/>
      <c r="AO923" s="52"/>
      <c r="AP923" s="52"/>
      <c r="AQ923" s="52"/>
    </row>
    <row r="924" spans="1:43">
      <c r="A924" s="150"/>
      <c r="B924" s="477"/>
      <c r="C924" s="125"/>
      <c r="D924" s="478"/>
      <c r="E924" s="478"/>
      <c r="F924" s="52"/>
      <c r="G924" s="52"/>
      <c r="H924" s="52"/>
      <c r="I924" s="52"/>
      <c r="J924" s="52"/>
      <c r="K924" s="52"/>
      <c r="L924" s="52"/>
      <c r="M924" s="52"/>
      <c r="N924" s="52"/>
      <c r="O924" s="52"/>
      <c r="P924" s="52"/>
      <c r="Q924" s="52"/>
      <c r="R924" s="52"/>
      <c r="S924" s="52"/>
      <c r="T924" s="52"/>
      <c r="U924" s="52"/>
      <c r="V924" s="52"/>
      <c r="W924" s="52"/>
      <c r="X924" s="52"/>
      <c r="Y924" s="52"/>
      <c r="Z924" s="52"/>
      <c r="AA924" s="52"/>
      <c r="AB924" s="52"/>
      <c r="AC924" s="52"/>
      <c r="AD924" s="52"/>
      <c r="AE924" s="52"/>
      <c r="AF924" s="52"/>
      <c r="AG924" s="52"/>
      <c r="AH924" s="52"/>
      <c r="AI924" s="52"/>
      <c r="AJ924" s="52"/>
      <c r="AK924" s="52"/>
      <c r="AL924" s="52"/>
      <c r="AM924" s="52"/>
      <c r="AN924" s="52"/>
      <c r="AO924" s="52"/>
      <c r="AP924" s="52"/>
      <c r="AQ924" s="52"/>
    </row>
    <row r="925" spans="1:43">
      <c r="A925" s="150"/>
      <c r="B925" s="477"/>
      <c r="C925" s="125"/>
      <c r="D925" s="478"/>
      <c r="E925" s="478"/>
      <c r="F925" s="52"/>
      <c r="G925" s="52"/>
      <c r="H925" s="52"/>
      <c r="I925" s="52"/>
      <c r="J925" s="52"/>
      <c r="K925" s="52"/>
      <c r="L925" s="52"/>
      <c r="M925" s="52"/>
      <c r="N925" s="52"/>
      <c r="O925" s="52"/>
      <c r="P925" s="52"/>
      <c r="Q925" s="52"/>
      <c r="R925" s="52"/>
      <c r="S925" s="52"/>
      <c r="T925" s="52"/>
      <c r="U925" s="52"/>
      <c r="V925" s="52"/>
      <c r="W925" s="52"/>
      <c r="X925" s="52"/>
      <c r="Y925" s="52"/>
      <c r="Z925" s="52"/>
      <c r="AA925" s="52"/>
      <c r="AB925" s="52"/>
      <c r="AC925" s="52"/>
      <c r="AD925" s="52"/>
      <c r="AE925" s="52"/>
      <c r="AF925" s="52"/>
      <c r="AG925" s="52"/>
      <c r="AH925" s="52"/>
      <c r="AI925" s="52"/>
      <c r="AJ925" s="52"/>
      <c r="AK925" s="52"/>
      <c r="AL925" s="52"/>
      <c r="AM925" s="52"/>
      <c r="AN925" s="52"/>
      <c r="AO925" s="52"/>
      <c r="AP925" s="52"/>
      <c r="AQ925" s="52"/>
    </row>
    <row r="926" spans="1:43">
      <c r="A926" s="150"/>
      <c r="B926" s="477"/>
      <c r="C926" s="125"/>
      <c r="D926" s="478"/>
      <c r="E926" s="478"/>
      <c r="F926" s="52"/>
      <c r="G926" s="52"/>
      <c r="H926" s="52"/>
      <c r="I926" s="52"/>
      <c r="J926" s="52"/>
      <c r="K926" s="52"/>
      <c r="L926" s="52"/>
      <c r="M926" s="52"/>
      <c r="N926" s="52"/>
      <c r="O926" s="52"/>
      <c r="P926" s="52"/>
      <c r="Q926" s="52"/>
      <c r="R926" s="52"/>
      <c r="S926" s="52"/>
      <c r="T926" s="52"/>
      <c r="U926" s="52"/>
      <c r="V926" s="52"/>
      <c r="W926" s="52"/>
      <c r="X926" s="52"/>
      <c r="Y926" s="52"/>
      <c r="Z926" s="52"/>
      <c r="AA926" s="52"/>
      <c r="AB926" s="52"/>
      <c r="AC926" s="52"/>
      <c r="AD926" s="52"/>
      <c r="AE926" s="52"/>
      <c r="AF926" s="52"/>
      <c r="AG926" s="52"/>
      <c r="AH926" s="52"/>
      <c r="AI926" s="52"/>
      <c r="AJ926" s="52"/>
      <c r="AK926" s="52"/>
      <c r="AL926" s="52"/>
      <c r="AM926" s="52"/>
      <c r="AN926" s="52"/>
      <c r="AO926" s="52"/>
      <c r="AP926" s="52"/>
      <c r="AQ926" s="52"/>
    </row>
    <row r="927" spans="1:43">
      <c r="A927" s="150"/>
      <c r="B927" s="477"/>
      <c r="C927" s="125"/>
      <c r="D927" s="478"/>
      <c r="E927" s="478"/>
      <c r="F927" s="52"/>
      <c r="G927" s="52"/>
      <c r="H927" s="52"/>
      <c r="I927" s="52"/>
      <c r="J927" s="52"/>
      <c r="K927" s="52"/>
      <c r="L927" s="52"/>
      <c r="M927" s="52"/>
      <c r="N927" s="52"/>
      <c r="O927" s="52"/>
      <c r="P927" s="52"/>
      <c r="Q927" s="52"/>
      <c r="R927" s="52"/>
      <c r="S927" s="52"/>
      <c r="T927" s="52"/>
      <c r="U927" s="52"/>
      <c r="V927" s="52"/>
      <c r="W927" s="52"/>
      <c r="X927" s="52"/>
      <c r="Y927" s="52"/>
      <c r="Z927" s="52"/>
      <c r="AA927" s="52"/>
      <c r="AB927" s="52"/>
      <c r="AC927" s="52"/>
      <c r="AD927" s="52"/>
      <c r="AE927" s="52"/>
      <c r="AF927" s="52"/>
      <c r="AG927" s="52"/>
      <c r="AH927" s="52"/>
      <c r="AI927" s="52"/>
      <c r="AJ927" s="52"/>
      <c r="AK927" s="52"/>
      <c r="AL927" s="52"/>
      <c r="AM927" s="52"/>
      <c r="AN927" s="52"/>
      <c r="AO927" s="52"/>
      <c r="AP927" s="52"/>
      <c r="AQ927" s="52"/>
    </row>
    <row r="928" spans="1:43">
      <c r="A928" s="150"/>
      <c r="B928" s="477"/>
      <c r="C928" s="125"/>
      <c r="D928" s="478"/>
      <c r="E928" s="478"/>
      <c r="F928" s="52"/>
      <c r="G928" s="52"/>
      <c r="H928" s="52"/>
      <c r="I928" s="52"/>
      <c r="J928" s="52"/>
      <c r="K928" s="52"/>
      <c r="L928" s="52"/>
      <c r="M928" s="52"/>
      <c r="N928" s="52"/>
      <c r="O928" s="52"/>
      <c r="P928" s="52"/>
      <c r="Q928" s="52"/>
      <c r="R928" s="52"/>
      <c r="S928" s="52"/>
      <c r="T928" s="52"/>
      <c r="U928" s="52"/>
      <c r="V928" s="52"/>
      <c r="W928" s="52"/>
      <c r="X928" s="52"/>
      <c r="Y928" s="52"/>
      <c r="Z928" s="52"/>
      <c r="AA928" s="52"/>
      <c r="AB928" s="52"/>
      <c r="AC928" s="52"/>
      <c r="AD928" s="52"/>
      <c r="AE928" s="52"/>
      <c r="AF928" s="52"/>
      <c r="AG928" s="52"/>
      <c r="AH928" s="52"/>
      <c r="AI928" s="52"/>
      <c r="AJ928" s="52"/>
      <c r="AK928" s="52"/>
      <c r="AL928" s="52"/>
      <c r="AM928" s="52"/>
      <c r="AN928" s="52"/>
      <c r="AO928" s="52"/>
      <c r="AP928" s="52"/>
      <c r="AQ928" s="52"/>
    </row>
    <row r="929" spans="1:43">
      <c r="A929" s="150"/>
      <c r="B929" s="477"/>
      <c r="C929" s="125"/>
      <c r="D929" s="478"/>
      <c r="E929" s="478"/>
      <c r="F929" s="52"/>
      <c r="G929" s="52"/>
      <c r="H929" s="52"/>
      <c r="I929" s="52"/>
      <c r="J929" s="52"/>
      <c r="K929" s="52"/>
      <c r="L929" s="52"/>
      <c r="M929" s="52"/>
      <c r="N929" s="52"/>
      <c r="O929" s="52"/>
      <c r="P929" s="52"/>
      <c r="Q929" s="52"/>
      <c r="R929" s="52"/>
      <c r="S929" s="52"/>
      <c r="T929" s="52"/>
      <c r="U929" s="52"/>
      <c r="V929" s="52"/>
      <c r="W929" s="52"/>
      <c r="X929" s="52"/>
      <c r="Y929" s="52"/>
      <c r="Z929" s="52"/>
      <c r="AA929" s="52"/>
      <c r="AB929" s="52"/>
      <c r="AC929" s="52"/>
      <c r="AD929" s="52"/>
      <c r="AE929" s="52"/>
      <c r="AF929" s="52"/>
      <c r="AG929" s="52"/>
      <c r="AH929" s="52"/>
      <c r="AI929" s="52"/>
      <c r="AJ929" s="52"/>
      <c r="AK929" s="52"/>
      <c r="AL929" s="52"/>
      <c r="AM929" s="52"/>
      <c r="AN929" s="52"/>
      <c r="AO929" s="52"/>
      <c r="AP929" s="52"/>
      <c r="AQ929" s="52"/>
    </row>
    <row r="930" spans="1:43">
      <c r="A930" s="150"/>
      <c r="B930" s="477"/>
      <c r="C930" s="125"/>
      <c r="D930" s="478"/>
      <c r="E930" s="478"/>
      <c r="F930" s="52"/>
      <c r="G930" s="52"/>
      <c r="H930" s="52"/>
      <c r="I930" s="52"/>
      <c r="J930" s="52"/>
      <c r="K930" s="52"/>
      <c r="L930" s="52"/>
      <c r="M930" s="52"/>
      <c r="N930" s="52"/>
      <c r="O930" s="52"/>
      <c r="P930" s="52"/>
      <c r="Q930" s="52"/>
      <c r="R930" s="52"/>
      <c r="S930" s="52"/>
      <c r="T930" s="52"/>
      <c r="U930" s="52"/>
      <c r="V930" s="52"/>
      <c r="W930" s="52"/>
      <c r="X930" s="52"/>
      <c r="Y930" s="52"/>
      <c r="Z930" s="52"/>
      <c r="AA930" s="52"/>
      <c r="AB930" s="52"/>
      <c r="AC930" s="52"/>
      <c r="AD930" s="52"/>
      <c r="AE930" s="52"/>
      <c r="AF930" s="52"/>
      <c r="AG930" s="52"/>
      <c r="AH930" s="52"/>
      <c r="AI930" s="52"/>
      <c r="AJ930" s="52"/>
      <c r="AK930" s="52"/>
      <c r="AL930" s="52"/>
      <c r="AM930" s="52"/>
      <c r="AN930" s="52"/>
      <c r="AO930" s="52"/>
      <c r="AP930" s="52"/>
      <c r="AQ930" s="52"/>
    </row>
    <row r="931" spans="1:43">
      <c r="A931" s="150"/>
      <c r="B931" s="477"/>
      <c r="C931" s="125"/>
      <c r="D931" s="478"/>
      <c r="E931" s="478"/>
      <c r="F931" s="52"/>
      <c r="G931" s="52"/>
      <c r="H931" s="52"/>
      <c r="I931" s="52"/>
      <c r="J931" s="52"/>
      <c r="K931" s="52"/>
      <c r="L931" s="52"/>
      <c r="M931" s="52"/>
      <c r="N931" s="52"/>
      <c r="O931" s="52"/>
      <c r="P931" s="52"/>
      <c r="Q931" s="52"/>
      <c r="R931" s="52"/>
      <c r="S931" s="52"/>
      <c r="T931" s="52"/>
      <c r="U931" s="52"/>
      <c r="V931" s="52"/>
      <c r="W931" s="52"/>
      <c r="X931" s="52"/>
      <c r="Y931" s="52"/>
      <c r="Z931" s="52"/>
      <c r="AA931" s="52"/>
      <c r="AB931" s="52"/>
      <c r="AC931" s="52"/>
      <c r="AD931" s="52"/>
      <c r="AE931" s="52"/>
      <c r="AF931" s="52"/>
      <c r="AG931" s="52"/>
      <c r="AH931" s="52"/>
      <c r="AI931" s="52"/>
      <c r="AJ931" s="52"/>
      <c r="AK931" s="52"/>
      <c r="AL931" s="52"/>
      <c r="AM931" s="52"/>
      <c r="AN931" s="52"/>
      <c r="AO931" s="52"/>
      <c r="AP931" s="52"/>
      <c r="AQ931" s="52"/>
    </row>
    <row r="932" spans="1:43">
      <c r="A932" s="150"/>
      <c r="B932" s="477"/>
      <c r="C932" s="125"/>
      <c r="D932" s="478"/>
      <c r="E932" s="478"/>
      <c r="F932" s="52"/>
      <c r="G932" s="52"/>
      <c r="H932" s="52"/>
      <c r="I932" s="52"/>
      <c r="J932" s="52"/>
      <c r="K932" s="52"/>
      <c r="L932" s="52"/>
      <c r="M932" s="52"/>
      <c r="N932" s="52"/>
      <c r="O932" s="52"/>
      <c r="P932" s="52"/>
      <c r="Q932" s="52"/>
      <c r="R932" s="52"/>
      <c r="S932" s="52"/>
      <c r="T932" s="52"/>
      <c r="U932" s="52"/>
      <c r="V932" s="52"/>
      <c r="W932" s="52"/>
      <c r="X932" s="52"/>
      <c r="Y932" s="52"/>
      <c r="Z932" s="52"/>
      <c r="AA932" s="52"/>
      <c r="AB932" s="52"/>
      <c r="AC932" s="52"/>
      <c r="AD932" s="52"/>
      <c r="AE932" s="52"/>
      <c r="AF932" s="52"/>
      <c r="AG932" s="52"/>
      <c r="AH932" s="52"/>
      <c r="AI932" s="52"/>
      <c r="AJ932" s="52"/>
      <c r="AK932" s="52"/>
      <c r="AL932" s="52"/>
      <c r="AM932" s="52"/>
      <c r="AN932" s="52"/>
      <c r="AO932" s="52"/>
      <c r="AP932" s="52"/>
      <c r="AQ932" s="52"/>
    </row>
    <row r="933" spans="1:43">
      <c r="A933" s="150"/>
      <c r="B933" s="477"/>
      <c r="C933" s="125"/>
      <c r="D933" s="478"/>
      <c r="E933" s="478"/>
      <c r="F933" s="52"/>
      <c r="G933" s="52"/>
      <c r="H933" s="52"/>
      <c r="I933" s="52"/>
      <c r="J933" s="52"/>
      <c r="K933" s="52"/>
      <c r="L933" s="52"/>
      <c r="M933" s="52"/>
      <c r="N933" s="52"/>
      <c r="O933" s="52"/>
      <c r="P933" s="52"/>
      <c r="Q933" s="52"/>
      <c r="R933" s="52"/>
      <c r="S933" s="52"/>
      <c r="T933" s="52"/>
      <c r="U933" s="52"/>
      <c r="V933" s="52"/>
      <c r="W933" s="52"/>
      <c r="X933" s="52"/>
      <c r="Y933" s="52"/>
      <c r="Z933" s="52"/>
      <c r="AA933" s="52"/>
      <c r="AB933" s="52"/>
      <c r="AC933" s="52"/>
      <c r="AD933" s="52"/>
      <c r="AE933" s="52"/>
      <c r="AF933" s="52"/>
      <c r="AG933" s="52"/>
      <c r="AH933" s="52"/>
      <c r="AI933" s="52"/>
      <c r="AJ933" s="52"/>
      <c r="AK933" s="52"/>
      <c r="AL933" s="52"/>
      <c r="AM933" s="52"/>
      <c r="AN933" s="52"/>
      <c r="AO933" s="52"/>
      <c r="AP933" s="52"/>
      <c r="AQ933" s="52"/>
    </row>
    <row r="934" spans="1:43">
      <c r="A934" s="150"/>
      <c r="B934" s="477"/>
      <c r="C934" s="125"/>
      <c r="D934" s="478"/>
      <c r="E934" s="478"/>
      <c r="F934" s="52"/>
      <c r="G934" s="52"/>
      <c r="H934" s="52"/>
      <c r="I934" s="52"/>
      <c r="J934" s="52"/>
      <c r="K934" s="52"/>
      <c r="L934" s="52"/>
      <c r="M934" s="52"/>
      <c r="N934" s="52"/>
      <c r="O934" s="52"/>
      <c r="P934" s="52"/>
      <c r="Q934" s="52"/>
      <c r="R934" s="52"/>
      <c r="S934" s="52"/>
      <c r="T934" s="52"/>
      <c r="U934" s="52"/>
      <c r="V934" s="52"/>
      <c r="W934" s="52"/>
      <c r="X934" s="52"/>
      <c r="Y934" s="52"/>
      <c r="Z934" s="52"/>
      <c r="AA934" s="52"/>
      <c r="AB934" s="52"/>
      <c r="AC934" s="52"/>
      <c r="AD934" s="52"/>
      <c r="AE934" s="52"/>
      <c r="AF934" s="52"/>
      <c r="AG934" s="52"/>
      <c r="AH934" s="52"/>
      <c r="AI934" s="52"/>
      <c r="AJ934" s="52"/>
      <c r="AK934" s="52"/>
      <c r="AL934" s="52"/>
      <c r="AM934" s="52"/>
      <c r="AN934" s="52"/>
      <c r="AO934" s="52"/>
      <c r="AP934" s="52"/>
      <c r="AQ934" s="52"/>
    </row>
    <row r="935" spans="1:43">
      <c r="A935" s="150"/>
      <c r="B935" s="477"/>
      <c r="C935" s="125"/>
      <c r="D935" s="478"/>
      <c r="E935" s="478"/>
      <c r="F935" s="52"/>
      <c r="G935" s="52"/>
      <c r="H935" s="52"/>
      <c r="I935" s="52"/>
      <c r="J935" s="52"/>
      <c r="K935" s="52"/>
      <c r="L935" s="52"/>
      <c r="M935" s="52"/>
      <c r="N935" s="52"/>
      <c r="O935" s="52"/>
      <c r="P935" s="52"/>
      <c r="Q935" s="52"/>
      <c r="R935" s="52"/>
      <c r="S935" s="52"/>
      <c r="T935" s="52"/>
      <c r="U935" s="52"/>
      <c r="V935" s="52"/>
      <c r="W935" s="52"/>
      <c r="X935" s="52"/>
      <c r="Y935" s="52"/>
      <c r="Z935" s="52"/>
      <c r="AA935" s="52"/>
      <c r="AB935" s="52"/>
      <c r="AC935" s="52"/>
      <c r="AD935" s="52"/>
      <c r="AE935" s="52"/>
      <c r="AF935" s="52"/>
      <c r="AG935" s="52"/>
      <c r="AH935" s="52"/>
      <c r="AI935" s="52"/>
      <c r="AJ935" s="52"/>
      <c r="AK935" s="52"/>
      <c r="AL935" s="52"/>
      <c r="AM935" s="52"/>
      <c r="AN935" s="52"/>
      <c r="AO935" s="52"/>
      <c r="AP935" s="52"/>
      <c r="AQ935" s="52"/>
    </row>
    <row r="936" spans="1:43">
      <c r="A936" s="150"/>
      <c r="B936" s="477"/>
      <c r="C936" s="125"/>
      <c r="D936" s="478"/>
      <c r="E936" s="478"/>
      <c r="F936" s="52"/>
      <c r="G936" s="52"/>
      <c r="H936" s="52"/>
      <c r="I936" s="52"/>
      <c r="J936" s="52"/>
      <c r="K936" s="52"/>
      <c r="L936" s="52"/>
      <c r="M936" s="52"/>
      <c r="N936" s="52"/>
      <c r="O936" s="52"/>
      <c r="P936" s="52"/>
      <c r="Q936" s="52"/>
      <c r="R936" s="52"/>
      <c r="S936" s="52"/>
      <c r="T936" s="52"/>
      <c r="U936" s="52"/>
      <c r="V936" s="52"/>
      <c r="W936" s="52"/>
      <c r="X936" s="52"/>
      <c r="Y936" s="52"/>
      <c r="Z936" s="52"/>
      <c r="AA936" s="52"/>
      <c r="AB936" s="52"/>
      <c r="AC936" s="52"/>
      <c r="AD936" s="52"/>
      <c r="AE936" s="52"/>
      <c r="AF936" s="52"/>
      <c r="AG936" s="52"/>
      <c r="AH936" s="52"/>
      <c r="AI936" s="52"/>
      <c r="AJ936" s="52"/>
      <c r="AK936" s="52"/>
      <c r="AL936" s="52"/>
      <c r="AM936" s="52"/>
      <c r="AN936" s="52"/>
      <c r="AO936" s="52"/>
      <c r="AP936" s="52"/>
      <c r="AQ936" s="52"/>
    </row>
    <row r="937" spans="1:43">
      <c r="A937" s="150"/>
      <c r="B937" s="477"/>
      <c r="C937" s="125"/>
      <c r="D937" s="478"/>
      <c r="E937" s="478"/>
      <c r="F937" s="52"/>
      <c r="G937" s="52"/>
      <c r="H937" s="52"/>
      <c r="I937" s="52"/>
      <c r="J937" s="52"/>
      <c r="K937" s="52"/>
      <c r="L937" s="52"/>
      <c r="M937" s="52"/>
      <c r="N937" s="52"/>
      <c r="O937" s="52"/>
      <c r="P937" s="52"/>
      <c r="Q937" s="52"/>
      <c r="R937" s="52"/>
      <c r="S937" s="52"/>
      <c r="T937" s="52"/>
      <c r="U937" s="52"/>
      <c r="V937" s="52"/>
      <c r="W937" s="52"/>
      <c r="X937" s="52"/>
      <c r="Y937" s="52"/>
      <c r="Z937" s="52"/>
      <c r="AA937" s="52"/>
      <c r="AB937" s="52"/>
      <c r="AC937" s="52"/>
      <c r="AD937" s="52"/>
      <c r="AE937" s="52"/>
      <c r="AF937" s="52"/>
      <c r="AG937" s="52"/>
      <c r="AH937" s="52"/>
      <c r="AI937" s="52"/>
      <c r="AJ937" s="52"/>
      <c r="AK937" s="52"/>
      <c r="AL937" s="52"/>
      <c r="AM937" s="52"/>
      <c r="AN937" s="52"/>
      <c r="AO937" s="52"/>
      <c r="AP937" s="52"/>
      <c r="AQ937" s="52"/>
    </row>
    <row r="938" spans="1:43">
      <c r="A938" s="150"/>
      <c r="B938" s="477"/>
      <c r="C938" s="125"/>
      <c r="D938" s="478"/>
      <c r="E938" s="478"/>
      <c r="F938" s="52"/>
      <c r="G938" s="52"/>
      <c r="H938" s="52"/>
      <c r="I938" s="52"/>
      <c r="J938" s="52"/>
      <c r="K938" s="52"/>
      <c r="L938" s="52"/>
      <c r="M938" s="52"/>
      <c r="N938" s="52"/>
      <c r="O938" s="52"/>
      <c r="P938" s="52"/>
      <c r="Q938" s="52"/>
      <c r="R938" s="52"/>
      <c r="S938" s="52"/>
      <c r="T938" s="52"/>
      <c r="U938" s="52"/>
      <c r="V938" s="52"/>
      <c r="W938" s="52"/>
      <c r="X938" s="52"/>
      <c r="Y938" s="52"/>
      <c r="Z938" s="52"/>
      <c r="AA938" s="52"/>
      <c r="AB938" s="52"/>
      <c r="AC938" s="52"/>
      <c r="AD938" s="52"/>
      <c r="AE938" s="52"/>
      <c r="AF938" s="52"/>
      <c r="AG938" s="52"/>
      <c r="AH938" s="52"/>
      <c r="AI938" s="52"/>
      <c r="AJ938" s="52"/>
      <c r="AK938" s="52"/>
      <c r="AL938" s="52"/>
      <c r="AM938" s="52"/>
      <c r="AN938" s="52"/>
      <c r="AO938" s="52"/>
      <c r="AP938" s="52"/>
      <c r="AQ938" s="52"/>
    </row>
    <row r="939" spans="1:43">
      <c r="A939" s="150"/>
      <c r="B939" s="477"/>
      <c r="C939" s="125"/>
      <c r="D939" s="478"/>
      <c r="E939" s="478"/>
      <c r="F939" s="52"/>
      <c r="G939" s="52"/>
      <c r="H939" s="52"/>
      <c r="I939" s="52"/>
      <c r="J939" s="52"/>
      <c r="K939" s="52"/>
      <c r="L939" s="52"/>
      <c r="M939" s="52"/>
      <c r="N939" s="52"/>
      <c r="O939" s="52"/>
      <c r="P939" s="52"/>
      <c r="Q939" s="52"/>
      <c r="R939" s="52"/>
      <c r="S939" s="52"/>
      <c r="T939" s="52"/>
      <c r="U939" s="52"/>
      <c r="V939" s="52"/>
      <c r="W939" s="52"/>
      <c r="X939" s="52"/>
      <c r="Y939" s="52"/>
      <c r="Z939" s="52"/>
      <c r="AA939" s="52"/>
      <c r="AB939" s="52"/>
      <c r="AC939" s="52"/>
      <c r="AD939" s="52"/>
      <c r="AE939" s="52"/>
      <c r="AF939" s="52"/>
      <c r="AG939" s="52"/>
      <c r="AH939" s="52"/>
      <c r="AI939" s="52"/>
      <c r="AJ939" s="52"/>
      <c r="AK939" s="52"/>
      <c r="AL939" s="52"/>
      <c r="AM939" s="52"/>
      <c r="AN939" s="52"/>
      <c r="AO939" s="52"/>
      <c r="AP939" s="52"/>
      <c r="AQ939" s="52"/>
    </row>
    <row r="940" spans="1:43">
      <c r="A940" s="150"/>
      <c r="B940" s="477"/>
      <c r="C940" s="125"/>
      <c r="D940" s="478"/>
      <c r="E940" s="478"/>
      <c r="F940" s="52"/>
      <c r="G940" s="52"/>
      <c r="H940" s="52"/>
      <c r="I940" s="52"/>
      <c r="J940" s="52"/>
      <c r="K940" s="52"/>
      <c r="L940" s="52"/>
      <c r="M940" s="52"/>
      <c r="N940" s="52"/>
      <c r="O940" s="52"/>
      <c r="P940" s="52"/>
      <c r="Q940" s="52"/>
      <c r="R940" s="52"/>
      <c r="S940" s="52"/>
      <c r="T940" s="52"/>
      <c r="U940" s="52"/>
      <c r="V940" s="52"/>
      <c r="W940" s="52"/>
      <c r="X940" s="52"/>
      <c r="Y940" s="52"/>
      <c r="Z940" s="52"/>
      <c r="AA940" s="52"/>
      <c r="AB940" s="52"/>
      <c r="AC940" s="52"/>
      <c r="AD940" s="52"/>
      <c r="AE940" s="52"/>
      <c r="AF940" s="52"/>
      <c r="AG940" s="52"/>
      <c r="AH940" s="52"/>
      <c r="AI940" s="52"/>
      <c r="AJ940" s="52"/>
      <c r="AK940" s="52"/>
      <c r="AL940" s="52"/>
      <c r="AM940" s="52"/>
      <c r="AN940" s="52"/>
      <c r="AO940" s="52"/>
      <c r="AP940" s="52"/>
      <c r="AQ940" s="52"/>
    </row>
    <row r="941" spans="1:43">
      <c r="A941" s="150"/>
      <c r="B941" s="477"/>
      <c r="C941" s="125"/>
      <c r="D941" s="478"/>
      <c r="E941" s="478"/>
      <c r="F941" s="52"/>
      <c r="G941" s="52"/>
      <c r="H941" s="52"/>
      <c r="I941" s="52"/>
      <c r="J941" s="52"/>
      <c r="K941" s="52"/>
      <c r="L941" s="52"/>
      <c r="M941" s="52"/>
      <c r="N941" s="52"/>
      <c r="O941" s="52"/>
      <c r="P941" s="52"/>
      <c r="Q941" s="52"/>
      <c r="R941" s="52"/>
      <c r="S941" s="52"/>
      <c r="T941" s="52"/>
      <c r="U941" s="52"/>
      <c r="V941" s="52"/>
      <c r="W941" s="52"/>
      <c r="X941" s="52"/>
      <c r="Y941" s="52"/>
      <c r="Z941" s="52"/>
      <c r="AA941" s="52"/>
      <c r="AB941" s="52"/>
      <c r="AC941" s="52"/>
      <c r="AD941" s="52"/>
      <c r="AE941" s="52"/>
      <c r="AF941" s="52"/>
      <c r="AG941" s="52"/>
      <c r="AH941" s="52"/>
      <c r="AI941" s="52"/>
      <c r="AJ941" s="52"/>
      <c r="AK941" s="52"/>
      <c r="AL941" s="52"/>
      <c r="AM941" s="52"/>
      <c r="AN941" s="52"/>
      <c r="AO941" s="52"/>
      <c r="AP941" s="52"/>
      <c r="AQ941" s="52"/>
    </row>
    <row r="942" spans="1:43">
      <c r="A942" s="150"/>
      <c r="B942" s="477"/>
      <c r="C942" s="125"/>
      <c r="D942" s="478"/>
      <c r="E942" s="478"/>
      <c r="F942" s="52"/>
      <c r="G942" s="52"/>
      <c r="H942" s="52"/>
      <c r="I942" s="52"/>
      <c r="J942" s="52"/>
      <c r="K942" s="52"/>
      <c r="L942" s="52"/>
      <c r="M942" s="52"/>
      <c r="N942" s="52"/>
      <c r="O942" s="52"/>
      <c r="P942" s="52"/>
      <c r="Q942" s="52"/>
      <c r="R942" s="52"/>
      <c r="S942" s="52"/>
      <c r="T942" s="52"/>
      <c r="U942" s="52"/>
      <c r="V942" s="52"/>
      <c r="W942" s="52"/>
      <c r="X942" s="52"/>
      <c r="Y942" s="52"/>
      <c r="Z942" s="52"/>
      <c r="AA942" s="52"/>
      <c r="AB942" s="52"/>
      <c r="AC942" s="52"/>
      <c r="AD942" s="52"/>
      <c r="AE942" s="52"/>
      <c r="AF942" s="52"/>
      <c r="AG942" s="52"/>
      <c r="AH942" s="52"/>
      <c r="AI942" s="52"/>
      <c r="AJ942" s="52"/>
      <c r="AK942" s="52"/>
      <c r="AL942" s="52"/>
      <c r="AM942" s="52"/>
      <c r="AN942" s="52"/>
      <c r="AO942" s="52"/>
      <c r="AP942" s="52"/>
      <c r="AQ942" s="52"/>
    </row>
    <row r="943" spans="1:43">
      <c r="A943" s="150"/>
      <c r="B943" s="477"/>
      <c r="C943" s="125"/>
      <c r="D943" s="478"/>
      <c r="E943" s="478"/>
      <c r="F943" s="52"/>
      <c r="G943" s="52"/>
      <c r="H943" s="52"/>
      <c r="I943" s="52"/>
      <c r="J943" s="52"/>
      <c r="K943" s="52"/>
      <c r="L943" s="52"/>
      <c r="M943" s="52"/>
      <c r="N943" s="52"/>
      <c r="O943" s="52"/>
      <c r="P943" s="52"/>
      <c r="Q943" s="52"/>
      <c r="R943" s="52"/>
      <c r="S943" s="52"/>
      <c r="T943" s="52"/>
      <c r="U943" s="52"/>
      <c r="V943" s="52"/>
      <c r="W943" s="52"/>
      <c r="X943" s="52"/>
      <c r="Y943" s="52"/>
      <c r="Z943" s="52"/>
      <c r="AA943" s="52"/>
      <c r="AB943" s="52"/>
      <c r="AC943" s="52"/>
      <c r="AD943" s="52"/>
      <c r="AE943" s="52"/>
      <c r="AF943" s="52"/>
      <c r="AG943" s="52"/>
      <c r="AH943" s="52"/>
      <c r="AI943" s="52"/>
      <c r="AJ943" s="52"/>
      <c r="AK943" s="52"/>
      <c r="AL943" s="52"/>
      <c r="AM943" s="52"/>
      <c r="AN943" s="52"/>
      <c r="AO943" s="52"/>
      <c r="AP943" s="52"/>
      <c r="AQ943" s="52"/>
    </row>
    <row r="944" spans="1:43">
      <c r="A944" s="150"/>
      <c r="B944" s="477"/>
      <c r="C944" s="125"/>
      <c r="D944" s="478"/>
      <c r="E944" s="478"/>
      <c r="F944" s="52"/>
      <c r="G944" s="52"/>
      <c r="H944" s="52"/>
      <c r="I944" s="52"/>
      <c r="J944" s="52"/>
      <c r="K944" s="52"/>
      <c r="L944" s="52"/>
      <c r="M944" s="52"/>
      <c r="N944" s="52"/>
      <c r="O944" s="52"/>
      <c r="P944" s="52"/>
      <c r="Q944" s="52"/>
      <c r="R944" s="52"/>
      <c r="S944" s="52"/>
      <c r="T944" s="52"/>
      <c r="U944" s="52"/>
      <c r="V944" s="52"/>
      <c r="W944" s="52"/>
      <c r="X944" s="52"/>
      <c r="Y944" s="52"/>
      <c r="Z944" s="52"/>
      <c r="AA944" s="52"/>
      <c r="AB944" s="52"/>
      <c r="AC944" s="52"/>
      <c r="AD944" s="52"/>
      <c r="AE944" s="52"/>
      <c r="AF944" s="52"/>
      <c r="AG944" s="52"/>
      <c r="AH944" s="52"/>
      <c r="AI944" s="52"/>
      <c r="AJ944" s="52"/>
      <c r="AK944" s="52"/>
      <c r="AL944" s="52"/>
      <c r="AM944" s="52"/>
      <c r="AN944" s="52"/>
      <c r="AO944" s="52"/>
      <c r="AP944" s="52"/>
      <c r="AQ944" s="52"/>
    </row>
    <row r="945" spans="1:43">
      <c r="A945" s="150"/>
      <c r="B945" s="477"/>
      <c r="C945" s="125"/>
      <c r="D945" s="478"/>
      <c r="E945" s="478"/>
      <c r="F945" s="52"/>
      <c r="G945" s="52"/>
      <c r="H945" s="52"/>
      <c r="I945" s="52"/>
      <c r="J945" s="52"/>
      <c r="K945" s="52"/>
      <c r="L945" s="52"/>
      <c r="M945" s="52"/>
      <c r="N945" s="52"/>
      <c r="O945" s="52"/>
      <c r="P945" s="52"/>
      <c r="Q945" s="52"/>
      <c r="R945" s="52"/>
      <c r="S945" s="52"/>
      <c r="T945" s="52"/>
      <c r="U945" s="52"/>
      <c r="V945" s="52"/>
      <c r="W945" s="52"/>
      <c r="X945" s="52"/>
      <c r="Y945" s="52"/>
      <c r="Z945" s="52"/>
      <c r="AA945" s="52"/>
      <c r="AB945" s="52"/>
      <c r="AC945" s="52"/>
      <c r="AD945" s="52"/>
      <c r="AE945" s="52"/>
      <c r="AF945" s="52"/>
      <c r="AG945" s="52"/>
      <c r="AH945" s="52"/>
      <c r="AI945" s="52"/>
      <c r="AJ945" s="52"/>
      <c r="AK945" s="52"/>
      <c r="AL945" s="52"/>
      <c r="AM945" s="52"/>
      <c r="AN945" s="52"/>
      <c r="AO945" s="52"/>
      <c r="AP945" s="52"/>
      <c r="AQ945" s="52"/>
    </row>
    <row r="946" spans="1:43">
      <c r="A946" s="150"/>
      <c r="B946" s="477"/>
      <c r="C946" s="125"/>
      <c r="D946" s="478"/>
      <c r="E946" s="478"/>
      <c r="F946" s="52"/>
      <c r="G946" s="52"/>
      <c r="H946" s="52"/>
      <c r="I946" s="52"/>
      <c r="J946" s="52"/>
      <c r="K946" s="52"/>
      <c r="L946" s="52"/>
      <c r="M946" s="52"/>
      <c r="N946" s="52"/>
      <c r="O946" s="52"/>
      <c r="P946" s="52"/>
      <c r="Q946" s="52"/>
      <c r="R946" s="52"/>
      <c r="S946" s="52"/>
      <c r="T946" s="52"/>
      <c r="U946" s="52"/>
      <c r="V946" s="52"/>
      <c r="W946" s="52"/>
      <c r="X946" s="52"/>
      <c r="Y946" s="52"/>
      <c r="Z946" s="52"/>
      <c r="AA946" s="52"/>
      <c r="AB946" s="52"/>
      <c r="AC946" s="52"/>
      <c r="AD946" s="52"/>
      <c r="AE946" s="52"/>
      <c r="AF946" s="52"/>
      <c r="AG946" s="52"/>
      <c r="AH946" s="52"/>
      <c r="AI946" s="52"/>
      <c r="AJ946" s="52"/>
      <c r="AK946" s="52"/>
      <c r="AL946" s="52"/>
      <c r="AM946" s="52"/>
      <c r="AN946" s="52"/>
      <c r="AO946" s="52"/>
      <c r="AP946" s="52"/>
      <c r="AQ946" s="52"/>
    </row>
    <row r="947" spans="1:43">
      <c r="A947" s="150"/>
      <c r="B947" s="477"/>
      <c r="C947" s="125"/>
      <c r="D947" s="478"/>
      <c r="E947" s="478"/>
      <c r="F947" s="52"/>
      <c r="G947" s="52"/>
      <c r="H947" s="52"/>
      <c r="I947" s="52"/>
      <c r="J947" s="52"/>
      <c r="K947" s="52"/>
      <c r="L947" s="52"/>
      <c r="M947" s="52"/>
      <c r="N947" s="52"/>
      <c r="O947" s="52"/>
      <c r="P947" s="52"/>
      <c r="Q947" s="52"/>
      <c r="R947" s="52"/>
      <c r="S947" s="52"/>
      <c r="T947" s="52"/>
      <c r="U947" s="52"/>
      <c r="V947" s="52"/>
      <c r="W947" s="52"/>
      <c r="X947" s="52"/>
      <c r="Y947" s="52"/>
      <c r="Z947" s="52"/>
      <c r="AA947" s="52"/>
      <c r="AB947" s="52"/>
      <c r="AC947" s="52"/>
      <c r="AD947" s="52"/>
      <c r="AE947" s="52"/>
      <c r="AF947" s="52"/>
      <c r="AG947" s="52"/>
      <c r="AH947" s="52"/>
      <c r="AI947" s="52"/>
      <c r="AJ947" s="52"/>
      <c r="AK947" s="52"/>
      <c r="AL947" s="52"/>
      <c r="AM947" s="52"/>
      <c r="AN947" s="52"/>
      <c r="AO947" s="52"/>
      <c r="AP947" s="52"/>
      <c r="AQ947" s="52"/>
    </row>
    <row r="948" spans="1:43">
      <c r="A948" s="150"/>
      <c r="B948" s="477"/>
      <c r="C948" s="125"/>
      <c r="D948" s="478"/>
      <c r="E948" s="478"/>
      <c r="F948" s="52"/>
      <c r="G948" s="52"/>
      <c r="H948" s="52"/>
      <c r="I948" s="52"/>
      <c r="J948" s="52"/>
      <c r="K948" s="52"/>
      <c r="L948" s="52"/>
      <c r="M948" s="52"/>
      <c r="N948" s="52"/>
      <c r="O948" s="52"/>
      <c r="P948" s="52"/>
      <c r="Q948" s="52"/>
      <c r="R948" s="52"/>
      <c r="S948" s="52"/>
      <c r="T948" s="52"/>
      <c r="U948" s="52"/>
      <c r="V948" s="52"/>
      <c r="W948" s="52"/>
      <c r="X948" s="52"/>
      <c r="Y948" s="52"/>
      <c r="Z948" s="52"/>
      <c r="AA948" s="52"/>
      <c r="AB948" s="52"/>
      <c r="AC948" s="52"/>
      <c r="AD948" s="52"/>
      <c r="AE948" s="52"/>
      <c r="AF948" s="52"/>
      <c r="AG948" s="52"/>
      <c r="AH948" s="52"/>
      <c r="AI948" s="52"/>
      <c r="AJ948" s="52"/>
      <c r="AK948" s="52"/>
      <c r="AL948" s="52"/>
      <c r="AM948" s="52"/>
      <c r="AN948" s="52"/>
      <c r="AO948" s="52"/>
      <c r="AP948" s="52"/>
      <c r="AQ948" s="52"/>
    </row>
    <row r="949" spans="1:43">
      <c r="A949" s="150"/>
      <c r="B949" s="477"/>
      <c r="C949" s="125"/>
      <c r="D949" s="478"/>
      <c r="E949" s="478"/>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c r="AI949" s="52"/>
      <c r="AJ949" s="52"/>
      <c r="AK949" s="52"/>
      <c r="AL949" s="52"/>
      <c r="AM949" s="52"/>
      <c r="AN949" s="52"/>
      <c r="AO949" s="52"/>
      <c r="AP949" s="52"/>
      <c r="AQ949" s="52"/>
    </row>
    <row r="950" spans="1:43">
      <c r="A950" s="150"/>
      <c r="B950" s="477"/>
      <c r="C950" s="125"/>
      <c r="D950" s="478"/>
      <c r="E950" s="478"/>
      <c r="F950" s="52"/>
      <c r="G950" s="52"/>
      <c r="H950" s="52"/>
      <c r="I950" s="52"/>
      <c r="J950" s="52"/>
      <c r="K950" s="52"/>
      <c r="L950" s="52"/>
      <c r="M950" s="52"/>
      <c r="N950" s="52"/>
      <c r="O950" s="52"/>
      <c r="P950" s="52"/>
      <c r="Q950" s="52"/>
      <c r="R950" s="52"/>
      <c r="S950" s="52"/>
      <c r="T950" s="52"/>
      <c r="U950" s="52"/>
      <c r="V950" s="52"/>
      <c r="W950" s="52"/>
      <c r="X950" s="52"/>
      <c r="Y950" s="52"/>
      <c r="Z950" s="52"/>
      <c r="AA950" s="52"/>
      <c r="AB950" s="52"/>
      <c r="AC950" s="52"/>
      <c r="AD950" s="52"/>
      <c r="AE950" s="52"/>
      <c r="AF950" s="52"/>
      <c r="AG950" s="52"/>
      <c r="AH950" s="52"/>
      <c r="AI950" s="52"/>
      <c r="AJ950" s="52"/>
      <c r="AK950" s="52"/>
      <c r="AL950" s="52"/>
      <c r="AM950" s="52"/>
      <c r="AN950" s="52"/>
      <c r="AO950" s="52"/>
      <c r="AP950" s="52"/>
      <c r="AQ950" s="52"/>
    </row>
    <row r="951" spans="1:43">
      <c r="A951" s="150"/>
      <c r="B951" s="477"/>
      <c r="C951" s="125"/>
      <c r="D951" s="478"/>
      <c r="E951" s="478"/>
      <c r="F951" s="52"/>
      <c r="G951" s="52"/>
      <c r="H951" s="52"/>
      <c r="I951" s="52"/>
      <c r="J951" s="52"/>
      <c r="K951" s="52"/>
      <c r="L951" s="52"/>
      <c r="M951" s="52"/>
      <c r="N951" s="52"/>
      <c r="O951" s="52"/>
      <c r="P951" s="52"/>
      <c r="Q951" s="52"/>
      <c r="R951" s="52"/>
      <c r="S951" s="52"/>
      <c r="T951" s="52"/>
      <c r="U951" s="52"/>
      <c r="V951" s="52"/>
      <c r="W951" s="52"/>
      <c r="X951" s="52"/>
      <c r="Y951" s="52"/>
      <c r="Z951" s="52"/>
      <c r="AA951" s="52"/>
      <c r="AB951" s="52"/>
      <c r="AC951" s="52"/>
      <c r="AD951" s="52"/>
      <c r="AE951" s="52"/>
      <c r="AF951" s="52"/>
      <c r="AG951" s="52"/>
      <c r="AH951" s="52"/>
      <c r="AI951" s="52"/>
      <c r="AJ951" s="52"/>
      <c r="AK951" s="52"/>
      <c r="AL951" s="52"/>
      <c r="AM951" s="52"/>
      <c r="AN951" s="52"/>
      <c r="AO951" s="52"/>
      <c r="AP951" s="52"/>
      <c r="AQ951" s="52"/>
    </row>
    <row r="952" spans="1:43">
      <c r="A952" s="150"/>
      <c r="B952" s="477"/>
      <c r="C952" s="125"/>
      <c r="D952" s="478"/>
      <c r="E952" s="478"/>
      <c r="F952" s="52"/>
      <c r="G952" s="52"/>
      <c r="H952" s="52"/>
      <c r="I952" s="52"/>
      <c r="J952" s="52"/>
      <c r="K952" s="52"/>
      <c r="L952" s="52"/>
      <c r="M952" s="52"/>
      <c r="N952" s="52"/>
      <c r="O952" s="52"/>
      <c r="P952" s="52"/>
      <c r="Q952" s="52"/>
      <c r="R952" s="52"/>
      <c r="S952" s="52"/>
      <c r="T952" s="52"/>
      <c r="U952" s="52"/>
      <c r="V952" s="52"/>
      <c r="W952" s="52"/>
      <c r="X952" s="52"/>
      <c r="Y952" s="52"/>
      <c r="Z952" s="52"/>
      <c r="AA952" s="52"/>
      <c r="AB952" s="52"/>
      <c r="AC952" s="52"/>
      <c r="AD952" s="52"/>
      <c r="AE952" s="52"/>
      <c r="AF952" s="52"/>
      <c r="AG952" s="52"/>
      <c r="AH952" s="52"/>
      <c r="AI952" s="52"/>
      <c r="AJ952" s="52"/>
      <c r="AK952" s="52"/>
      <c r="AL952" s="52"/>
      <c r="AM952" s="52"/>
      <c r="AN952" s="52"/>
      <c r="AO952" s="52"/>
      <c r="AP952" s="52"/>
      <c r="AQ952" s="52"/>
    </row>
    <row r="953" spans="1:43">
      <c r="A953" s="150"/>
      <c r="B953" s="477"/>
      <c r="C953" s="125"/>
      <c r="D953" s="478"/>
      <c r="E953" s="478"/>
      <c r="F953" s="52"/>
      <c r="G953" s="52"/>
      <c r="H953" s="52"/>
      <c r="I953" s="52"/>
      <c r="J953" s="52"/>
      <c r="K953" s="52"/>
      <c r="L953" s="52"/>
      <c r="M953" s="52"/>
      <c r="N953" s="52"/>
      <c r="O953" s="52"/>
      <c r="P953" s="52"/>
      <c r="Q953" s="52"/>
      <c r="R953" s="52"/>
      <c r="S953" s="52"/>
      <c r="T953" s="52"/>
      <c r="U953" s="52"/>
      <c r="V953" s="52"/>
      <c r="W953" s="52"/>
      <c r="X953" s="52"/>
      <c r="Y953" s="52"/>
      <c r="Z953" s="52"/>
      <c r="AA953" s="52"/>
      <c r="AB953" s="52"/>
      <c r="AC953" s="52"/>
      <c r="AD953" s="52"/>
      <c r="AE953" s="52"/>
      <c r="AF953" s="52"/>
      <c r="AG953" s="52"/>
      <c r="AH953" s="52"/>
      <c r="AI953" s="52"/>
      <c r="AJ953" s="52"/>
      <c r="AK953" s="52"/>
      <c r="AL953" s="52"/>
      <c r="AM953" s="52"/>
      <c r="AN953" s="52"/>
      <c r="AO953" s="52"/>
      <c r="AP953" s="52"/>
      <c r="AQ953" s="52"/>
    </row>
    <row r="954" spans="1:43">
      <c r="A954" s="150"/>
      <c r="B954" s="477"/>
      <c r="C954" s="125"/>
      <c r="D954" s="478"/>
      <c r="E954" s="478"/>
      <c r="F954" s="52"/>
      <c r="G954" s="52"/>
      <c r="H954" s="52"/>
      <c r="I954" s="52"/>
      <c r="J954" s="52"/>
      <c r="K954" s="52"/>
      <c r="L954" s="52"/>
      <c r="M954" s="52"/>
      <c r="N954" s="52"/>
      <c r="O954" s="52"/>
      <c r="P954" s="52"/>
      <c r="Q954" s="52"/>
      <c r="R954" s="52"/>
      <c r="S954" s="52"/>
      <c r="T954" s="52"/>
      <c r="U954" s="52"/>
      <c r="V954" s="52"/>
      <c r="W954" s="52"/>
      <c r="X954" s="52"/>
      <c r="Y954" s="52"/>
      <c r="Z954" s="52"/>
      <c r="AA954" s="52"/>
      <c r="AB954" s="52"/>
      <c r="AC954" s="52"/>
      <c r="AD954" s="52"/>
      <c r="AE954" s="52"/>
      <c r="AF954" s="52"/>
      <c r="AG954" s="52"/>
      <c r="AH954" s="52"/>
      <c r="AI954" s="52"/>
      <c r="AJ954" s="52"/>
      <c r="AK954" s="52"/>
      <c r="AL954" s="52"/>
      <c r="AM954" s="52"/>
      <c r="AN954" s="52"/>
      <c r="AO954" s="52"/>
      <c r="AP954" s="52"/>
      <c r="AQ954" s="52"/>
    </row>
    <row r="955" spans="1:43">
      <c r="A955" s="150"/>
      <c r="B955" s="477"/>
      <c r="C955" s="125"/>
      <c r="D955" s="478"/>
      <c r="E955" s="478"/>
      <c r="F955" s="52"/>
      <c r="G955" s="52"/>
      <c r="H955" s="52"/>
      <c r="I955" s="52"/>
      <c r="J955" s="52"/>
      <c r="K955" s="52"/>
      <c r="L955" s="52"/>
      <c r="M955" s="52"/>
      <c r="N955" s="52"/>
      <c r="O955" s="52"/>
      <c r="P955" s="52"/>
      <c r="Q955" s="52"/>
      <c r="R955" s="52"/>
      <c r="S955" s="52"/>
      <c r="T955" s="52"/>
      <c r="U955" s="52"/>
      <c r="V955" s="52"/>
      <c r="W955" s="52"/>
      <c r="X955" s="52"/>
      <c r="Y955" s="52"/>
      <c r="Z955" s="52"/>
      <c r="AA955" s="52"/>
      <c r="AB955" s="52"/>
      <c r="AC955" s="52"/>
      <c r="AD955" s="52"/>
      <c r="AE955" s="52"/>
      <c r="AF955" s="52"/>
      <c r="AG955" s="52"/>
      <c r="AH955" s="52"/>
      <c r="AI955" s="52"/>
      <c r="AJ955" s="52"/>
      <c r="AK955" s="52"/>
      <c r="AL955" s="52"/>
      <c r="AM955" s="52"/>
      <c r="AN955" s="52"/>
      <c r="AO955" s="52"/>
      <c r="AP955" s="52"/>
      <c r="AQ955" s="52"/>
    </row>
    <row r="956" spans="1:43">
      <c r="A956" s="150"/>
      <c r="B956" s="477"/>
      <c r="C956" s="125"/>
      <c r="D956" s="478"/>
      <c r="E956" s="478"/>
      <c r="F956" s="52"/>
      <c r="G956" s="52"/>
      <c r="H956" s="52"/>
      <c r="I956" s="52"/>
      <c r="J956" s="52"/>
      <c r="K956" s="52"/>
      <c r="L956" s="52"/>
      <c r="M956" s="52"/>
      <c r="N956" s="52"/>
      <c r="O956" s="52"/>
      <c r="P956" s="52"/>
      <c r="Q956" s="52"/>
      <c r="R956" s="52"/>
      <c r="S956" s="52"/>
      <c r="T956" s="52"/>
      <c r="U956" s="52"/>
      <c r="V956" s="52"/>
      <c r="W956" s="52"/>
      <c r="X956" s="52"/>
      <c r="Y956" s="52"/>
      <c r="Z956" s="52"/>
      <c r="AA956" s="52"/>
      <c r="AB956" s="52"/>
      <c r="AC956" s="52"/>
      <c r="AD956" s="52"/>
      <c r="AE956" s="52"/>
      <c r="AF956" s="52"/>
      <c r="AG956" s="52"/>
      <c r="AH956" s="52"/>
      <c r="AI956" s="52"/>
      <c r="AJ956" s="52"/>
      <c r="AK956" s="52"/>
      <c r="AL956" s="52"/>
      <c r="AM956" s="52"/>
      <c r="AN956" s="52"/>
      <c r="AO956" s="52"/>
      <c r="AP956" s="52"/>
      <c r="AQ956" s="52"/>
    </row>
    <row r="957" spans="1:43">
      <c r="A957" s="150"/>
      <c r="B957" s="477"/>
      <c r="C957" s="125"/>
      <c r="D957" s="478"/>
      <c r="E957" s="478"/>
      <c r="F957" s="52"/>
      <c r="G957" s="52"/>
      <c r="H957" s="52"/>
      <c r="I957" s="52"/>
      <c r="J957" s="52"/>
      <c r="K957" s="52"/>
      <c r="L957" s="52"/>
      <c r="M957" s="52"/>
      <c r="N957" s="52"/>
      <c r="O957" s="52"/>
      <c r="P957" s="52"/>
      <c r="Q957" s="52"/>
      <c r="R957" s="52"/>
      <c r="S957" s="52"/>
      <c r="T957" s="52"/>
      <c r="U957" s="52"/>
      <c r="V957" s="52"/>
      <c r="W957" s="52"/>
      <c r="X957" s="52"/>
      <c r="Y957" s="52"/>
      <c r="Z957" s="52"/>
      <c r="AA957" s="52"/>
      <c r="AB957" s="52"/>
      <c r="AC957" s="52"/>
      <c r="AD957" s="52"/>
      <c r="AE957" s="52"/>
      <c r="AF957" s="52"/>
      <c r="AG957" s="52"/>
      <c r="AH957" s="52"/>
      <c r="AI957" s="52"/>
      <c r="AJ957" s="52"/>
      <c r="AK957" s="52"/>
      <c r="AL957" s="52"/>
      <c r="AM957" s="52"/>
      <c r="AN957" s="52"/>
      <c r="AO957" s="52"/>
      <c r="AP957" s="52"/>
      <c r="AQ957" s="52"/>
    </row>
    <row r="958" spans="1:43">
      <c r="A958" s="150"/>
      <c r="B958" s="477"/>
      <c r="C958" s="125"/>
      <c r="D958" s="478"/>
      <c r="E958" s="478"/>
      <c r="F958" s="52"/>
      <c r="G958" s="52"/>
      <c r="H958" s="52"/>
      <c r="I958" s="52"/>
      <c r="J958" s="52"/>
      <c r="K958" s="52"/>
      <c r="L958" s="52"/>
      <c r="M958" s="52"/>
      <c r="N958" s="52"/>
      <c r="O958" s="52"/>
      <c r="P958" s="52"/>
      <c r="Q958" s="52"/>
      <c r="R958" s="52"/>
      <c r="S958" s="52"/>
      <c r="T958" s="52"/>
      <c r="U958" s="52"/>
      <c r="V958" s="52"/>
      <c r="W958" s="52"/>
      <c r="X958" s="52"/>
      <c r="Y958" s="52"/>
      <c r="Z958" s="52"/>
      <c r="AA958" s="52"/>
      <c r="AB958" s="52"/>
      <c r="AC958" s="52"/>
      <c r="AD958" s="52"/>
      <c r="AE958" s="52"/>
      <c r="AF958" s="52"/>
      <c r="AG958" s="52"/>
      <c r="AH958" s="52"/>
      <c r="AI958" s="52"/>
      <c r="AJ958" s="52"/>
      <c r="AK958" s="52"/>
      <c r="AL958" s="52"/>
      <c r="AM958" s="52"/>
      <c r="AN958" s="52"/>
      <c r="AO958" s="52"/>
      <c r="AP958" s="52"/>
      <c r="AQ958" s="52"/>
    </row>
    <row r="959" spans="1:43">
      <c r="A959" s="150"/>
      <c r="B959" s="477"/>
      <c r="C959" s="125"/>
      <c r="D959" s="478"/>
      <c r="E959" s="478"/>
      <c r="F959" s="52"/>
      <c r="G959" s="52"/>
      <c r="H959" s="52"/>
      <c r="I959" s="52"/>
      <c r="J959" s="52"/>
      <c r="K959" s="52"/>
      <c r="L959" s="52"/>
      <c r="M959" s="52"/>
      <c r="N959" s="52"/>
      <c r="O959" s="52"/>
      <c r="P959" s="52"/>
      <c r="Q959" s="52"/>
      <c r="R959" s="52"/>
      <c r="S959" s="52"/>
      <c r="T959" s="52"/>
      <c r="U959" s="52"/>
      <c r="V959" s="52"/>
      <c r="W959" s="52"/>
      <c r="X959" s="52"/>
      <c r="Y959" s="52"/>
      <c r="Z959" s="52"/>
      <c r="AA959" s="52"/>
      <c r="AB959" s="52"/>
      <c r="AC959" s="52"/>
      <c r="AD959" s="52"/>
      <c r="AE959" s="52"/>
      <c r="AF959" s="52"/>
      <c r="AG959" s="52"/>
      <c r="AH959" s="52"/>
      <c r="AI959" s="52"/>
      <c r="AJ959" s="52"/>
      <c r="AK959" s="52"/>
      <c r="AL959" s="52"/>
      <c r="AM959" s="52"/>
      <c r="AN959" s="52"/>
      <c r="AO959" s="52"/>
      <c r="AP959" s="52"/>
      <c r="AQ959" s="52"/>
    </row>
    <row r="960" spans="1:43">
      <c r="A960" s="150"/>
      <c r="B960" s="477"/>
      <c r="C960" s="125"/>
      <c r="D960" s="478"/>
      <c r="E960" s="478"/>
      <c r="F960" s="52"/>
      <c r="G960" s="52"/>
      <c r="H960" s="52"/>
      <c r="I960" s="52"/>
      <c r="J960" s="52"/>
      <c r="K960" s="52"/>
      <c r="L960" s="52"/>
      <c r="M960" s="52"/>
      <c r="N960" s="52"/>
      <c r="O960" s="52"/>
      <c r="P960" s="52"/>
      <c r="Q960" s="52"/>
      <c r="R960" s="52"/>
      <c r="S960" s="52"/>
      <c r="T960" s="52"/>
      <c r="U960" s="52"/>
      <c r="V960" s="52"/>
      <c r="W960" s="52"/>
      <c r="X960" s="52"/>
      <c r="Y960" s="52"/>
      <c r="Z960" s="52"/>
      <c r="AA960" s="52"/>
      <c r="AB960" s="52"/>
      <c r="AC960" s="52"/>
      <c r="AD960" s="52"/>
      <c r="AE960" s="52"/>
      <c r="AF960" s="52"/>
      <c r="AG960" s="52"/>
      <c r="AH960" s="52"/>
      <c r="AI960" s="52"/>
      <c r="AJ960" s="52"/>
      <c r="AK960" s="52"/>
      <c r="AL960" s="52"/>
      <c r="AM960" s="52"/>
      <c r="AN960" s="52"/>
      <c r="AO960" s="52"/>
      <c r="AP960" s="52"/>
      <c r="AQ960" s="52"/>
    </row>
    <row r="961" spans="1:43">
      <c r="A961" s="150"/>
      <c r="B961" s="477"/>
      <c r="C961" s="125"/>
      <c r="D961" s="478"/>
      <c r="E961" s="478"/>
      <c r="F961" s="52"/>
      <c r="G961" s="52"/>
      <c r="H961" s="52"/>
      <c r="I961" s="52"/>
      <c r="J961" s="52"/>
      <c r="K961" s="52"/>
      <c r="L961" s="52"/>
      <c r="M961" s="52"/>
      <c r="N961" s="52"/>
      <c r="O961" s="52"/>
      <c r="P961" s="52"/>
      <c r="Q961" s="52"/>
      <c r="R961" s="52"/>
      <c r="S961" s="52"/>
      <c r="T961" s="52"/>
      <c r="U961" s="52"/>
      <c r="V961" s="52"/>
      <c r="W961" s="52"/>
      <c r="X961" s="52"/>
      <c r="Y961" s="52"/>
      <c r="Z961" s="52"/>
      <c r="AA961" s="52"/>
      <c r="AB961" s="52"/>
      <c r="AC961" s="52"/>
      <c r="AD961" s="52"/>
      <c r="AE961" s="52"/>
      <c r="AF961" s="52"/>
      <c r="AG961" s="52"/>
      <c r="AH961" s="52"/>
      <c r="AI961" s="52"/>
      <c r="AJ961" s="52"/>
      <c r="AK961" s="52"/>
      <c r="AL961" s="52"/>
      <c r="AM961" s="52"/>
      <c r="AN961" s="52"/>
      <c r="AO961" s="52"/>
      <c r="AP961" s="52"/>
      <c r="AQ961" s="52"/>
    </row>
    <row r="962" spans="1:43">
      <c r="A962" s="150"/>
      <c r="B962" s="477"/>
      <c r="C962" s="125"/>
      <c r="D962" s="478"/>
      <c r="E962" s="478"/>
      <c r="F962" s="52"/>
      <c r="G962" s="52"/>
      <c r="H962" s="52"/>
      <c r="I962" s="52"/>
      <c r="J962" s="52"/>
      <c r="K962" s="52"/>
      <c r="L962" s="52"/>
      <c r="M962" s="52"/>
      <c r="N962" s="52"/>
      <c r="O962" s="52"/>
      <c r="P962" s="52"/>
      <c r="Q962" s="52"/>
      <c r="R962" s="52"/>
      <c r="S962" s="52"/>
      <c r="T962" s="52"/>
      <c r="U962" s="52"/>
      <c r="V962" s="52"/>
      <c r="W962" s="52"/>
      <c r="X962" s="52"/>
      <c r="Y962" s="52"/>
      <c r="Z962" s="52"/>
      <c r="AA962" s="52"/>
      <c r="AB962" s="52"/>
      <c r="AC962" s="52"/>
      <c r="AD962" s="52"/>
      <c r="AE962" s="52"/>
      <c r="AF962" s="52"/>
      <c r="AG962" s="52"/>
      <c r="AH962" s="52"/>
      <c r="AI962" s="52"/>
      <c r="AJ962" s="52"/>
      <c r="AK962" s="52"/>
      <c r="AL962" s="52"/>
      <c r="AM962" s="52"/>
      <c r="AN962" s="52"/>
      <c r="AO962" s="52"/>
      <c r="AP962" s="52"/>
      <c r="AQ962" s="52"/>
    </row>
    <row r="963" spans="1:43">
      <c r="A963" s="150"/>
      <c r="B963" s="477"/>
      <c r="C963" s="125"/>
      <c r="D963" s="478"/>
      <c r="E963" s="478"/>
      <c r="F963" s="52"/>
      <c r="G963" s="52"/>
      <c r="H963" s="52"/>
      <c r="I963" s="52"/>
      <c r="J963" s="52"/>
      <c r="K963" s="52"/>
      <c r="L963" s="52"/>
      <c r="M963" s="52"/>
      <c r="N963" s="52"/>
      <c r="O963" s="52"/>
      <c r="P963" s="52"/>
      <c r="Q963" s="52"/>
      <c r="R963" s="52"/>
      <c r="S963" s="52"/>
      <c r="T963" s="52"/>
      <c r="U963" s="52"/>
      <c r="V963" s="52"/>
      <c r="W963" s="52"/>
      <c r="X963" s="52"/>
      <c r="Y963" s="52"/>
      <c r="Z963" s="52"/>
      <c r="AA963" s="52"/>
      <c r="AB963" s="52"/>
      <c r="AC963" s="52"/>
      <c r="AD963" s="52"/>
      <c r="AE963" s="52"/>
      <c r="AF963" s="52"/>
      <c r="AG963" s="52"/>
      <c r="AH963" s="52"/>
      <c r="AI963" s="52"/>
      <c r="AJ963" s="52"/>
      <c r="AK963" s="52"/>
      <c r="AL963" s="52"/>
      <c r="AM963" s="52"/>
      <c r="AN963" s="52"/>
      <c r="AO963" s="52"/>
      <c r="AP963" s="52"/>
      <c r="AQ963" s="52"/>
    </row>
    <row r="964" spans="1:43">
      <c r="A964" s="150"/>
      <c r="B964" s="477"/>
      <c r="C964" s="125"/>
      <c r="D964" s="478"/>
      <c r="E964" s="478"/>
      <c r="F964" s="52"/>
      <c r="G964" s="52"/>
      <c r="H964" s="52"/>
      <c r="I964" s="52"/>
      <c r="J964" s="52"/>
      <c r="K964" s="52"/>
      <c r="L964" s="52"/>
      <c r="M964" s="52"/>
      <c r="N964" s="52"/>
      <c r="O964" s="52"/>
      <c r="P964" s="52"/>
      <c r="Q964" s="52"/>
      <c r="R964" s="52"/>
      <c r="S964" s="52"/>
      <c r="T964" s="52"/>
      <c r="U964" s="52"/>
      <c r="V964" s="52"/>
      <c r="W964" s="52"/>
      <c r="X964" s="52"/>
      <c r="Y964" s="52"/>
      <c r="Z964" s="52"/>
      <c r="AA964" s="52"/>
      <c r="AB964" s="52"/>
      <c r="AC964" s="52"/>
      <c r="AD964" s="52"/>
      <c r="AE964" s="52"/>
      <c r="AF964" s="52"/>
      <c r="AG964" s="52"/>
      <c r="AH964" s="52"/>
      <c r="AI964" s="52"/>
      <c r="AJ964" s="52"/>
      <c r="AK964" s="52"/>
      <c r="AL964" s="52"/>
      <c r="AM964" s="52"/>
      <c r="AN964" s="52"/>
      <c r="AO964" s="52"/>
      <c r="AP964" s="52"/>
      <c r="AQ964" s="52"/>
    </row>
    <row r="965" spans="1:43">
      <c r="A965" s="150"/>
      <c r="B965" s="477"/>
      <c r="C965" s="125"/>
      <c r="D965" s="478"/>
      <c r="E965" s="478"/>
      <c r="F965" s="52"/>
      <c r="G965" s="52"/>
      <c r="H965" s="52"/>
      <c r="I965" s="52"/>
      <c r="J965" s="52"/>
      <c r="K965" s="52"/>
      <c r="L965" s="52"/>
      <c r="M965" s="52"/>
      <c r="N965" s="52"/>
      <c r="O965" s="52"/>
      <c r="P965" s="52"/>
      <c r="Q965" s="52"/>
      <c r="R965" s="52"/>
      <c r="S965" s="52"/>
      <c r="T965" s="52"/>
      <c r="U965" s="52"/>
      <c r="V965" s="52"/>
      <c r="W965" s="52"/>
      <c r="X965" s="52"/>
      <c r="Y965" s="52"/>
      <c r="Z965" s="52"/>
      <c r="AA965" s="52"/>
      <c r="AB965" s="52"/>
      <c r="AC965" s="52"/>
      <c r="AD965" s="52"/>
      <c r="AE965" s="52"/>
      <c r="AF965" s="52"/>
      <c r="AG965" s="52"/>
      <c r="AH965" s="52"/>
      <c r="AI965" s="52"/>
      <c r="AJ965" s="52"/>
      <c r="AK965" s="52"/>
      <c r="AL965" s="52"/>
      <c r="AM965" s="52"/>
      <c r="AN965" s="52"/>
      <c r="AO965" s="52"/>
      <c r="AP965" s="52"/>
      <c r="AQ965" s="52"/>
    </row>
    <row r="966" spans="1:43">
      <c r="A966" s="150"/>
      <c r="B966" s="477"/>
      <c r="C966" s="125"/>
      <c r="D966" s="478"/>
      <c r="E966" s="478"/>
      <c r="F966" s="52"/>
      <c r="G966" s="52"/>
      <c r="H966" s="52"/>
      <c r="I966" s="52"/>
      <c r="J966" s="52"/>
      <c r="K966" s="52"/>
      <c r="L966" s="52"/>
      <c r="M966" s="52"/>
      <c r="N966" s="52"/>
      <c r="O966" s="52"/>
      <c r="P966" s="52"/>
      <c r="Q966" s="52"/>
      <c r="R966" s="52"/>
      <c r="S966" s="52"/>
      <c r="T966" s="52"/>
      <c r="U966" s="52"/>
      <c r="V966" s="52"/>
      <c r="W966" s="52"/>
      <c r="X966" s="52"/>
      <c r="Y966" s="52"/>
      <c r="Z966" s="52"/>
      <c r="AA966" s="52"/>
      <c r="AB966" s="52"/>
      <c r="AC966" s="52"/>
      <c r="AD966" s="52"/>
      <c r="AE966" s="52"/>
      <c r="AF966" s="52"/>
      <c r="AG966" s="52"/>
      <c r="AH966" s="52"/>
      <c r="AI966" s="52"/>
      <c r="AJ966" s="52"/>
      <c r="AK966" s="52"/>
      <c r="AL966" s="52"/>
      <c r="AM966" s="52"/>
      <c r="AN966" s="52"/>
      <c r="AO966" s="52"/>
      <c r="AP966" s="52"/>
      <c r="AQ966" s="52"/>
    </row>
    <row r="967" spans="1:43">
      <c r="A967" s="150"/>
      <c r="B967" s="477"/>
      <c r="C967" s="125"/>
      <c r="D967" s="478"/>
      <c r="E967" s="478"/>
      <c r="F967" s="52"/>
      <c r="G967" s="52"/>
      <c r="H967" s="52"/>
      <c r="I967" s="52"/>
      <c r="J967" s="52"/>
      <c r="K967" s="52"/>
      <c r="L967" s="52"/>
      <c r="M967" s="52"/>
      <c r="N967" s="52"/>
      <c r="O967" s="52"/>
      <c r="P967" s="52"/>
      <c r="Q967" s="52"/>
      <c r="R967" s="52"/>
      <c r="S967" s="52"/>
      <c r="T967" s="52"/>
      <c r="U967" s="52"/>
      <c r="V967" s="52"/>
      <c r="W967" s="52"/>
      <c r="X967" s="52"/>
      <c r="Y967" s="52"/>
      <c r="Z967" s="52"/>
      <c r="AA967" s="52"/>
      <c r="AB967" s="52"/>
      <c r="AC967" s="52"/>
      <c r="AD967" s="52"/>
      <c r="AE967" s="52"/>
      <c r="AF967" s="52"/>
      <c r="AG967" s="52"/>
      <c r="AH967" s="52"/>
      <c r="AI967" s="52"/>
      <c r="AJ967" s="52"/>
      <c r="AK967" s="52"/>
      <c r="AL967" s="52"/>
      <c r="AM967" s="52"/>
      <c r="AN967" s="52"/>
      <c r="AO967" s="52"/>
      <c r="AP967" s="52"/>
      <c r="AQ967" s="52"/>
    </row>
    <row r="968" spans="1:43">
      <c r="A968" s="150"/>
      <c r="B968" s="477"/>
      <c r="C968" s="125"/>
      <c r="D968" s="478"/>
      <c r="E968" s="478"/>
      <c r="F968" s="52"/>
      <c r="G968" s="52"/>
      <c r="H968" s="52"/>
      <c r="I968" s="52"/>
      <c r="J968" s="52"/>
      <c r="K968" s="52"/>
      <c r="L968" s="52"/>
      <c r="M968" s="52"/>
      <c r="N968" s="52"/>
      <c r="O968" s="52"/>
      <c r="P968" s="52"/>
      <c r="Q968" s="52"/>
      <c r="R968" s="52"/>
      <c r="S968" s="52"/>
      <c r="T968" s="52"/>
      <c r="U968" s="52"/>
      <c r="V968" s="52"/>
      <c r="W968" s="52"/>
      <c r="X968" s="52"/>
      <c r="Y968" s="52"/>
      <c r="Z968" s="52"/>
      <c r="AA968" s="52"/>
      <c r="AB968" s="52"/>
      <c r="AC968" s="52"/>
      <c r="AD968" s="52"/>
      <c r="AE968" s="52"/>
      <c r="AF968" s="52"/>
      <c r="AG968" s="52"/>
      <c r="AH968" s="52"/>
      <c r="AI968" s="52"/>
      <c r="AJ968" s="52"/>
      <c r="AK968" s="52"/>
      <c r="AL968" s="52"/>
      <c r="AM968" s="52"/>
      <c r="AN968" s="52"/>
      <c r="AO968" s="52"/>
      <c r="AP968" s="52"/>
      <c r="AQ968" s="52"/>
    </row>
    <row r="969" spans="1:43">
      <c r="A969" s="150"/>
      <c r="B969" s="477"/>
      <c r="C969" s="125"/>
      <c r="D969" s="478"/>
      <c r="E969" s="478"/>
      <c r="F969" s="52"/>
      <c r="G969" s="52"/>
      <c r="H969" s="52"/>
      <c r="I969" s="52"/>
      <c r="J969" s="52"/>
      <c r="K969" s="52"/>
      <c r="L969" s="52"/>
      <c r="M969" s="52"/>
      <c r="N969" s="52"/>
      <c r="O969" s="52"/>
      <c r="P969" s="52"/>
      <c r="Q969" s="52"/>
      <c r="R969" s="52"/>
      <c r="S969" s="52"/>
      <c r="T969" s="52"/>
      <c r="U969" s="52"/>
      <c r="V969" s="52"/>
      <c r="W969" s="52"/>
      <c r="X969" s="52"/>
      <c r="Y969" s="52"/>
      <c r="Z969" s="52"/>
      <c r="AA969" s="52"/>
      <c r="AB969" s="52"/>
      <c r="AC969" s="52"/>
      <c r="AD969" s="52"/>
      <c r="AE969" s="52"/>
      <c r="AF969" s="52"/>
      <c r="AG969" s="52"/>
      <c r="AH969" s="52"/>
      <c r="AI969" s="52"/>
      <c r="AJ969" s="52"/>
      <c r="AK969" s="52"/>
      <c r="AL969" s="52"/>
      <c r="AM969" s="52"/>
      <c r="AN969" s="52"/>
      <c r="AO969" s="52"/>
      <c r="AP969" s="52"/>
      <c r="AQ969" s="52"/>
    </row>
    <row r="970" spans="1:43">
      <c r="A970" s="150"/>
      <c r="B970" s="477"/>
      <c r="C970" s="125"/>
      <c r="D970" s="478"/>
      <c r="E970" s="478"/>
      <c r="F970" s="52"/>
      <c r="G970" s="52"/>
      <c r="H970" s="52"/>
      <c r="I970" s="52"/>
      <c r="J970" s="52"/>
      <c r="K970" s="52"/>
      <c r="L970" s="52"/>
      <c r="M970" s="52"/>
      <c r="N970" s="52"/>
      <c r="O970" s="52"/>
      <c r="P970" s="52"/>
      <c r="Q970" s="52"/>
      <c r="R970" s="52"/>
      <c r="S970" s="52"/>
      <c r="T970" s="52"/>
      <c r="U970" s="52"/>
      <c r="V970" s="52"/>
      <c r="W970" s="52"/>
      <c r="X970" s="52"/>
      <c r="Y970" s="52"/>
      <c r="Z970" s="52"/>
      <c r="AA970" s="52"/>
      <c r="AB970" s="52"/>
      <c r="AC970" s="52"/>
      <c r="AD970" s="52"/>
      <c r="AE970" s="52"/>
      <c r="AF970" s="52"/>
      <c r="AG970" s="52"/>
      <c r="AH970" s="52"/>
      <c r="AI970" s="52"/>
      <c r="AJ970" s="52"/>
      <c r="AK970" s="52"/>
      <c r="AL970" s="52"/>
      <c r="AM970" s="52"/>
      <c r="AN970" s="52"/>
      <c r="AO970" s="52"/>
      <c r="AP970" s="52"/>
      <c r="AQ970" s="52"/>
    </row>
    <row r="971" spans="1:43">
      <c r="A971" s="150"/>
      <c r="B971" s="477"/>
      <c r="C971" s="125"/>
      <c r="D971" s="478"/>
      <c r="E971" s="478"/>
      <c r="F971" s="52"/>
      <c r="G971" s="52"/>
      <c r="H971" s="52"/>
      <c r="I971" s="52"/>
      <c r="J971" s="52"/>
      <c r="K971" s="52"/>
      <c r="L971" s="52"/>
      <c r="M971" s="52"/>
      <c r="N971" s="52"/>
      <c r="O971" s="52"/>
      <c r="P971" s="52"/>
      <c r="Q971" s="52"/>
      <c r="R971" s="52"/>
      <c r="S971" s="52"/>
      <c r="T971" s="52"/>
      <c r="U971" s="52"/>
      <c r="V971" s="52"/>
      <c r="W971" s="52"/>
      <c r="X971" s="52"/>
      <c r="Y971" s="52"/>
      <c r="Z971" s="52"/>
      <c r="AA971" s="52"/>
      <c r="AB971" s="52"/>
      <c r="AC971" s="52"/>
      <c r="AD971" s="52"/>
      <c r="AE971" s="52"/>
      <c r="AF971" s="52"/>
      <c r="AG971" s="52"/>
      <c r="AH971" s="52"/>
      <c r="AI971" s="52"/>
      <c r="AJ971" s="52"/>
      <c r="AK971" s="52"/>
      <c r="AL971" s="52"/>
      <c r="AM971" s="52"/>
      <c r="AN971" s="52"/>
      <c r="AO971" s="52"/>
      <c r="AP971" s="52"/>
      <c r="AQ971" s="52"/>
    </row>
    <row r="972" spans="1:43">
      <c r="A972" s="150"/>
      <c r="B972" s="477"/>
      <c r="C972" s="125"/>
      <c r="D972" s="478"/>
      <c r="E972" s="478"/>
      <c r="F972" s="52"/>
      <c r="G972" s="52"/>
      <c r="H972" s="52"/>
      <c r="I972" s="52"/>
      <c r="J972" s="52"/>
      <c r="K972" s="52"/>
      <c r="L972" s="52"/>
      <c r="M972" s="52"/>
      <c r="N972" s="52"/>
      <c r="O972" s="52"/>
      <c r="P972" s="52"/>
      <c r="Q972" s="52"/>
      <c r="R972" s="52"/>
      <c r="S972" s="52"/>
      <c r="T972" s="52"/>
      <c r="U972" s="52"/>
      <c r="V972" s="52"/>
      <c r="W972" s="52"/>
      <c r="X972" s="52"/>
      <c r="Y972" s="52"/>
      <c r="Z972" s="52"/>
      <c r="AA972" s="52"/>
      <c r="AB972" s="52"/>
      <c r="AC972" s="52"/>
      <c r="AD972" s="52"/>
      <c r="AE972" s="52"/>
      <c r="AF972" s="52"/>
      <c r="AG972" s="52"/>
      <c r="AH972" s="52"/>
      <c r="AI972" s="52"/>
      <c r="AJ972" s="52"/>
      <c r="AK972" s="52"/>
      <c r="AL972" s="52"/>
      <c r="AM972" s="52"/>
      <c r="AN972" s="52"/>
      <c r="AO972" s="52"/>
      <c r="AP972" s="52"/>
      <c r="AQ972" s="52"/>
    </row>
    <row r="973" spans="1:43">
      <c r="A973" s="150"/>
      <c r="B973" s="477"/>
      <c r="C973" s="125"/>
      <c r="D973" s="478"/>
      <c r="E973" s="478"/>
      <c r="F973" s="52"/>
      <c r="G973" s="52"/>
      <c r="H973" s="52"/>
      <c r="I973" s="52"/>
      <c r="J973" s="52"/>
      <c r="K973" s="52"/>
      <c r="L973" s="52"/>
      <c r="M973" s="52"/>
      <c r="N973" s="52"/>
      <c r="O973" s="52"/>
      <c r="P973" s="52"/>
      <c r="Q973" s="52"/>
      <c r="R973" s="52"/>
      <c r="S973" s="52"/>
      <c r="T973" s="52"/>
      <c r="U973" s="52"/>
      <c r="V973" s="52"/>
      <c r="W973" s="52"/>
      <c r="X973" s="52"/>
      <c r="Y973" s="52"/>
      <c r="Z973" s="52"/>
      <c r="AA973" s="52"/>
      <c r="AB973" s="52"/>
      <c r="AC973" s="52"/>
      <c r="AD973" s="52"/>
      <c r="AE973" s="52"/>
      <c r="AF973" s="52"/>
      <c r="AG973" s="52"/>
      <c r="AH973" s="52"/>
      <c r="AI973" s="52"/>
      <c r="AJ973" s="52"/>
      <c r="AK973" s="52"/>
      <c r="AL973" s="52"/>
      <c r="AM973" s="52"/>
      <c r="AN973" s="52"/>
      <c r="AO973" s="52"/>
      <c r="AP973" s="52"/>
      <c r="AQ973" s="52"/>
    </row>
    <row r="974" spans="1:43">
      <c r="A974" s="150"/>
      <c r="B974" s="477"/>
      <c r="C974" s="125"/>
      <c r="D974" s="478"/>
      <c r="E974" s="478"/>
      <c r="F974" s="52"/>
      <c r="G974" s="52"/>
      <c r="H974" s="52"/>
      <c r="I974" s="52"/>
      <c r="J974" s="52"/>
      <c r="K974" s="52"/>
      <c r="L974" s="52"/>
      <c r="M974" s="52"/>
      <c r="N974" s="52"/>
      <c r="O974" s="52"/>
      <c r="P974" s="52"/>
      <c r="Q974" s="52"/>
      <c r="R974" s="52"/>
      <c r="S974" s="52"/>
      <c r="T974" s="52"/>
      <c r="U974" s="52"/>
      <c r="V974" s="52"/>
      <c r="W974" s="52"/>
      <c r="X974" s="52"/>
      <c r="Y974" s="52"/>
      <c r="Z974" s="52"/>
      <c r="AA974" s="52"/>
      <c r="AB974" s="52"/>
      <c r="AC974" s="52"/>
      <c r="AD974" s="52"/>
      <c r="AE974" s="52"/>
      <c r="AF974" s="52"/>
      <c r="AG974" s="52"/>
      <c r="AH974" s="52"/>
      <c r="AI974" s="52"/>
      <c r="AJ974" s="52"/>
      <c r="AK974" s="52"/>
      <c r="AL974" s="52"/>
      <c r="AM974" s="52"/>
      <c r="AN974" s="52"/>
      <c r="AO974" s="52"/>
      <c r="AP974" s="52"/>
      <c r="AQ974" s="52"/>
    </row>
    <row r="975" spans="1:43">
      <c r="A975" s="150"/>
      <c r="B975" s="477"/>
      <c r="C975" s="125"/>
      <c r="D975" s="478"/>
      <c r="E975" s="478"/>
      <c r="F975" s="52"/>
      <c r="G975" s="52"/>
      <c r="H975" s="52"/>
      <c r="I975" s="52"/>
      <c r="J975" s="52"/>
      <c r="K975" s="52"/>
      <c r="L975" s="52"/>
      <c r="M975" s="52"/>
      <c r="N975" s="52"/>
      <c r="O975" s="52"/>
      <c r="P975" s="52"/>
      <c r="Q975" s="52"/>
      <c r="R975" s="52"/>
      <c r="S975" s="52"/>
      <c r="T975" s="52"/>
      <c r="U975" s="52"/>
      <c r="V975" s="52"/>
      <c r="W975" s="52"/>
      <c r="X975" s="52"/>
      <c r="Y975" s="52"/>
      <c r="Z975" s="52"/>
      <c r="AA975" s="52"/>
      <c r="AB975" s="52"/>
      <c r="AC975" s="52"/>
      <c r="AD975" s="52"/>
      <c r="AE975" s="52"/>
      <c r="AF975" s="52"/>
      <c r="AG975" s="52"/>
      <c r="AH975" s="52"/>
      <c r="AI975" s="52"/>
      <c r="AJ975" s="52"/>
      <c r="AK975" s="52"/>
      <c r="AL975" s="52"/>
      <c r="AM975" s="52"/>
      <c r="AN975" s="52"/>
      <c r="AO975" s="52"/>
      <c r="AP975" s="52"/>
      <c r="AQ975" s="52"/>
    </row>
    <row r="976" spans="1:43">
      <c r="A976" s="150"/>
      <c r="B976" s="477"/>
      <c r="C976" s="125"/>
      <c r="D976" s="478"/>
      <c r="E976" s="478"/>
      <c r="F976" s="52"/>
      <c r="G976" s="52"/>
      <c r="H976" s="52"/>
      <c r="I976" s="52"/>
      <c r="J976" s="52"/>
      <c r="K976" s="52"/>
      <c r="L976" s="52"/>
      <c r="M976" s="52"/>
      <c r="N976" s="52"/>
      <c r="O976" s="52"/>
      <c r="P976" s="52"/>
      <c r="Q976" s="52"/>
      <c r="R976" s="52"/>
      <c r="S976" s="52"/>
      <c r="T976" s="52"/>
      <c r="U976" s="52"/>
      <c r="V976" s="52"/>
      <c r="W976" s="52"/>
      <c r="X976" s="52"/>
      <c r="Y976" s="52"/>
      <c r="Z976" s="52"/>
      <c r="AA976" s="52"/>
      <c r="AB976" s="52"/>
      <c r="AC976" s="52"/>
      <c r="AD976" s="52"/>
      <c r="AE976" s="52"/>
      <c r="AF976" s="52"/>
      <c r="AG976" s="52"/>
      <c r="AH976" s="52"/>
      <c r="AI976" s="52"/>
      <c r="AJ976" s="52"/>
      <c r="AK976" s="52"/>
      <c r="AL976" s="52"/>
      <c r="AM976" s="52"/>
      <c r="AN976" s="52"/>
      <c r="AO976" s="52"/>
      <c r="AP976" s="52"/>
      <c r="AQ976" s="52"/>
    </row>
    <row r="977" spans="1:43">
      <c r="A977" s="150"/>
      <c r="B977" s="477"/>
      <c r="C977" s="125"/>
      <c r="D977" s="478"/>
      <c r="E977" s="478"/>
      <c r="F977" s="52"/>
      <c r="G977" s="52"/>
      <c r="H977" s="52"/>
      <c r="I977" s="52"/>
      <c r="J977" s="52"/>
      <c r="K977" s="52"/>
      <c r="L977" s="52"/>
      <c r="M977" s="52"/>
      <c r="N977" s="52"/>
      <c r="O977" s="52"/>
      <c r="P977" s="52"/>
      <c r="Q977" s="52"/>
      <c r="R977" s="52"/>
      <c r="S977" s="52"/>
      <c r="T977" s="52"/>
      <c r="U977" s="52"/>
      <c r="V977" s="52"/>
      <c r="W977" s="52"/>
      <c r="X977" s="52"/>
      <c r="Y977" s="52"/>
      <c r="Z977" s="52"/>
      <c r="AA977" s="52"/>
      <c r="AB977" s="52"/>
      <c r="AC977" s="52"/>
      <c r="AD977" s="52"/>
      <c r="AE977" s="52"/>
      <c r="AF977" s="52"/>
      <c r="AG977" s="52"/>
      <c r="AH977" s="52"/>
      <c r="AI977" s="52"/>
      <c r="AJ977" s="52"/>
      <c r="AK977" s="52"/>
      <c r="AL977" s="52"/>
      <c r="AM977" s="52"/>
      <c r="AN977" s="52"/>
      <c r="AO977" s="52"/>
      <c r="AP977" s="52"/>
      <c r="AQ977" s="52"/>
    </row>
    <row r="978" spans="1:43">
      <c r="A978" s="150"/>
      <c r="B978" s="477"/>
      <c r="C978" s="125"/>
      <c r="D978" s="478"/>
      <c r="E978" s="478"/>
      <c r="F978" s="52"/>
      <c r="G978" s="52"/>
      <c r="H978" s="52"/>
      <c r="I978" s="52"/>
      <c r="J978" s="52"/>
      <c r="K978" s="52"/>
      <c r="L978" s="52"/>
      <c r="M978" s="52"/>
      <c r="N978" s="52"/>
      <c r="O978" s="52"/>
      <c r="P978" s="52"/>
      <c r="Q978" s="52"/>
      <c r="R978" s="52"/>
      <c r="S978" s="52"/>
      <c r="T978" s="52"/>
      <c r="U978" s="52"/>
      <c r="V978" s="52"/>
      <c r="W978" s="52"/>
      <c r="X978" s="52"/>
      <c r="Y978" s="52"/>
      <c r="Z978" s="52"/>
      <c r="AA978" s="52"/>
      <c r="AB978" s="52"/>
      <c r="AC978" s="52"/>
      <c r="AD978" s="52"/>
      <c r="AE978" s="52"/>
      <c r="AF978" s="52"/>
      <c r="AG978" s="52"/>
      <c r="AH978" s="52"/>
      <c r="AI978" s="52"/>
      <c r="AJ978" s="52"/>
      <c r="AK978" s="52"/>
      <c r="AL978" s="52"/>
      <c r="AM978" s="52"/>
      <c r="AN978" s="52"/>
      <c r="AO978" s="52"/>
      <c r="AP978" s="52"/>
      <c r="AQ978" s="52"/>
    </row>
    <row r="979" spans="1:43">
      <c r="A979" s="150"/>
      <c r="B979" s="477"/>
      <c r="C979" s="125"/>
      <c r="D979" s="478"/>
      <c r="E979" s="478"/>
      <c r="F979" s="52"/>
      <c r="G979" s="52"/>
      <c r="H979" s="52"/>
      <c r="I979" s="52"/>
      <c r="J979" s="52"/>
      <c r="K979" s="52"/>
      <c r="L979" s="52"/>
      <c r="M979" s="52"/>
      <c r="N979" s="52"/>
      <c r="O979" s="52"/>
      <c r="P979" s="52"/>
      <c r="Q979" s="52"/>
      <c r="R979" s="52"/>
      <c r="S979" s="52"/>
      <c r="T979" s="52"/>
      <c r="U979" s="52"/>
      <c r="V979" s="52"/>
      <c r="W979" s="52"/>
      <c r="X979" s="52"/>
      <c r="Y979" s="52"/>
      <c r="Z979" s="52"/>
      <c r="AA979" s="52"/>
      <c r="AB979" s="52"/>
      <c r="AC979" s="52"/>
      <c r="AD979" s="52"/>
      <c r="AE979" s="52"/>
      <c r="AF979" s="52"/>
      <c r="AG979" s="52"/>
      <c r="AH979" s="52"/>
      <c r="AI979" s="52"/>
      <c r="AJ979" s="52"/>
      <c r="AK979" s="52"/>
      <c r="AL979" s="52"/>
      <c r="AM979" s="52"/>
      <c r="AN979" s="52"/>
      <c r="AO979" s="52"/>
      <c r="AP979" s="52"/>
      <c r="AQ979" s="52"/>
    </row>
    <row r="980" spans="1:43">
      <c r="A980" s="150"/>
      <c r="B980" s="477"/>
      <c r="C980" s="125"/>
      <c r="D980" s="478"/>
      <c r="E980" s="478"/>
      <c r="F980" s="52"/>
      <c r="G980" s="52"/>
      <c r="H980" s="52"/>
      <c r="I980" s="52"/>
      <c r="J980" s="52"/>
      <c r="K980" s="52"/>
      <c r="L980" s="52"/>
      <c r="M980" s="52"/>
      <c r="N980" s="52"/>
      <c r="O980" s="52"/>
      <c r="P980" s="52"/>
      <c r="Q980" s="52"/>
      <c r="R980" s="52"/>
      <c r="S980" s="52"/>
      <c r="T980" s="52"/>
      <c r="U980" s="52"/>
      <c r="V980" s="52"/>
      <c r="W980" s="52"/>
      <c r="X980" s="52"/>
      <c r="Y980" s="52"/>
      <c r="Z980" s="52"/>
      <c r="AA980" s="52"/>
      <c r="AB980" s="52"/>
      <c r="AC980" s="52"/>
      <c r="AD980" s="52"/>
      <c r="AE980" s="52"/>
      <c r="AF980" s="52"/>
      <c r="AG980" s="52"/>
      <c r="AH980" s="52"/>
      <c r="AI980" s="52"/>
      <c r="AJ980" s="52"/>
      <c r="AK980" s="52"/>
      <c r="AL980" s="52"/>
      <c r="AM980" s="52"/>
      <c r="AN980" s="52"/>
      <c r="AO980" s="52"/>
      <c r="AP980" s="52"/>
      <c r="AQ980" s="52"/>
    </row>
    <row r="981" spans="1:43">
      <c r="A981" s="150"/>
      <c r="B981" s="477"/>
      <c r="C981" s="125"/>
      <c r="D981" s="478"/>
      <c r="E981" s="478"/>
      <c r="F981" s="52"/>
      <c r="G981" s="52"/>
      <c r="H981" s="52"/>
      <c r="I981" s="52"/>
      <c r="J981" s="52"/>
      <c r="K981" s="52"/>
      <c r="L981" s="52"/>
      <c r="M981" s="52"/>
      <c r="N981" s="52"/>
      <c r="O981" s="52"/>
      <c r="P981" s="52"/>
      <c r="Q981" s="52"/>
      <c r="R981" s="52"/>
      <c r="S981" s="52"/>
      <c r="T981" s="52"/>
      <c r="U981" s="52"/>
      <c r="V981" s="52"/>
      <c r="W981" s="52"/>
      <c r="X981" s="52"/>
      <c r="Y981" s="52"/>
      <c r="Z981" s="52"/>
      <c r="AA981" s="52"/>
      <c r="AB981" s="52"/>
      <c r="AC981" s="52"/>
      <c r="AD981" s="52"/>
      <c r="AE981" s="52"/>
      <c r="AF981" s="52"/>
      <c r="AG981" s="52"/>
      <c r="AH981" s="52"/>
      <c r="AI981" s="52"/>
      <c r="AJ981" s="52"/>
      <c r="AK981" s="52"/>
      <c r="AL981" s="52"/>
      <c r="AM981" s="52"/>
      <c r="AN981" s="52"/>
      <c r="AO981" s="52"/>
      <c r="AP981" s="52"/>
      <c r="AQ981" s="52"/>
    </row>
    <row r="982" spans="1:43">
      <c r="A982" s="150"/>
      <c r="B982" s="477"/>
      <c r="C982" s="125"/>
      <c r="D982" s="478"/>
      <c r="E982" s="478"/>
      <c r="F982" s="52"/>
      <c r="G982" s="52"/>
      <c r="H982" s="52"/>
      <c r="I982" s="52"/>
      <c r="J982" s="52"/>
      <c r="K982" s="52"/>
      <c r="L982" s="52"/>
      <c r="M982" s="52"/>
      <c r="N982" s="52"/>
      <c r="O982" s="52"/>
      <c r="P982" s="52"/>
      <c r="Q982" s="52"/>
      <c r="R982" s="52"/>
      <c r="S982" s="52"/>
      <c r="T982" s="52"/>
      <c r="U982" s="52"/>
      <c r="V982" s="52"/>
      <c r="W982" s="52"/>
      <c r="X982" s="52"/>
      <c r="Y982" s="52"/>
      <c r="Z982" s="52"/>
      <c r="AA982" s="52"/>
      <c r="AB982" s="52"/>
      <c r="AC982" s="52"/>
      <c r="AD982" s="52"/>
      <c r="AE982" s="52"/>
      <c r="AF982" s="52"/>
      <c r="AG982" s="52"/>
      <c r="AH982" s="52"/>
      <c r="AI982" s="52"/>
      <c r="AJ982" s="52"/>
      <c r="AK982" s="52"/>
      <c r="AL982" s="52"/>
      <c r="AM982" s="52"/>
      <c r="AN982" s="52"/>
      <c r="AO982" s="52"/>
      <c r="AP982" s="52"/>
      <c r="AQ982" s="52"/>
    </row>
    <row r="983" spans="1:43">
      <c r="A983" s="150"/>
      <c r="B983" s="477"/>
      <c r="C983" s="125"/>
      <c r="D983" s="478"/>
      <c r="E983" s="478"/>
      <c r="F983" s="52"/>
      <c r="G983" s="52"/>
      <c r="H983" s="52"/>
      <c r="I983" s="52"/>
      <c r="J983" s="52"/>
      <c r="K983" s="52"/>
      <c r="L983" s="52"/>
      <c r="M983" s="52"/>
      <c r="N983" s="52"/>
      <c r="O983" s="52"/>
      <c r="P983" s="52"/>
      <c r="Q983" s="52"/>
      <c r="R983" s="52"/>
      <c r="S983" s="52"/>
      <c r="T983" s="52"/>
      <c r="U983" s="52"/>
      <c r="V983" s="52"/>
      <c r="W983" s="52"/>
      <c r="X983" s="52"/>
      <c r="Y983" s="52"/>
      <c r="Z983" s="52"/>
      <c r="AA983" s="52"/>
      <c r="AB983" s="52"/>
      <c r="AC983" s="52"/>
      <c r="AD983" s="52"/>
      <c r="AE983" s="52"/>
      <c r="AF983" s="52"/>
      <c r="AG983" s="52"/>
      <c r="AH983" s="52"/>
      <c r="AI983" s="52"/>
      <c r="AJ983" s="52"/>
      <c r="AK983" s="52"/>
      <c r="AL983" s="52"/>
      <c r="AM983" s="52"/>
      <c r="AN983" s="52"/>
      <c r="AO983" s="52"/>
      <c r="AP983" s="52"/>
      <c r="AQ983" s="52"/>
    </row>
    <row r="984" spans="1:43">
      <c r="A984" s="150"/>
      <c r="B984" s="477"/>
      <c r="C984" s="125"/>
      <c r="D984" s="478"/>
      <c r="E984" s="478"/>
      <c r="F984" s="52"/>
      <c r="G984" s="52"/>
      <c r="H984" s="52"/>
      <c r="I984" s="52"/>
      <c r="J984" s="52"/>
      <c r="K984" s="52"/>
      <c r="L984" s="52"/>
      <c r="M984" s="52"/>
      <c r="N984" s="52"/>
      <c r="O984" s="52"/>
      <c r="P984" s="52"/>
      <c r="Q984" s="52"/>
      <c r="R984" s="52"/>
      <c r="S984" s="52"/>
      <c r="T984" s="52"/>
      <c r="U984" s="52"/>
      <c r="V984" s="52"/>
      <c r="W984" s="52"/>
      <c r="X984" s="52"/>
      <c r="Y984" s="52"/>
      <c r="Z984" s="52"/>
      <c r="AA984" s="52"/>
      <c r="AB984" s="52"/>
      <c r="AC984" s="52"/>
      <c r="AD984" s="52"/>
      <c r="AE984" s="52"/>
      <c r="AF984" s="52"/>
      <c r="AG984" s="52"/>
      <c r="AH984" s="52"/>
      <c r="AI984" s="52"/>
      <c r="AJ984" s="52"/>
      <c r="AK984" s="52"/>
      <c r="AL984" s="52"/>
      <c r="AM984" s="52"/>
      <c r="AN984" s="52"/>
      <c r="AO984" s="52"/>
      <c r="AP984" s="52"/>
      <c r="AQ984" s="52"/>
    </row>
    <row r="985" spans="1:43">
      <c r="A985" s="150"/>
      <c r="B985" s="477"/>
      <c r="C985" s="125"/>
      <c r="D985" s="478"/>
      <c r="E985" s="478"/>
      <c r="F985" s="52"/>
      <c r="G985" s="52"/>
      <c r="H985" s="52"/>
      <c r="I985" s="52"/>
      <c r="J985" s="52"/>
      <c r="K985" s="52"/>
      <c r="L985" s="52"/>
      <c r="M985" s="52"/>
      <c r="N985" s="52"/>
      <c r="O985" s="52"/>
      <c r="P985" s="52"/>
      <c r="Q985" s="52"/>
      <c r="R985" s="52"/>
      <c r="S985" s="52"/>
      <c r="T985" s="52"/>
      <c r="U985" s="52"/>
      <c r="V985" s="52"/>
      <c r="W985" s="52"/>
      <c r="X985" s="52"/>
      <c r="Y985" s="52"/>
      <c r="Z985" s="52"/>
      <c r="AA985" s="52"/>
      <c r="AB985" s="52"/>
      <c r="AC985" s="52"/>
      <c r="AD985" s="52"/>
      <c r="AE985" s="52"/>
      <c r="AF985" s="52"/>
      <c r="AG985" s="52"/>
      <c r="AH985" s="52"/>
      <c r="AI985" s="52"/>
      <c r="AJ985" s="52"/>
      <c r="AK985" s="52"/>
      <c r="AL985" s="52"/>
      <c r="AM985" s="52"/>
      <c r="AN985" s="52"/>
      <c r="AO985" s="52"/>
      <c r="AP985" s="52"/>
      <c r="AQ985" s="52"/>
    </row>
    <row r="986" spans="1:43">
      <c r="A986" s="150"/>
      <c r="B986" s="477"/>
      <c r="C986" s="125"/>
      <c r="D986" s="478"/>
      <c r="E986" s="478"/>
      <c r="F986" s="52"/>
      <c r="G986" s="52"/>
      <c r="H986" s="52"/>
      <c r="I986" s="52"/>
      <c r="J986" s="52"/>
      <c r="K986" s="52"/>
      <c r="L986" s="52"/>
      <c r="M986" s="52"/>
      <c r="N986" s="52"/>
      <c r="O986" s="52"/>
      <c r="P986" s="52"/>
      <c r="Q986" s="52"/>
      <c r="R986" s="52"/>
      <c r="S986" s="52"/>
      <c r="T986" s="52"/>
      <c r="U986" s="52"/>
      <c r="V986" s="52"/>
      <c r="W986" s="52"/>
      <c r="X986" s="52"/>
      <c r="Y986" s="52"/>
      <c r="Z986" s="52"/>
      <c r="AA986" s="52"/>
      <c r="AB986" s="52"/>
      <c r="AC986" s="52"/>
      <c r="AD986" s="52"/>
      <c r="AE986" s="52"/>
      <c r="AF986" s="52"/>
      <c r="AG986" s="52"/>
      <c r="AH986" s="52"/>
      <c r="AI986" s="52"/>
      <c r="AJ986" s="52"/>
      <c r="AK986" s="52"/>
      <c r="AL986" s="52"/>
      <c r="AM986" s="52"/>
      <c r="AN986" s="52"/>
      <c r="AO986" s="52"/>
      <c r="AP986" s="52"/>
      <c r="AQ986" s="52"/>
    </row>
    <row r="987" spans="1:43">
      <c r="A987" s="150"/>
      <c r="B987" s="477"/>
      <c r="C987" s="125"/>
      <c r="D987" s="478"/>
      <c r="E987" s="478"/>
      <c r="F987" s="52"/>
      <c r="G987" s="52"/>
      <c r="H987" s="52"/>
      <c r="I987" s="52"/>
      <c r="J987" s="52"/>
      <c r="K987" s="52"/>
      <c r="L987" s="52"/>
      <c r="M987" s="52"/>
      <c r="N987" s="52"/>
      <c r="O987" s="52"/>
      <c r="P987" s="52"/>
      <c r="Q987" s="52"/>
      <c r="R987" s="52"/>
      <c r="S987" s="52"/>
      <c r="T987" s="52"/>
      <c r="U987" s="52"/>
      <c r="V987" s="52"/>
      <c r="W987" s="52"/>
      <c r="X987" s="52"/>
      <c r="Y987" s="52"/>
      <c r="Z987" s="52"/>
      <c r="AA987" s="52"/>
      <c r="AB987" s="52"/>
      <c r="AC987" s="52"/>
      <c r="AD987" s="52"/>
      <c r="AE987" s="52"/>
      <c r="AF987" s="52"/>
      <c r="AG987" s="52"/>
      <c r="AH987" s="52"/>
      <c r="AI987" s="52"/>
      <c r="AJ987" s="52"/>
      <c r="AK987" s="52"/>
      <c r="AL987" s="52"/>
      <c r="AM987" s="52"/>
      <c r="AN987" s="52"/>
      <c r="AO987" s="52"/>
      <c r="AP987" s="52"/>
      <c r="AQ987" s="52"/>
    </row>
    <row r="988" spans="1:43">
      <c r="A988" s="150"/>
      <c r="B988" s="477"/>
      <c r="C988" s="125"/>
      <c r="D988" s="478"/>
      <c r="E988" s="478"/>
      <c r="F988" s="52"/>
      <c r="G988" s="52"/>
      <c r="H988" s="52"/>
      <c r="I988" s="52"/>
      <c r="J988" s="52"/>
      <c r="K988" s="52"/>
      <c r="L988" s="52"/>
      <c r="M988" s="52"/>
      <c r="N988" s="52"/>
      <c r="O988" s="52"/>
      <c r="P988" s="52"/>
      <c r="Q988" s="52"/>
      <c r="R988" s="52"/>
      <c r="S988" s="52"/>
      <c r="T988" s="52"/>
      <c r="U988" s="52"/>
      <c r="V988" s="52"/>
      <c r="W988" s="52"/>
      <c r="X988" s="52"/>
      <c r="Y988" s="52"/>
      <c r="Z988" s="52"/>
      <c r="AA988" s="52"/>
      <c r="AB988" s="52"/>
      <c r="AC988" s="52"/>
      <c r="AD988" s="52"/>
      <c r="AE988" s="52"/>
      <c r="AF988" s="52"/>
      <c r="AG988" s="52"/>
      <c r="AH988" s="52"/>
      <c r="AI988" s="52"/>
      <c r="AJ988" s="52"/>
      <c r="AK988" s="52"/>
      <c r="AL988" s="52"/>
      <c r="AM988" s="52"/>
      <c r="AN988" s="52"/>
      <c r="AO988" s="52"/>
      <c r="AP988" s="52"/>
      <c r="AQ988" s="52"/>
    </row>
    <row r="989" spans="1:43">
      <c r="A989" s="150"/>
      <c r="B989" s="477"/>
      <c r="C989" s="125"/>
      <c r="D989" s="478"/>
      <c r="E989" s="478"/>
      <c r="F989" s="52"/>
      <c r="G989" s="52"/>
      <c r="H989" s="52"/>
      <c r="I989" s="52"/>
      <c r="J989" s="52"/>
      <c r="K989" s="52"/>
      <c r="L989" s="52"/>
      <c r="M989" s="52"/>
      <c r="N989" s="52"/>
      <c r="O989" s="52"/>
      <c r="P989" s="52"/>
      <c r="Q989" s="52"/>
      <c r="R989" s="52"/>
      <c r="S989" s="52"/>
      <c r="T989" s="52"/>
      <c r="U989" s="52"/>
      <c r="V989" s="52"/>
      <c r="W989" s="52"/>
      <c r="X989" s="52"/>
      <c r="Y989" s="52"/>
      <c r="Z989" s="52"/>
      <c r="AA989" s="52"/>
      <c r="AB989" s="52"/>
      <c r="AC989" s="52"/>
      <c r="AD989" s="52"/>
      <c r="AE989" s="52"/>
      <c r="AF989" s="52"/>
      <c r="AG989" s="52"/>
      <c r="AH989" s="52"/>
      <c r="AI989" s="52"/>
      <c r="AJ989" s="52"/>
      <c r="AK989" s="52"/>
      <c r="AL989" s="52"/>
      <c r="AM989" s="52"/>
      <c r="AN989" s="52"/>
      <c r="AO989" s="52"/>
      <c r="AP989" s="52"/>
      <c r="AQ989" s="52"/>
    </row>
    <row r="990" spans="1:43">
      <c r="A990" s="150"/>
      <c r="B990" s="477"/>
      <c r="C990" s="125"/>
      <c r="D990" s="478"/>
      <c r="E990" s="478"/>
      <c r="F990" s="52"/>
      <c r="G990" s="52"/>
      <c r="H990" s="52"/>
      <c r="I990" s="52"/>
      <c r="J990" s="52"/>
      <c r="K990" s="52"/>
      <c r="L990" s="52"/>
      <c r="M990" s="52"/>
      <c r="N990" s="52"/>
      <c r="O990" s="52"/>
      <c r="P990" s="52"/>
      <c r="Q990" s="52"/>
      <c r="R990" s="52"/>
      <c r="S990" s="52"/>
      <c r="T990" s="52"/>
      <c r="U990" s="52"/>
      <c r="V990" s="52"/>
      <c r="W990" s="52"/>
      <c r="X990" s="52"/>
      <c r="Y990" s="52"/>
      <c r="Z990" s="52"/>
      <c r="AA990" s="52"/>
      <c r="AB990" s="52"/>
      <c r="AC990" s="52"/>
      <c r="AD990" s="52"/>
      <c r="AE990" s="52"/>
      <c r="AF990" s="52"/>
      <c r="AG990" s="52"/>
      <c r="AH990" s="52"/>
      <c r="AI990" s="52"/>
      <c r="AJ990" s="52"/>
      <c r="AK990" s="52"/>
      <c r="AL990" s="52"/>
      <c r="AM990" s="52"/>
      <c r="AN990" s="52"/>
      <c r="AO990" s="52"/>
      <c r="AP990" s="52"/>
      <c r="AQ990" s="52"/>
    </row>
    <row r="991" spans="1:43">
      <c r="A991" s="150"/>
      <c r="B991" s="477"/>
      <c r="C991" s="125"/>
      <c r="D991" s="478"/>
      <c r="E991" s="478"/>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row>
    <row r="992" spans="1:43">
      <c r="A992" s="150"/>
      <c r="B992" s="477"/>
      <c r="C992" s="125"/>
      <c r="D992" s="478"/>
      <c r="E992" s="478"/>
      <c r="F992" s="52"/>
      <c r="G992" s="52"/>
      <c r="H992" s="52"/>
      <c r="I992" s="52"/>
      <c r="J992" s="52"/>
      <c r="K992" s="52"/>
      <c r="L992" s="52"/>
      <c r="M992" s="52"/>
      <c r="N992" s="52"/>
      <c r="O992" s="52"/>
      <c r="P992" s="52"/>
      <c r="Q992" s="52"/>
      <c r="R992" s="52"/>
      <c r="S992" s="52"/>
      <c r="T992" s="52"/>
      <c r="U992" s="52"/>
      <c r="V992" s="52"/>
      <c r="W992" s="52"/>
      <c r="X992" s="52"/>
      <c r="Y992" s="52"/>
      <c r="Z992" s="52"/>
      <c r="AA992" s="52"/>
      <c r="AB992" s="52"/>
      <c r="AC992" s="52"/>
      <c r="AD992" s="52"/>
      <c r="AE992" s="52"/>
      <c r="AF992" s="52"/>
      <c r="AG992" s="52"/>
      <c r="AH992" s="52"/>
      <c r="AI992" s="52"/>
      <c r="AJ992" s="52"/>
      <c r="AK992" s="52"/>
      <c r="AL992" s="52"/>
      <c r="AM992" s="52"/>
      <c r="AN992" s="52"/>
      <c r="AO992" s="52"/>
      <c r="AP992" s="52"/>
      <c r="AQ992" s="52"/>
    </row>
    <row r="993" spans="1:43">
      <c r="A993" s="150"/>
      <c r="B993" s="477"/>
      <c r="C993" s="125"/>
      <c r="D993" s="478"/>
      <c r="E993" s="478"/>
      <c r="F993" s="52"/>
      <c r="G993" s="52"/>
      <c r="H993" s="52"/>
      <c r="I993" s="52"/>
      <c r="J993" s="52"/>
      <c r="K993" s="52"/>
      <c r="L993" s="52"/>
      <c r="M993" s="52"/>
      <c r="N993" s="52"/>
      <c r="O993" s="52"/>
      <c r="P993" s="52"/>
      <c r="Q993" s="52"/>
      <c r="R993" s="52"/>
      <c r="S993" s="52"/>
      <c r="T993" s="52"/>
      <c r="U993" s="52"/>
      <c r="V993" s="52"/>
      <c r="W993" s="52"/>
      <c r="X993" s="52"/>
      <c r="Y993" s="52"/>
      <c r="Z993" s="52"/>
      <c r="AA993" s="52"/>
      <c r="AB993" s="52"/>
      <c r="AC993" s="52"/>
      <c r="AD993" s="52"/>
      <c r="AE993" s="52"/>
      <c r="AF993" s="52"/>
      <c r="AG993" s="52"/>
      <c r="AH993" s="52"/>
      <c r="AI993" s="52"/>
      <c r="AJ993" s="52"/>
      <c r="AK993" s="52"/>
      <c r="AL993" s="52"/>
      <c r="AM993" s="52"/>
      <c r="AN993" s="52"/>
      <c r="AO993" s="52"/>
      <c r="AP993" s="52"/>
      <c r="AQ993" s="52"/>
    </row>
    <row r="994" spans="1:43">
      <c r="A994" s="150"/>
      <c r="B994" s="477"/>
      <c r="C994" s="125"/>
      <c r="D994" s="478"/>
      <c r="E994" s="478"/>
      <c r="F994" s="52"/>
      <c r="G994" s="52"/>
      <c r="H994" s="52"/>
      <c r="I994" s="52"/>
      <c r="J994" s="52"/>
      <c r="K994" s="52"/>
      <c r="L994" s="52"/>
      <c r="M994" s="52"/>
      <c r="N994" s="52"/>
      <c r="O994" s="52"/>
      <c r="P994" s="52"/>
      <c r="Q994" s="52"/>
      <c r="R994" s="52"/>
      <c r="S994" s="52"/>
      <c r="T994" s="52"/>
      <c r="U994" s="52"/>
      <c r="V994" s="52"/>
      <c r="W994" s="52"/>
      <c r="X994" s="52"/>
      <c r="Y994" s="52"/>
      <c r="Z994" s="52"/>
      <c r="AA994" s="52"/>
      <c r="AB994" s="52"/>
      <c r="AC994" s="52"/>
      <c r="AD994" s="52"/>
      <c r="AE994" s="52"/>
      <c r="AF994" s="52"/>
      <c r="AG994" s="52"/>
      <c r="AH994" s="52"/>
      <c r="AI994" s="52"/>
      <c r="AJ994" s="52"/>
      <c r="AK994" s="52"/>
      <c r="AL994" s="52"/>
      <c r="AM994" s="52"/>
      <c r="AN994" s="52"/>
      <c r="AO994" s="52"/>
      <c r="AP994" s="52"/>
      <c r="AQ994" s="52"/>
    </row>
    <row r="995" spans="1:43">
      <c r="A995" s="150"/>
      <c r="B995" s="477"/>
      <c r="C995" s="125"/>
      <c r="D995" s="478"/>
      <c r="E995" s="478"/>
      <c r="F995" s="52"/>
      <c r="G995" s="52"/>
      <c r="H995" s="52"/>
      <c r="I995" s="52"/>
      <c r="J995" s="52"/>
      <c r="K995" s="52"/>
      <c r="L995" s="52"/>
      <c r="M995" s="52"/>
      <c r="N995" s="52"/>
      <c r="O995" s="52"/>
      <c r="P995" s="52"/>
      <c r="Q995" s="52"/>
      <c r="R995" s="52"/>
      <c r="S995" s="52"/>
      <c r="T995" s="52"/>
      <c r="U995" s="52"/>
      <c r="V995" s="52"/>
      <c r="W995" s="52"/>
      <c r="X995" s="52"/>
      <c r="Y995" s="52"/>
      <c r="Z995" s="52"/>
      <c r="AA995" s="52"/>
      <c r="AB995" s="52"/>
      <c r="AC995" s="52"/>
      <c r="AD995" s="52"/>
      <c r="AE995" s="52"/>
      <c r="AF995" s="52"/>
      <c r="AG995" s="52"/>
      <c r="AH995" s="52"/>
      <c r="AI995" s="52"/>
      <c r="AJ995" s="52"/>
      <c r="AK995" s="52"/>
      <c r="AL995" s="52"/>
      <c r="AM995" s="52"/>
      <c r="AN995" s="52"/>
      <c r="AO995" s="52"/>
      <c r="AP995" s="52"/>
      <c r="AQ995" s="52"/>
    </row>
    <row r="996" spans="1:43">
      <c r="A996" s="150"/>
      <c r="B996" s="477"/>
      <c r="C996" s="125"/>
      <c r="D996" s="478"/>
      <c r="E996" s="478"/>
      <c r="F996" s="52"/>
      <c r="G996" s="52"/>
      <c r="H996" s="52"/>
      <c r="I996" s="52"/>
      <c r="J996" s="52"/>
      <c r="K996" s="52"/>
      <c r="L996" s="52"/>
      <c r="M996" s="52"/>
      <c r="N996" s="52"/>
      <c r="O996" s="52"/>
      <c r="P996" s="52"/>
      <c r="Q996" s="52"/>
      <c r="R996" s="52"/>
      <c r="S996" s="52"/>
      <c r="T996" s="52"/>
      <c r="U996" s="52"/>
      <c r="V996" s="52"/>
      <c r="W996" s="52"/>
      <c r="X996" s="52"/>
      <c r="Y996" s="52"/>
      <c r="Z996" s="52"/>
      <c r="AA996" s="52"/>
      <c r="AB996" s="52"/>
      <c r="AC996" s="52"/>
      <c r="AD996" s="52"/>
      <c r="AE996" s="52"/>
      <c r="AF996" s="52"/>
      <c r="AG996" s="52"/>
      <c r="AH996" s="52"/>
      <c r="AI996" s="52"/>
      <c r="AJ996" s="52"/>
      <c r="AK996" s="52"/>
      <c r="AL996" s="52"/>
      <c r="AM996" s="52"/>
      <c r="AN996" s="52"/>
      <c r="AO996" s="52"/>
      <c r="AP996" s="52"/>
      <c r="AQ996" s="52"/>
    </row>
    <row r="997" spans="1:43">
      <c r="A997" s="150"/>
      <c r="B997" s="477"/>
      <c r="C997" s="125"/>
      <c r="D997" s="478"/>
      <c r="E997" s="478"/>
      <c r="F997" s="52"/>
      <c r="G997" s="52"/>
      <c r="H997" s="52"/>
      <c r="I997" s="52"/>
      <c r="J997" s="52"/>
      <c r="K997" s="52"/>
      <c r="L997" s="52"/>
      <c r="M997" s="52"/>
      <c r="N997" s="52"/>
      <c r="O997" s="52"/>
      <c r="P997" s="52"/>
      <c r="Q997" s="52"/>
      <c r="R997" s="52"/>
      <c r="S997" s="52"/>
      <c r="T997" s="52"/>
      <c r="U997" s="52"/>
      <c r="V997" s="52"/>
      <c r="W997" s="52"/>
      <c r="X997" s="52"/>
      <c r="Y997" s="52"/>
      <c r="Z997" s="52"/>
      <c r="AA997" s="52"/>
      <c r="AB997" s="52"/>
      <c r="AC997" s="52"/>
      <c r="AD997" s="52"/>
      <c r="AE997" s="52"/>
      <c r="AF997" s="52"/>
      <c r="AG997" s="52"/>
      <c r="AH997" s="52"/>
      <c r="AI997" s="52"/>
      <c r="AJ997" s="52"/>
      <c r="AK997" s="52"/>
      <c r="AL997" s="52"/>
      <c r="AM997" s="52"/>
      <c r="AN997" s="52"/>
      <c r="AO997" s="52"/>
      <c r="AP997" s="52"/>
      <c r="AQ997" s="52"/>
    </row>
    <row r="998" spans="1:43">
      <c r="A998" s="150"/>
      <c r="B998" s="477"/>
      <c r="C998" s="125"/>
      <c r="D998" s="478"/>
      <c r="E998" s="478"/>
      <c r="F998" s="52"/>
      <c r="G998" s="52"/>
      <c r="H998" s="52"/>
      <c r="I998" s="52"/>
      <c r="J998" s="52"/>
      <c r="K998" s="52"/>
      <c r="L998" s="52"/>
      <c r="M998" s="52"/>
      <c r="N998" s="52"/>
      <c r="O998" s="52"/>
      <c r="P998" s="52"/>
      <c r="Q998" s="52"/>
      <c r="R998" s="52"/>
      <c r="S998" s="52"/>
      <c r="T998" s="52"/>
      <c r="U998" s="52"/>
      <c r="V998" s="52"/>
      <c r="W998" s="52"/>
      <c r="X998" s="52"/>
      <c r="Y998" s="52"/>
      <c r="Z998" s="52"/>
      <c r="AA998" s="52"/>
      <c r="AB998" s="52"/>
      <c r="AC998" s="52"/>
      <c r="AD998" s="52"/>
      <c r="AE998" s="52"/>
      <c r="AF998" s="52"/>
      <c r="AG998" s="52"/>
      <c r="AH998" s="52"/>
      <c r="AI998" s="52"/>
      <c r="AJ998" s="52"/>
      <c r="AK998" s="52"/>
      <c r="AL998" s="52"/>
      <c r="AM998" s="52"/>
      <c r="AN998" s="52"/>
      <c r="AO998" s="52"/>
      <c r="AP998" s="52"/>
      <c r="AQ998" s="52"/>
    </row>
    <row r="999" spans="1:43">
      <c r="A999" s="150"/>
      <c r="B999" s="477"/>
      <c r="C999" s="125"/>
      <c r="D999" s="478"/>
      <c r="E999" s="478"/>
      <c r="F999" s="52"/>
      <c r="G999" s="52"/>
      <c r="H999" s="52"/>
      <c r="I999" s="52"/>
      <c r="J999" s="52"/>
      <c r="K999" s="52"/>
      <c r="L999" s="52"/>
      <c r="M999" s="52"/>
      <c r="N999" s="52"/>
      <c r="O999" s="52"/>
      <c r="P999" s="52"/>
      <c r="Q999" s="52"/>
      <c r="R999" s="52"/>
      <c r="S999" s="52"/>
      <c r="T999" s="52"/>
      <c r="U999" s="52"/>
      <c r="V999" s="52"/>
      <c r="W999" s="52"/>
      <c r="X999" s="52"/>
      <c r="Y999" s="52"/>
      <c r="Z999" s="52"/>
      <c r="AA999" s="52"/>
      <c r="AB999" s="52"/>
      <c r="AC999" s="52"/>
      <c r="AD999" s="52"/>
      <c r="AE999" s="52"/>
      <c r="AF999" s="52"/>
      <c r="AG999" s="52"/>
      <c r="AH999" s="52"/>
      <c r="AI999" s="52"/>
      <c r="AJ999" s="52"/>
      <c r="AK999" s="52"/>
      <c r="AL999" s="52"/>
      <c r="AM999" s="52"/>
      <c r="AN999" s="52"/>
      <c r="AO999" s="52"/>
      <c r="AP999" s="52"/>
      <c r="AQ999" s="52"/>
    </row>
    <row r="1000" spans="1:43">
      <c r="A1000" s="150"/>
      <c r="B1000" s="477"/>
      <c r="C1000" s="125"/>
      <c r="D1000" s="478"/>
      <c r="E1000" s="478"/>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c r="AB1000" s="52"/>
      <c r="AC1000" s="52"/>
      <c r="AD1000" s="52"/>
      <c r="AE1000" s="52"/>
      <c r="AF1000" s="52"/>
      <c r="AG1000" s="52"/>
      <c r="AH1000" s="52"/>
      <c r="AI1000" s="52"/>
      <c r="AJ1000" s="52"/>
      <c r="AK1000" s="52"/>
      <c r="AL1000" s="52"/>
      <c r="AM1000" s="52"/>
      <c r="AN1000" s="52"/>
      <c r="AO1000" s="52"/>
      <c r="AP1000" s="52"/>
      <c r="AQ1000" s="52"/>
    </row>
    <row r="1001" spans="1:43">
      <c r="A1001" s="150"/>
      <c r="B1001" s="477"/>
      <c r="C1001" s="125"/>
      <c r="D1001" s="478"/>
      <c r="E1001" s="478"/>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c r="AB1001" s="52"/>
      <c r="AC1001" s="52"/>
      <c r="AD1001" s="52"/>
      <c r="AE1001" s="52"/>
      <c r="AF1001" s="52"/>
      <c r="AG1001" s="52"/>
      <c r="AH1001" s="52"/>
      <c r="AI1001" s="52"/>
      <c r="AJ1001" s="52"/>
      <c r="AK1001" s="52"/>
      <c r="AL1001" s="52"/>
      <c r="AM1001" s="52"/>
      <c r="AN1001" s="52"/>
      <c r="AO1001" s="52"/>
      <c r="AP1001" s="52"/>
      <c r="AQ1001" s="52"/>
    </row>
    <row r="1002" spans="1:43">
      <c r="A1002" s="150"/>
      <c r="B1002" s="477"/>
      <c r="C1002" s="125"/>
      <c r="D1002" s="478"/>
      <c r="E1002" s="478"/>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c r="AB1002" s="52"/>
      <c r="AC1002" s="52"/>
      <c r="AD1002" s="52"/>
      <c r="AE1002" s="52"/>
      <c r="AF1002" s="52"/>
      <c r="AG1002" s="52"/>
      <c r="AH1002" s="52"/>
      <c r="AI1002" s="52"/>
      <c r="AJ1002" s="52"/>
      <c r="AK1002" s="52"/>
      <c r="AL1002" s="52"/>
      <c r="AM1002" s="52"/>
      <c r="AN1002" s="52"/>
      <c r="AO1002" s="52"/>
      <c r="AP1002" s="52"/>
      <c r="AQ1002" s="52"/>
    </row>
    <row r="1003" spans="1:43">
      <c r="A1003" s="150"/>
      <c r="B1003" s="477"/>
      <c r="C1003" s="125"/>
      <c r="D1003" s="478"/>
      <c r="E1003" s="478"/>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c r="AB1003" s="52"/>
      <c r="AC1003" s="52"/>
      <c r="AD1003" s="52"/>
      <c r="AE1003" s="52"/>
      <c r="AF1003" s="52"/>
      <c r="AG1003" s="52"/>
      <c r="AH1003" s="52"/>
      <c r="AI1003" s="52"/>
      <c r="AJ1003" s="52"/>
      <c r="AK1003" s="52"/>
      <c r="AL1003" s="52"/>
      <c r="AM1003" s="52"/>
      <c r="AN1003" s="52"/>
      <c r="AO1003" s="52"/>
      <c r="AP1003" s="52"/>
      <c r="AQ1003" s="52"/>
    </row>
    <row r="1004" spans="1:43">
      <c r="A1004" s="150"/>
      <c r="B1004" s="477"/>
      <c r="C1004" s="125"/>
      <c r="D1004" s="478"/>
      <c r="E1004" s="478"/>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c r="AB1004" s="52"/>
      <c r="AC1004" s="52"/>
      <c r="AD1004" s="52"/>
      <c r="AE1004" s="52"/>
      <c r="AF1004" s="52"/>
      <c r="AG1004" s="52"/>
      <c r="AH1004" s="52"/>
      <c r="AI1004" s="52"/>
      <c r="AJ1004" s="52"/>
      <c r="AK1004" s="52"/>
      <c r="AL1004" s="52"/>
      <c r="AM1004" s="52"/>
      <c r="AN1004" s="52"/>
      <c r="AO1004" s="52"/>
      <c r="AP1004" s="52"/>
      <c r="AQ1004" s="52"/>
    </row>
    <row r="1005" spans="1:43">
      <c r="A1005" s="150"/>
      <c r="B1005" s="477"/>
      <c r="C1005" s="125"/>
      <c r="D1005" s="478"/>
      <c r="E1005" s="478"/>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c r="AB1005" s="52"/>
      <c r="AC1005" s="52"/>
      <c r="AD1005" s="52"/>
      <c r="AE1005" s="52"/>
      <c r="AF1005" s="52"/>
      <c r="AG1005" s="52"/>
      <c r="AH1005" s="52"/>
      <c r="AI1005" s="52"/>
      <c r="AJ1005" s="52"/>
      <c r="AK1005" s="52"/>
      <c r="AL1005" s="52"/>
      <c r="AM1005" s="52"/>
      <c r="AN1005" s="52"/>
      <c r="AO1005" s="52"/>
      <c r="AP1005" s="52"/>
      <c r="AQ1005" s="52"/>
    </row>
    <row r="1006" spans="1:43">
      <c r="A1006" s="150"/>
      <c r="B1006" s="477"/>
      <c r="C1006" s="125"/>
      <c r="D1006" s="478"/>
      <c r="E1006" s="478"/>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c r="AB1006" s="52"/>
      <c r="AC1006" s="52"/>
      <c r="AD1006" s="52"/>
      <c r="AE1006" s="52"/>
      <c r="AF1006" s="52"/>
      <c r="AG1006" s="52"/>
      <c r="AH1006" s="52"/>
      <c r="AI1006" s="52"/>
      <c r="AJ1006" s="52"/>
      <c r="AK1006" s="52"/>
      <c r="AL1006" s="52"/>
      <c r="AM1006" s="52"/>
      <c r="AN1006" s="52"/>
      <c r="AO1006" s="52"/>
      <c r="AP1006" s="52"/>
      <c r="AQ1006" s="52"/>
    </row>
    <row r="1007" spans="1:43">
      <c r="A1007" s="150"/>
      <c r="B1007" s="477"/>
      <c r="C1007" s="125"/>
      <c r="D1007" s="478"/>
      <c r="E1007" s="478"/>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c r="AB1007" s="52"/>
      <c r="AC1007" s="52"/>
      <c r="AD1007" s="52"/>
      <c r="AE1007" s="52"/>
      <c r="AF1007" s="52"/>
      <c r="AG1007" s="52"/>
      <c r="AH1007" s="52"/>
      <c r="AI1007" s="52"/>
      <c r="AJ1007" s="52"/>
      <c r="AK1007" s="52"/>
      <c r="AL1007" s="52"/>
      <c r="AM1007" s="52"/>
      <c r="AN1007" s="52"/>
      <c r="AO1007" s="52"/>
      <c r="AP1007" s="52"/>
      <c r="AQ1007" s="52"/>
    </row>
    <row r="1008" spans="1:43">
      <c r="A1008" s="150"/>
      <c r="B1008" s="477"/>
      <c r="C1008" s="125"/>
      <c r="D1008" s="478"/>
      <c r="E1008" s="478"/>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c r="AB1008" s="52"/>
      <c r="AC1008" s="52"/>
      <c r="AD1008" s="52"/>
      <c r="AE1008" s="52"/>
      <c r="AF1008" s="52"/>
      <c r="AG1008" s="52"/>
      <c r="AH1008" s="52"/>
      <c r="AI1008" s="52"/>
      <c r="AJ1008" s="52"/>
      <c r="AK1008" s="52"/>
      <c r="AL1008" s="52"/>
      <c r="AM1008" s="52"/>
      <c r="AN1008" s="52"/>
      <c r="AO1008" s="52"/>
      <c r="AP1008" s="52"/>
      <c r="AQ1008" s="52"/>
    </row>
    <row r="1009" spans="1:43">
      <c r="A1009" s="150"/>
      <c r="B1009" s="477"/>
      <c r="C1009" s="125"/>
      <c r="D1009" s="478"/>
      <c r="E1009" s="478"/>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c r="AB1009" s="52"/>
      <c r="AC1009" s="52"/>
      <c r="AD1009" s="52"/>
      <c r="AE1009" s="52"/>
      <c r="AF1009" s="52"/>
      <c r="AG1009" s="52"/>
      <c r="AH1009" s="52"/>
      <c r="AI1009" s="52"/>
      <c r="AJ1009" s="52"/>
      <c r="AK1009" s="52"/>
      <c r="AL1009" s="52"/>
      <c r="AM1009" s="52"/>
      <c r="AN1009" s="52"/>
      <c r="AO1009" s="52"/>
      <c r="AP1009" s="52"/>
      <c r="AQ1009" s="52"/>
    </row>
    <row r="1010" spans="1:43">
      <c r="A1010" s="150"/>
      <c r="B1010" s="477"/>
      <c r="C1010" s="125"/>
      <c r="D1010" s="478"/>
      <c r="E1010" s="478"/>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c r="AB1010" s="52"/>
      <c r="AC1010" s="52"/>
      <c r="AD1010" s="52"/>
      <c r="AE1010" s="52"/>
      <c r="AF1010" s="52"/>
      <c r="AG1010" s="52"/>
      <c r="AH1010" s="52"/>
      <c r="AI1010" s="52"/>
      <c r="AJ1010" s="52"/>
      <c r="AK1010" s="52"/>
      <c r="AL1010" s="52"/>
      <c r="AM1010" s="52"/>
      <c r="AN1010" s="52"/>
      <c r="AO1010" s="52"/>
      <c r="AP1010" s="52"/>
      <c r="AQ1010" s="52"/>
    </row>
    <row r="1011" spans="1:43">
      <c r="A1011" s="150"/>
      <c r="B1011" s="477"/>
      <c r="C1011" s="125"/>
      <c r="D1011" s="478"/>
      <c r="E1011" s="478"/>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c r="AB1011" s="52"/>
      <c r="AC1011" s="52"/>
      <c r="AD1011" s="52"/>
      <c r="AE1011" s="52"/>
      <c r="AF1011" s="52"/>
      <c r="AG1011" s="52"/>
      <c r="AH1011" s="52"/>
      <c r="AI1011" s="52"/>
      <c r="AJ1011" s="52"/>
      <c r="AK1011" s="52"/>
      <c r="AL1011" s="52"/>
      <c r="AM1011" s="52"/>
      <c r="AN1011" s="52"/>
      <c r="AO1011" s="52"/>
      <c r="AP1011" s="52"/>
      <c r="AQ1011" s="52"/>
    </row>
    <row r="1012" spans="1:43">
      <c r="A1012" s="150"/>
      <c r="B1012" s="477"/>
      <c r="C1012" s="125"/>
      <c r="D1012" s="478"/>
      <c r="E1012" s="478"/>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c r="AB1012" s="52"/>
      <c r="AC1012" s="52"/>
      <c r="AD1012" s="52"/>
      <c r="AE1012" s="52"/>
      <c r="AF1012" s="52"/>
      <c r="AG1012" s="52"/>
      <c r="AH1012" s="52"/>
      <c r="AI1012" s="52"/>
      <c r="AJ1012" s="52"/>
      <c r="AK1012" s="52"/>
      <c r="AL1012" s="52"/>
      <c r="AM1012" s="52"/>
      <c r="AN1012" s="52"/>
      <c r="AO1012" s="52"/>
      <c r="AP1012" s="52"/>
      <c r="AQ1012" s="52"/>
    </row>
    <row r="1013" spans="1:43">
      <c r="A1013" s="150"/>
      <c r="B1013" s="477"/>
      <c r="C1013" s="125"/>
      <c r="D1013" s="478"/>
      <c r="E1013" s="478"/>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c r="AB1013" s="52"/>
      <c r="AC1013" s="52"/>
      <c r="AD1013" s="52"/>
      <c r="AE1013" s="52"/>
      <c r="AF1013" s="52"/>
      <c r="AG1013" s="52"/>
      <c r="AH1013" s="52"/>
      <c r="AI1013" s="52"/>
      <c r="AJ1013" s="52"/>
      <c r="AK1013" s="52"/>
      <c r="AL1013" s="52"/>
      <c r="AM1013" s="52"/>
      <c r="AN1013" s="52"/>
      <c r="AO1013" s="52"/>
      <c r="AP1013" s="52"/>
      <c r="AQ1013" s="52"/>
    </row>
    <row r="1014" spans="1:43">
      <c r="A1014" s="150"/>
      <c r="B1014" s="477"/>
      <c r="C1014" s="125"/>
      <c r="D1014" s="478"/>
      <c r="E1014" s="478"/>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c r="AB1014" s="52"/>
      <c r="AC1014" s="52"/>
      <c r="AD1014" s="52"/>
      <c r="AE1014" s="52"/>
      <c r="AF1014" s="52"/>
      <c r="AG1014" s="52"/>
      <c r="AH1014" s="52"/>
      <c r="AI1014" s="52"/>
      <c r="AJ1014" s="52"/>
      <c r="AK1014" s="52"/>
      <c r="AL1014" s="52"/>
      <c r="AM1014" s="52"/>
      <c r="AN1014" s="52"/>
      <c r="AO1014" s="52"/>
      <c r="AP1014" s="52"/>
      <c r="AQ1014" s="52"/>
    </row>
    <row r="1015" spans="1:43">
      <c r="A1015" s="150"/>
      <c r="B1015" s="477"/>
      <c r="C1015" s="125"/>
      <c r="D1015" s="478"/>
      <c r="E1015" s="478"/>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c r="AB1015" s="52"/>
      <c r="AC1015" s="52"/>
      <c r="AD1015" s="52"/>
      <c r="AE1015" s="52"/>
      <c r="AF1015" s="52"/>
      <c r="AG1015" s="52"/>
      <c r="AH1015" s="52"/>
      <c r="AI1015" s="52"/>
      <c r="AJ1015" s="52"/>
      <c r="AK1015" s="52"/>
      <c r="AL1015" s="52"/>
      <c r="AM1015" s="52"/>
      <c r="AN1015" s="52"/>
      <c r="AO1015" s="52"/>
      <c r="AP1015" s="52"/>
      <c r="AQ1015" s="52"/>
    </row>
    <row r="1016" spans="1:43">
      <c r="A1016" s="150"/>
      <c r="B1016" s="477"/>
      <c r="C1016" s="125"/>
      <c r="D1016" s="478"/>
      <c r="E1016" s="478"/>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c r="AB1016" s="52"/>
      <c r="AC1016" s="52"/>
      <c r="AD1016" s="52"/>
      <c r="AE1016" s="52"/>
      <c r="AF1016" s="52"/>
      <c r="AG1016" s="52"/>
      <c r="AH1016" s="52"/>
      <c r="AI1016" s="52"/>
      <c r="AJ1016" s="52"/>
      <c r="AK1016" s="52"/>
      <c r="AL1016" s="52"/>
      <c r="AM1016" s="52"/>
      <c r="AN1016" s="52"/>
      <c r="AO1016" s="52"/>
      <c r="AP1016" s="52"/>
      <c r="AQ1016" s="52"/>
    </row>
    <row r="1017" spans="1:43">
      <c r="A1017" s="150"/>
      <c r="B1017" s="477"/>
      <c r="C1017" s="125"/>
      <c r="D1017" s="478"/>
      <c r="E1017" s="478"/>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c r="AB1017" s="52"/>
      <c r="AC1017" s="52"/>
      <c r="AD1017" s="52"/>
      <c r="AE1017" s="52"/>
      <c r="AF1017" s="52"/>
      <c r="AG1017" s="52"/>
      <c r="AH1017" s="52"/>
      <c r="AI1017" s="52"/>
      <c r="AJ1017" s="52"/>
      <c r="AK1017" s="52"/>
      <c r="AL1017" s="52"/>
      <c r="AM1017" s="52"/>
      <c r="AN1017" s="52"/>
      <c r="AO1017" s="52"/>
      <c r="AP1017" s="52"/>
      <c r="AQ1017" s="52"/>
    </row>
    <row r="1018" spans="1:43">
      <c r="A1018" s="150"/>
      <c r="B1018" s="477"/>
      <c r="C1018" s="125"/>
      <c r="D1018" s="478"/>
      <c r="E1018" s="478"/>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c r="AB1018" s="52"/>
      <c r="AC1018" s="52"/>
      <c r="AD1018" s="52"/>
      <c r="AE1018" s="52"/>
      <c r="AF1018" s="52"/>
      <c r="AG1018" s="52"/>
      <c r="AH1018" s="52"/>
      <c r="AI1018" s="52"/>
      <c r="AJ1018" s="52"/>
      <c r="AK1018" s="52"/>
      <c r="AL1018" s="52"/>
      <c r="AM1018" s="52"/>
      <c r="AN1018" s="52"/>
      <c r="AO1018" s="52"/>
      <c r="AP1018" s="52"/>
      <c r="AQ1018" s="52"/>
    </row>
    <row r="1019" spans="1:43">
      <c r="A1019" s="150"/>
      <c r="B1019" s="477"/>
      <c r="C1019" s="125"/>
      <c r="D1019" s="478"/>
      <c r="E1019" s="478"/>
      <c r="F1019" s="52"/>
      <c r="G1019" s="52"/>
      <c r="H1019" s="52"/>
      <c r="I1019" s="52"/>
      <c r="J1019" s="52"/>
      <c r="K1019" s="52"/>
      <c r="L1019" s="52"/>
      <c r="M1019" s="52"/>
      <c r="N1019" s="52"/>
      <c r="O1019" s="52"/>
      <c r="P1019" s="52"/>
      <c r="Q1019" s="52"/>
      <c r="R1019" s="52"/>
      <c r="S1019" s="52"/>
      <c r="T1019" s="52"/>
      <c r="U1019" s="52"/>
      <c r="V1019" s="52"/>
      <c r="W1019" s="52"/>
      <c r="X1019" s="52"/>
      <c r="Y1019" s="52"/>
      <c r="Z1019" s="52"/>
      <c r="AA1019" s="52"/>
      <c r="AB1019" s="52"/>
      <c r="AC1019" s="52"/>
      <c r="AD1019" s="52"/>
      <c r="AE1019" s="52"/>
      <c r="AF1019" s="52"/>
      <c r="AG1019" s="52"/>
      <c r="AH1019" s="52"/>
      <c r="AI1019" s="52"/>
      <c r="AJ1019" s="52"/>
      <c r="AK1019" s="52"/>
      <c r="AL1019" s="52"/>
      <c r="AM1019" s="52"/>
      <c r="AN1019" s="52"/>
      <c r="AO1019" s="52"/>
      <c r="AP1019" s="52"/>
      <c r="AQ1019" s="52"/>
    </row>
    <row r="1020" spans="1:43">
      <c r="A1020" s="150"/>
      <c r="B1020" s="477"/>
      <c r="C1020" s="125"/>
      <c r="D1020" s="478"/>
      <c r="E1020" s="478"/>
      <c r="F1020" s="52"/>
      <c r="G1020" s="52"/>
      <c r="H1020" s="52"/>
      <c r="I1020" s="52"/>
      <c r="J1020" s="52"/>
      <c r="K1020" s="52"/>
      <c r="L1020" s="52"/>
      <c r="M1020" s="52"/>
      <c r="N1020" s="52"/>
      <c r="O1020" s="52"/>
      <c r="P1020" s="52"/>
      <c r="Q1020" s="52"/>
      <c r="R1020" s="52"/>
      <c r="S1020" s="52"/>
      <c r="T1020" s="52"/>
      <c r="U1020" s="52"/>
      <c r="V1020" s="52"/>
      <c r="W1020" s="52"/>
      <c r="X1020" s="52"/>
      <c r="Y1020" s="52"/>
      <c r="Z1020" s="52"/>
      <c r="AA1020" s="52"/>
      <c r="AB1020" s="52"/>
      <c r="AC1020" s="52"/>
      <c r="AD1020" s="52"/>
      <c r="AE1020" s="52"/>
      <c r="AF1020" s="52"/>
      <c r="AG1020" s="52"/>
      <c r="AH1020" s="52"/>
      <c r="AI1020" s="52"/>
      <c r="AJ1020" s="52"/>
      <c r="AK1020" s="52"/>
      <c r="AL1020" s="52"/>
      <c r="AM1020" s="52"/>
      <c r="AN1020" s="52"/>
      <c r="AO1020" s="52"/>
      <c r="AP1020" s="52"/>
      <c r="AQ1020" s="52"/>
    </row>
    <row r="1021" spans="1:43">
      <c r="A1021" s="150"/>
      <c r="B1021" s="477"/>
      <c r="C1021" s="125"/>
      <c r="D1021" s="478"/>
      <c r="E1021" s="478"/>
      <c r="F1021" s="52"/>
      <c r="G1021" s="52"/>
      <c r="H1021" s="52"/>
      <c r="I1021" s="52"/>
      <c r="J1021" s="52"/>
      <c r="K1021" s="52"/>
      <c r="L1021" s="52"/>
      <c r="M1021" s="52"/>
      <c r="N1021" s="52"/>
      <c r="O1021" s="52"/>
      <c r="P1021" s="52"/>
      <c r="Q1021" s="52"/>
      <c r="R1021" s="52"/>
      <c r="S1021" s="52"/>
      <c r="T1021" s="52"/>
      <c r="U1021" s="52"/>
      <c r="V1021" s="52"/>
      <c r="W1021" s="52"/>
      <c r="X1021" s="52"/>
      <c r="Y1021" s="52"/>
      <c r="Z1021" s="52"/>
      <c r="AA1021" s="52"/>
      <c r="AB1021" s="52"/>
      <c r="AC1021" s="52"/>
      <c r="AD1021" s="52"/>
      <c r="AE1021" s="52"/>
      <c r="AF1021" s="52"/>
      <c r="AG1021" s="52"/>
      <c r="AH1021" s="52"/>
      <c r="AI1021" s="52"/>
      <c r="AJ1021" s="52"/>
      <c r="AK1021" s="52"/>
      <c r="AL1021" s="52"/>
      <c r="AM1021" s="52"/>
      <c r="AN1021" s="52"/>
      <c r="AO1021" s="52"/>
      <c r="AP1021" s="52"/>
      <c r="AQ1021" s="52"/>
    </row>
    <row r="1022" spans="1:43">
      <c r="A1022" s="150"/>
      <c r="B1022" s="477"/>
      <c r="C1022" s="125"/>
      <c r="D1022" s="478"/>
      <c r="E1022" s="478"/>
      <c r="F1022" s="52"/>
      <c r="G1022" s="52"/>
      <c r="H1022" s="52"/>
      <c r="I1022" s="52"/>
      <c r="J1022" s="52"/>
      <c r="K1022" s="52"/>
      <c r="L1022" s="52"/>
      <c r="M1022" s="52"/>
      <c r="N1022" s="52"/>
      <c r="O1022" s="52"/>
      <c r="P1022" s="52"/>
      <c r="Q1022" s="52"/>
      <c r="R1022" s="52"/>
      <c r="S1022" s="52"/>
      <c r="T1022" s="52"/>
      <c r="U1022" s="52"/>
      <c r="V1022" s="52"/>
      <c r="W1022" s="52"/>
      <c r="X1022" s="52"/>
      <c r="Y1022" s="52"/>
      <c r="Z1022" s="52"/>
      <c r="AA1022" s="52"/>
      <c r="AB1022" s="52"/>
      <c r="AC1022" s="52"/>
      <c r="AD1022" s="52"/>
      <c r="AE1022" s="52"/>
      <c r="AF1022" s="52"/>
      <c r="AG1022" s="52"/>
      <c r="AH1022" s="52"/>
      <c r="AI1022" s="52"/>
      <c r="AJ1022" s="52"/>
      <c r="AK1022" s="52"/>
      <c r="AL1022" s="52"/>
      <c r="AM1022" s="52"/>
      <c r="AN1022" s="52"/>
      <c r="AO1022" s="52"/>
      <c r="AP1022" s="52"/>
      <c r="AQ1022" s="52"/>
    </row>
    <row r="1023" spans="1:43">
      <c r="A1023" s="150"/>
      <c r="B1023" s="477"/>
      <c r="C1023" s="125"/>
      <c r="D1023" s="478"/>
      <c r="E1023" s="478"/>
      <c r="F1023" s="52"/>
      <c r="G1023" s="52"/>
      <c r="H1023" s="52"/>
      <c r="I1023" s="52"/>
      <c r="J1023" s="52"/>
      <c r="K1023" s="52"/>
      <c r="L1023" s="52"/>
      <c r="M1023" s="52"/>
      <c r="N1023" s="52"/>
      <c r="O1023" s="52"/>
      <c r="P1023" s="52"/>
      <c r="Q1023" s="52"/>
      <c r="R1023" s="52"/>
      <c r="S1023" s="52"/>
      <c r="T1023" s="52"/>
      <c r="U1023" s="52"/>
      <c r="V1023" s="52"/>
      <c r="W1023" s="52"/>
      <c r="X1023" s="52"/>
      <c r="Y1023" s="52"/>
      <c r="Z1023" s="52"/>
      <c r="AA1023" s="52"/>
      <c r="AB1023" s="52"/>
      <c r="AC1023" s="52"/>
      <c r="AD1023" s="52"/>
      <c r="AE1023" s="52"/>
      <c r="AF1023" s="52"/>
      <c r="AG1023" s="52"/>
      <c r="AH1023" s="52"/>
      <c r="AI1023" s="52"/>
      <c r="AJ1023" s="52"/>
      <c r="AK1023" s="52"/>
      <c r="AL1023" s="52"/>
      <c r="AM1023" s="52"/>
      <c r="AN1023" s="52"/>
      <c r="AO1023" s="52"/>
      <c r="AP1023" s="52"/>
      <c r="AQ1023" s="52"/>
    </row>
    <row r="1024" spans="1:43">
      <c r="A1024" s="150"/>
      <c r="B1024" s="477"/>
      <c r="C1024" s="125"/>
      <c r="D1024" s="478"/>
      <c r="E1024" s="478"/>
      <c r="F1024" s="52"/>
      <c r="G1024" s="52"/>
      <c r="H1024" s="52"/>
      <c r="I1024" s="52"/>
      <c r="J1024" s="52"/>
      <c r="K1024" s="52"/>
      <c r="L1024" s="52"/>
      <c r="M1024" s="52"/>
      <c r="N1024" s="52"/>
      <c r="O1024" s="52"/>
      <c r="P1024" s="52"/>
      <c r="Q1024" s="52"/>
      <c r="R1024" s="52"/>
      <c r="S1024" s="52"/>
      <c r="T1024" s="52"/>
      <c r="U1024" s="52"/>
      <c r="V1024" s="52"/>
      <c r="W1024" s="52"/>
      <c r="X1024" s="52"/>
      <c r="Y1024" s="52"/>
      <c r="Z1024" s="52"/>
      <c r="AA1024" s="52"/>
      <c r="AB1024" s="52"/>
      <c r="AC1024" s="52"/>
      <c r="AD1024" s="52"/>
      <c r="AE1024" s="52"/>
      <c r="AF1024" s="52"/>
      <c r="AG1024" s="52"/>
      <c r="AH1024" s="52"/>
      <c r="AI1024" s="52"/>
      <c r="AJ1024" s="52"/>
      <c r="AK1024" s="52"/>
      <c r="AL1024" s="52"/>
      <c r="AM1024" s="52"/>
      <c r="AN1024" s="52"/>
      <c r="AO1024" s="52"/>
      <c r="AP1024" s="52"/>
      <c r="AQ1024" s="52"/>
    </row>
    <row r="1025" spans="1:43">
      <c r="A1025" s="150"/>
      <c r="B1025" s="477"/>
      <c r="C1025" s="125"/>
      <c r="D1025" s="478"/>
      <c r="E1025" s="478"/>
      <c r="F1025" s="52"/>
      <c r="G1025" s="52"/>
      <c r="H1025" s="52"/>
      <c r="I1025" s="52"/>
      <c r="J1025" s="52"/>
      <c r="K1025" s="52"/>
      <c r="L1025" s="52"/>
      <c r="M1025" s="52"/>
      <c r="N1025" s="52"/>
      <c r="O1025" s="52"/>
      <c r="P1025" s="52"/>
      <c r="Q1025" s="52"/>
      <c r="R1025" s="52"/>
      <c r="S1025" s="52"/>
      <c r="T1025" s="52"/>
      <c r="U1025" s="52"/>
      <c r="V1025" s="52"/>
      <c r="W1025" s="52"/>
      <c r="X1025" s="52"/>
      <c r="Y1025" s="52"/>
      <c r="Z1025" s="52"/>
      <c r="AA1025" s="52"/>
      <c r="AB1025" s="52"/>
      <c r="AC1025" s="52"/>
      <c r="AD1025" s="52"/>
      <c r="AE1025" s="52"/>
      <c r="AF1025" s="52"/>
      <c r="AG1025" s="52"/>
      <c r="AH1025" s="52"/>
      <c r="AI1025" s="52"/>
      <c r="AJ1025" s="52"/>
      <c r="AK1025" s="52"/>
      <c r="AL1025" s="52"/>
      <c r="AM1025" s="52"/>
      <c r="AN1025" s="52"/>
      <c r="AO1025" s="52"/>
      <c r="AP1025" s="52"/>
      <c r="AQ1025" s="52"/>
    </row>
    <row r="1026" spans="1:43">
      <c r="A1026" s="150"/>
      <c r="B1026" s="477"/>
      <c r="C1026" s="125"/>
      <c r="D1026" s="478"/>
      <c r="E1026" s="478"/>
      <c r="F1026" s="52"/>
      <c r="G1026" s="52"/>
      <c r="H1026" s="52"/>
      <c r="I1026" s="52"/>
      <c r="J1026" s="52"/>
      <c r="K1026" s="52"/>
      <c r="L1026" s="52"/>
      <c r="M1026" s="52"/>
      <c r="N1026" s="52"/>
      <c r="O1026" s="52"/>
      <c r="P1026" s="52"/>
      <c r="Q1026" s="52"/>
      <c r="R1026" s="52"/>
      <c r="S1026" s="52"/>
      <c r="T1026" s="52"/>
      <c r="U1026" s="52"/>
      <c r="V1026" s="52"/>
      <c r="W1026" s="52"/>
      <c r="X1026" s="52"/>
      <c r="Y1026" s="52"/>
      <c r="Z1026" s="52"/>
      <c r="AA1026" s="52"/>
      <c r="AB1026" s="52"/>
      <c r="AC1026" s="52"/>
      <c r="AD1026" s="52"/>
      <c r="AE1026" s="52"/>
      <c r="AF1026" s="52"/>
      <c r="AG1026" s="52"/>
      <c r="AH1026" s="52"/>
      <c r="AI1026" s="52"/>
      <c r="AJ1026" s="52"/>
      <c r="AK1026" s="52"/>
      <c r="AL1026" s="52"/>
      <c r="AM1026" s="52"/>
      <c r="AN1026" s="52"/>
      <c r="AO1026" s="52"/>
      <c r="AP1026" s="52"/>
      <c r="AQ1026" s="52"/>
    </row>
    <row r="1027" spans="1:43">
      <c r="A1027" s="150"/>
      <c r="B1027" s="477"/>
      <c r="C1027" s="125"/>
      <c r="D1027" s="478"/>
      <c r="E1027" s="478"/>
      <c r="F1027" s="52"/>
      <c r="G1027" s="52"/>
      <c r="H1027" s="52"/>
      <c r="I1027" s="52"/>
      <c r="J1027" s="52"/>
      <c r="K1027" s="52"/>
      <c r="L1027" s="52"/>
      <c r="M1027" s="52"/>
      <c r="N1027" s="52"/>
      <c r="O1027" s="52"/>
      <c r="P1027" s="52"/>
      <c r="Q1027" s="52"/>
      <c r="R1027" s="52"/>
      <c r="S1027" s="52"/>
      <c r="T1027" s="52"/>
      <c r="U1027" s="52"/>
      <c r="V1027" s="52"/>
      <c r="W1027" s="52"/>
      <c r="X1027" s="52"/>
      <c r="Y1027" s="52"/>
      <c r="Z1027" s="52"/>
      <c r="AA1027" s="52"/>
      <c r="AB1027" s="52"/>
      <c r="AC1027" s="52"/>
      <c r="AD1027" s="52"/>
      <c r="AE1027" s="52"/>
      <c r="AF1027" s="52"/>
      <c r="AG1027" s="52"/>
      <c r="AH1027" s="52"/>
      <c r="AI1027" s="52"/>
      <c r="AJ1027" s="52"/>
      <c r="AK1027" s="52"/>
      <c r="AL1027" s="52"/>
      <c r="AM1027" s="52"/>
      <c r="AN1027" s="52"/>
      <c r="AO1027" s="52"/>
      <c r="AP1027" s="52"/>
      <c r="AQ1027" s="52"/>
    </row>
    <row r="1028" spans="1:43">
      <c r="A1028" s="150"/>
      <c r="B1028" s="477"/>
      <c r="C1028" s="125"/>
      <c r="D1028" s="478"/>
      <c r="E1028" s="478"/>
      <c r="F1028" s="52"/>
      <c r="G1028" s="52"/>
      <c r="H1028" s="52"/>
      <c r="I1028" s="52"/>
      <c r="J1028" s="52"/>
      <c r="K1028" s="52"/>
      <c r="L1028" s="52"/>
      <c r="M1028" s="52"/>
      <c r="N1028" s="52"/>
      <c r="O1028" s="52"/>
      <c r="P1028" s="52"/>
      <c r="Q1028" s="52"/>
      <c r="R1028" s="52"/>
      <c r="S1028" s="52"/>
      <c r="T1028" s="52"/>
      <c r="U1028" s="52"/>
      <c r="V1028" s="52"/>
      <c r="W1028" s="52"/>
      <c r="X1028" s="52"/>
      <c r="Y1028" s="52"/>
      <c r="Z1028" s="52"/>
      <c r="AA1028" s="52"/>
      <c r="AB1028" s="52"/>
      <c r="AC1028" s="52"/>
      <c r="AD1028" s="52"/>
      <c r="AE1028" s="52"/>
      <c r="AF1028" s="52"/>
      <c r="AG1028" s="52"/>
      <c r="AH1028" s="52"/>
      <c r="AI1028" s="52"/>
      <c r="AJ1028" s="52"/>
      <c r="AK1028" s="52"/>
      <c r="AL1028" s="52"/>
      <c r="AM1028" s="52"/>
      <c r="AN1028" s="52"/>
      <c r="AO1028" s="52"/>
      <c r="AP1028" s="52"/>
      <c r="AQ1028" s="52"/>
    </row>
    <row r="1029" spans="1:43">
      <c r="A1029" s="150"/>
      <c r="B1029" s="477"/>
      <c r="C1029" s="125"/>
      <c r="D1029" s="478"/>
      <c r="E1029" s="478"/>
      <c r="F1029" s="52"/>
      <c r="G1029" s="52"/>
      <c r="H1029" s="52"/>
      <c r="I1029" s="52"/>
      <c r="J1029" s="52"/>
      <c r="K1029" s="52"/>
      <c r="L1029" s="52"/>
      <c r="M1029" s="52"/>
      <c r="N1029" s="52"/>
      <c r="O1029" s="52"/>
      <c r="P1029" s="52"/>
      <c r="Q1029" s="52"/>
      <c r="R1029" s="52"/>
      <c r="S1029" s="52"/>
      <c r="T1029" s="52"/>
      <c r="U1029" s="52"/>
      <c r="V1029" s="52"/>
      <c r="W1029" s="52"/>
      <c r="X1029" s="52"/>
      <c r="Y1029" s="52"/>
      <c r="Z1029" s="52"/>
      <c r="AA1029" s="52"/>
      <c r="AB1029" s="52"/>
      <c r="AC1029" s="52"/>
      <c r="AD1029" s="52"/>
      <c r="AE1029" s="52"/>
      <c r="AF1029" s="52"/>
      <c r="AG1029" s="52"/>
      <c r="AH1029" s="52"/>
      <c r="AI1029" s="52"/>
      <c r="AJ1029" s="52"/>
      <c r="AK1029" s="52"/>
      <c r="AL1029" s="52"/>
      <c r="AM1029" s="52"/>
      <c r="AN1029" s="52"/>
      <c r="AO1029" s="52"/>
      <c r="AP1029" s="52"/>
      <c r="AQ1029" s="52"/>
    </row>
    <row r="1030" spans="1:43">
      <c r="A1030" s="150"/>
      <c r="B1030" s="477"/>
      <c r="C1030" s="125"/>
      <c r="D1030" s="478"/>
      <c r="E1030" s="478"/>
      <c r="F1030" s="52"/>
      <c r="G1030" s="52"/>
      <c r="H1030" s="52"/>
      <c r="I1030" s="52"/>
      <c r="J1030" s="52"/>
      <c r="K1030" s="52"/>
      <c r="L1030" s="52"/>
      <c r="M1030" s="52"/>
      <c r="N1030" s="52"/>
      <c r="O1030" s="52"/>
      <c r="P1030" s="52"/>
      <c r="Q1030" s="52"/>
      <c r="R1030" s="52"/>
      <c r="S1030" s="52"/>
      <c r="T1030" s="52"/>
      <c r="U1030" s="52"/>
      <c r="V1030" s="52"/>
      <c r="W1030" s="52"/>
      <c r="X1030" s="52"/>
      <c r="Y1030" s="52"/>
      <c r="Z1030" s="52"/>
      <c r="AA1030" s="52"/>
      <c r="AB1030" s="52"/>
      <c r="AC1030" s="52"/>
      <c r="AD1030" s="52"/>
      <c r="AE1030" s="52"/>
      <c r="AF1030" s="52"/>
      <c r="AG1030" s="52"/>
      <c r="AH1030" s="52"/>
      <c r="AI1030" s="52"/>
      <c r="AJ1030" s="52"/>
      <c r="AK1030" s="52"/>
      <c r="AL1030" s="52"/>
      <c r="AM1030" s="52"/>
      <c r="AN1030" s="52"/>
      <c r="AO1030" s="52"/>
      <c r="AP1030" s="52"/>
      <c r="AQ1030" s="52"/>
    </row>
    <row r="1031" spans="1:43">
      <c r="A1031" s="150"/>
      <c r="B1031" s="477"/>
      <c r="C1031" s="125"/>
      <c r="D1031" s="478"/>
      <c r="E1031" s="478"/>
      <c r="F1031" s="52"/>
      <c r="G1031" s="52"/>
      <c r="H1031" s="52"/>
      <c r="I1031" s="52"/>
      <c r="J1031" s="52"/>
      <c r="K1031" s="52"/>
      <c r="L1031" s="52"/>
      <c r="M1031" s="52"/>
      <c r="N1031" s="52"/>
      <c r="O1031" s="52"/>
      <c r="P1031" s="52"/>
      <c r="Q1031" s="52"/>
      <c r="R1031" s="52"/>
      <c r="S1031" s="52"/>
      <c r="T1031" s="52"/>
      <c r="U1031" s="52"/>
      <c r="V1031" s="52"/>
      <c r="W1031" s="52"/>
      <c r="X1031" s="52"/>
      <c r="Y1031" s="52"/>
      <c r="Z1031" s="52"/>
      <c r="AA1031" s="52"/>
      <c r="AB1031" s="52"/>
      <c r="AC1031" s="52"/>
      <c r="AD1031" s="52"/>
      <c r="AE1031" s="52"/>
      <c r="AF1031" s="52"/>
      <c r="AG1031" s="52"/>
      <c r="AH1031" s="52"/>
      <c r="AI1031" s="52"/>
      <c r="AJ1031" s="52"/>
      <c r="AK1031" s="52"/>
      <c r="AL1031" s="52"/>
      <c r="AM1031" s="52"/>
      <c r="AN1031" s="52"/>
      <c r="AO1031" s="52"/>
      <c r="AP1031" s="52"/>
      <c r="AQ1031" s="52"/>
    </row>
    <row r="1032" spans="1:43">
      <c r="A1032" s="150"/>
      <c r="B1032" s="477"/>
      <c r="C1032" s="125"/>
      <c r="D1032" s="478"/>
      <c r="E1032" s="478"/>
      <c r="F1032" s="52"/>
      <c r="G1032" s="52"/>
      <c r="H1032" s="52"/>
      <c r="I1032" s="52"/>
      <c r="J1032" s="52"/>
      <c r="K1032" s="52"/>
      <c r="L1032" s="52"/>
      <c r="M1032" s="52"/>
      <c r="N1032" s="52"/>
      <c r="O1032" s="52"/>
      <c r="P1032" s="52"/>
      <c r="Q1032" s="52"/>
      <c r="R1032" s="52"/>
      <c r="S1032" s="52"/>
      <c r="T1032" s="52"/>
      <c r="U1032" s="52"/>
      <c r="V1032" s="52"/>
      <c r="W1032" s="52"/>
      <c r="X1032" s="52"/>
      <c r="Y1032" s="52"/>
      <c r="Z1032" s="52"/>
      <c r="AA1032" s="52"/>
      <c r="AB1032" s="52"/>
      <c r="AC1032" s="52"/>
      <c r="AD1032" s="52"/>
      <c r="AE1032" s="52"/>
      <c r="AF1032" s="52"/>
      <c r="AG1032" s="52"/>
      <c r="AH1032" s="52"/>
      <c r="AI1032" s="52"/>
      <c r="AJ1032" s="52"/>
      <c r="AK1032" s="52"/>
      <c r="AL1032" s="52"/>
      <c r="AM1032" s="52"/>
      <c r="AN1032" s="52"/>
      <c r="AO1032" s="52"/>
      <c r="AP1032" s="52"/>
      <c r="AQ1032" s="52"/>
    </row>
    <row r="1033" spans="1:43">
      <c r="A1033" s="150"/>
      <c r="B1033" s="477"/>
      <c r="C1033" s="125"/>
      <c r="D1033" s="478"/>
      <c r="E1033" s="478"/>
      <c r="F1033" s="52"/>
      <c r="G1033" s="52"/>
      <c r="H1033" s="52"/>
      <c r="I1033" s="52"/>
      <c r="J1033" s="52"/>
      <c r="K1033" s="52"/>
      <c r="L1033" s="52"/>
      <c r="M1033" s="52"/>
      <c r="N1033" s="52"/>
      <c r="O1033" s="52"/>
      <c r="P1033" s="52"/>
      <c r="Q1033" s="52"/>
      <c r="R1033" s="52"/>
      <c r="S1033" s="52"/>
      <c r="T1033" s="52"/>
      <c r="U1033" s="52"/>
      <c r="V1033" s="52"/>
      <c r="W1033" s="52"/>
      <c r="X1033" s="52"/>
      <c r="Y1033" s="52"/>
      <c r="Z1033" s="52"/>
      <c r="AA1033" s="52"/>
      <c r="AB1033" s="52"/>
      <c r="AC1033" s="52"/>
      <c r="AD1033" s="52"/>
      <c r="AE1033" s="52"/>
      <c r="AF1033" s="52"/>
      <c r="AG1033" s="52"/>
      <c r="AH1033" s="52"/>
      <c r="AI1033" s="52"/>
      <c r="AJ1033" s="52"/>
      <c r="AK1033" s="52"/>
      <c r="AL1033" s="52"/>
      <c r="AM1033" s="52"/>
      <c r="AN1033" s="52"/>
      <c r="AO1033" s="52"/>
      <c r="AP1033" s="52"/>
      <c r="AQ1033" s="52"/>
    </row>
    <row r="1034" spans="1:43">
      <c r="A1034" s="150"/>
      <c r="B1034" s="477"/>
      <c r="C1034" s="125"/>
      <c r="D1034" s="478"/>
      <c r="E1034" s="478"/>
      <c r="F1034" s="52"/>
      <c r="G1034" s="52"/>
      <c r="H1034" s="52"/>
      <c r="I1034" s="52"/>
      <c r="J1034" s="52"/>
      <c r="K1034" s="52"/>
      <c r="L1034" s="52"/>
      <c r="M1034" s="52"/>
      <c r="N1034" s="52"/>
      <c r="O1034" s="52"/>
      <c r="P1034" s="52"/>
      <c r="Q1034" s="52"/>
      <c r="R1034" s="52"/>
      <c r="S1034" s="52"/>
      <c r="T1034" s="52"/>
      <c r="U1034" s="52"/>
      <c r="V1034" s="52"/>
      <c r="W1034" s="52"/>
      <c r="X1034" s="52"/>
      <c r="Y1034" s="52"/>
      <c r="Z1034" s="52"/>
      <c r="AA1034" s="52"/>
      <c r="AB1034" s="52"/>
      <c r="AC1034" s="52"/>
      <c r="AD1034" s="52"/>
      <c r="AE1034" s="52"/>
      <c r="AF1034" s="52"/>
      <c r="AG1034" s="52"/>
      <c r="AH1034" s="52"/>
      <c r="AI1034" s="52"/>
      <c r="AJ1034" s="52"/>
      <c r="AK1034" s="52"/>
      <c r="AL1034" s="52"/>
      <c r="AM1034" s="52"/>
      <c r="AN1034" s="52"/>
      <c r="AO1034" s="52"/>
      <c r="AP1034" s="52"/>
      <c r="AQ1034" s="52"/>
    </row>
    <row r="1035" spans="1:43">
      <c r="A1035" s="150"/>
      <c r="B1035" s="477"/>
      <c r="C1035" s="125"/>
      <c r="D1035" s="478"/>
      <c r="E1035" s="478"/>
      <c r="F1035" s="52"/>
      <c r="G1035" s="52"/>
      <c r="H1035" s="52"/>
      <c r="I1035" s="52"/>
      <c r="J1035" s="52"/>
      <c r="K1035" s="52"/>
      <c r="L1035" s="52"/>
      <c r="M1035" s="52"/>
      <c r="N1035" s="52"/>
      <c r="O1035" s="52"/>
      <c r="P1035" s="52"/>
      <c r="Q1035" s="52"/>
      <c r="R1035" s="52"/>
      <c r="S1035" s="52"/>
      <c r="T1035" s="52"/>
      <c r="U1035" s="52"/>
      <c r="V1035" s="52"/>
      <c r="W1035" s="52"/>
      <c r="X1035" s="52"/>
      <c r="Y1035" s="52"/>
      <c r="Z1035" s="52"/>
      <c r="AA1035" s="52"/>
      <c r="AB1035" s="52"/>
      <c r="AC1035" s="52"/>
      <c r="AD1035" s="52"/>
      <c r="AE1035" s="52"/>
      <c r="AF1035" s="52"/>
      <c r="AG1035" s="52"/>
      <c r="AH1035" s="52"/>
      <c r="AI1035" s="52"/>
      <c r="AJ1035" s="52"/>
      <c r="AK1035" s="52"/>
      <c r="AL1035" s="52"/>
      <c r="AM1035" s="52"/>
      <c r="AN1035" s="52"/>
      <c r="AO1035" s="52"/>
      <c r="AP1035" s="52"/>
      <c r="AQ1035" s="52"/>
    </row>
    <row r="1036" spans="1:43">
      <c r="A1036" s="150"/>
      <c r="B1036" s="477"/>
      <c r="C1036" s="125"/>
      <c r="D1036" s="478"/>
      <c r="E1036" s="478"/>
      <c r="F1036" s="52"/>
      <c r="G1036" s="52"/>
      <c r="H1036" s="52"/>
      <c r="I1036" s="52"/>
      <c r="J1036" s="52"/>
      <c r="K1036" s="52"/>
      <c r="L1036" s="52"/>
      <c r="M1036" s="52"/>
      <c r="N1036" s="52"/>
      <c r="O1036" s="52"/>
      <c r="P1036" s="52"/>
      <c r="Q1036" s="52"/>
      <c r="R1036" s="52"/>
      <c r="S1036" s="52"/>
      <c r="T1036" s="52"/>
      <c r="U1036" s="52"/>
      <c r="V1036" s="52"/>
      <c r="W1036" s="52"/>
      <c r="X1036" s="52"/>
      <c r="Y1036" s="52"/>
      <c r="Z1036" s="52"/>
      <c r="AA1036" s="52"/>
      <c r="AB1036" s="52"/>
      <c r="AC1036" s="52"/>
      <c r="AD1036" s="52"/>
      <c r="AE1036" s="52"/>
      <c r="AF1036" s="52"/>
      <c r="AG1036" s="52"/>
      <c r="AH1036" s="52"/>
      <c r="AI1036" s="52"/>
      <c r="AJ1036" s="52"/>
      <c r="AK1036" s="52"/>
      <c r="AL1036" s="52"/>
      <c r="AM1036" s="52"/>
      <c r="AN1036" s="52"/>
      <c r="AO1036" s="52"/>
      <c r="AP1036" s="52"/>
      <c r="AQ1036" s="52"/>
    </row>
    <row r="1037" spans="1:43">
      <c r="A1037" s="150"/>
      <c r="B1037" s="477"/>
      <c r="C1037" s="125"/>
      <c r="D1037" s="478"/>
      <c r="E1037" s="478"/>
      <c r="F1037" s="52"/>
      <c r="G1037" s="52"/>
      <c r="H1037" s="52"/>
      <c r="I1037" s="52"/>
      <c r="J1037" s="52"/>
      <c r="K1037" s="52"/>
      <c r="L1037" s="52"/>
      <c r="M1037" s="52"/>
      <c r="N1037" s="52"/>
      <c r="O1037" s="52"/>
      <c r="P1037" s="52"/>
      <c r="Q1037" s="52"/>
      <c r="R1037" s="52"/>
      <c r="S1037" s="52"/>
      <c r="T1037" s="52"/>
      <c r="U1037" s="52"/>
      <c r="V1037" s="52"/>
      <c r="W1037" s="52"/>
      <c r="X1037" s="52"/>
      <c r="Y1037" s="52"/>
      <c r="Z1037" s="52"/>
      <c r="AA1037" s="52"/>
      <c r="AB1037" s="52"/>
      <c r="AC1037" s="52"/>
      <c r="AD1037" s="52"/>
      <c r="AE1037" s="52"/>
      <c r="AF1037" s="52"/>
      <c r="AG1037" s="52"/>
      <c r="AH1037" s="52"/>
      <c r="AI1037" s="52"/>
      <c r="AJ1037" s="52"/>
      <c r="AK1037" s="52"/>
      <c r="AL1037" s="52"/>
      <c r="AM1037" s="52"/>
      <c r="AN1037" s="52"/>
      <c r="AO1037" s="52"/>
      <c r="AP1037" s="52"/>
      <c r="AQ1037" s="52"/>
    </row>
    <row r="1038" spans="1:43">
      <c r="A1038" s="150"/>
      <c r="B1038" s="477"/>
      <c r="C1038" s="125"/>
      <c r="D1038" s="478"/>
      <c r="E1038" s="478"/>
      <c r="F1038" s="52"/>
      <c r="G1038" s="52"/>
      <c r="H1038" s="52"/>
      <c r="I1038" s="52"/>
      <c r="J1038" s="52"/>
      <c r="K1038" s="52"/>
      <c r="L1038" s="52"/>
      <c r="M1038" s="52"/>
      <c r="N1038" s="52"/>
      <c r="O1038" s="52"/>
      <c r="P1038" s="52"/>
      <c r="Q1038" s="52"/>
      <c r="R1038" s="52"/>
      <c r="S1038" s="52"/>
      <c r="T1038" s="52"/>
      <c r="U1038" s="52"/>
      <c r="V1038" s="52"/>
      <c r="W1038" s="52"/>
      <c r="X1038" s="52"/>
      <c r="Y1038" s="52"/>
      <c r="Z1038" s="52"/>
      <c r="AA1038" s="52"/>
      <c r="AB1038" s="52"/>
      <c r="AC1038" s="52"/>
      <c r="AD1038" s="52"/>
      <c r="AE1038" s="52"/>
      <c r="AF1038" s="52"/>
      <c r="AG1038" s="52"/>
      <c r="AH1038" s="52"/>
      <c r="AI1038" s="52"/>
      <c r="AJ1038" s="52"/>
      <c r="AK1038" s="52"/>
      <c r="AL1038" s="52"/>
      <c r="AM1038" s="52"/>
      <c r="AN1038" s="52"/>
      <c r="AO1038" s="52"/>
      <c r="AP1038" s="52"/>
      <c r="AQ1038" s="52"/>
    </row>
    <row r="1039" spans="1:43">
      <c r="A1039" s="150"/>
      <c r="B1039" s="477"/>
      <c r="C1039" s="125"/>
      <c r="D1039" s="478"/>
      <c r="E1039" s="478"/>
      <c r="F1039" s="52"/>
      <c r="G1039" s="52"/>
      <c r="H1039" s="52"/>
      <c r="I1039" s="52"/>
      <c r="J1039" s="52"/>
      <c r="K1039" s="52"/>
      <c r="L1039" s="52"/>
      <c r="M1039" s="52"/>
      <c r="N1039" s="52"/>
      <c r="O1039" s="52"/>
      <c r="P1039" s="52"/>
      <c r="Q1039" s="52"/>
      <c r="R1039" s="52"/>
      <c r="S1039" s="52"/>
      <c r="T1039" s="52"/>
      <c r="U1039" s="52"/>
      <c r="V1039" s="52"/>
      <c r="W1039" s="52"/>
      <c r="X1039" s="52"/>
      <c r="Y1039" s="52"/>
      <c r="Z1039" s="52"/>
      <c r="AA1039" s="52"/>
      <c r="AB1039" s="52"/>
      <c r="AC1039" s="52"/>
      <c r="AD1039" s="52"/>
      <c r="AE1039" s="52"/>
      <c r="AF1039" s="52"/>
      <c r="AG1039" s="52"/>
      <c r="AH1039" s="52"/>
      <c r="AI1039" s="52"/>
      <c r="AJ1039" s="52"/>
      <c r="AK1039" s="52"/>
      <c r="AL1039" s="52"/>
      <c r="AM1039" s="52"/>
      <c r="AN1039" s="52"/>
      <c r="AO1039" s="52"/>
      <c r="AP1039" s="52"/>
      <c r="AQ1039" s="52"/>
    </row>
    <row r="1040" spans="1:43">
      <c r="A1040" s="150"/>
      <c r="B1040" s="477"/>
      <c r="C1040" s="125"/>
      <c r="D1040" s="478"/>
      <c r="E1040" s="478"/>
      <c r="F1040" s="52"/>
      <c r="G1040" s="52"/>
      <c r="H1040" s="52"/>
      <c r="I1040" s="52"/>
      <c r="J1040" s="52"/>
      <c r="K1040" s="52"/>
      <c r="L1040" s="52"/>
      <c r="M1040" s="52"/>
      <c r="N1040" s="52"/>
      <c r="O1040" s="52"/>
      <c r="P1040" s="52"/>
      <c r="Q1040" s="52"/>
      <c r="R1040" s="52"/>
      <c r="S1040" s="52"/>
      <c r="T1040" s="52"/>
      <c r="U1040" s="52"/>
      <c r="V1040" s="52"/>
      <c r="W1040" s="52"/>
      <c r="X1040" s="52"/>
      <c r="Y1040" s="52"/>
      <c r="Z1040" s="52"/>
      <c r="AA1040" s="52"/>
      <c r="AB1040" s="52"/>
      <c r="AC1040" s="52"/>
      <c r="AD1040" s="52"/>
      <c r="AE1040" s="52"/>
      <c r="AF1040" s="52"/>
      <c r="AG1040" s="52"/>
      <c r="AH1040" s="52"/>
      <c r="AI1040" s="52"/>
      <c r="AJ1040" s="52"/>
      <c r="AK1040" s="52"/>
      <c r="AL1040" s="52"/>
      <c r="AM1040" s="52"/>
      <c r="AN1040" s="52"/>
      <c r="AO1040" s="52"/>
      <c r="AP1040" s="52"/>
      <c r="AQ1040" s="52"/>
    </row>
    <row r="1041" spans="1:43">
      <c r="A1041" s="150"/>
      <c r="B1041" s="477"/>
      <c r="C1041" s="125"/>
      <c r="D1041" s="478"/>
      <c r="E1041" s="478"/>
      <c r="F1041" s="52"/>
      <c r="G1041" s="52"/>
      <c r="H1041" s="52"/>
      <c r="I1041" s="52"/>
      <c r="J1041" s="52"/>
      <c r="K1041" s="52"/>
      <c r="L1041" s="52"/>
      <c r="M1041" s="52"/>
      <c r="N1041" s="52"/>
      <c r="O1041" s="52"/>
      <c r="P1041" s="52"/>
      <c r="Q1041" s="52"/>
      <c r="R1041" s="52"/>
      <c r="S1041" s="52"/>
      <c r="T1041" s="52"/>
      <c r="U1041" s="52"/>
      <c r="V1041" s="52"/>
      <c r="W1041" s="52"/>
      <c r="X1041" s="52"/>
      <c r="Y1041" s="52"/>
      <c r="Z1041" s="52"/>
      <c r="AA1041" s="52"/>
      <c r="AB1041" s="52"/>
      <c r="AC1041" s="52"/>
      <c r="AD1041" s="52"/>
      <c r="AE1041" s="52"/>
      <c r="AF1041" s="52"/>
      <c r="AG1041" s="52"/>
      <c r="AH1041" s="52"/>
      <c r="AI1041" s="52"/>
      <c r="AJ1041" s="52"/>
      <c r="AK1041" s="52"/>
      <c r="AL1041" s="52"/>
      <c r="AM1041" s="52"/>
      <c r="AN1041" s="52"/>
      <c r="AO1041" s="52"/>
      <c r="AP1041" s="52"/>
      <c r="AQ1041" s="52"/>
    </row>
    <row r="1042" spans="1:43">
      <c r="A1042" s="150"/>
      <c r="B1042" s="477"/>
      <c r="C1042" s="125"/>
      <c r="D1042" s="478"/>
      <c r="E1042" s="478"/>
      <c r="F1042" s="52"/>
      <c r="G1042" s="52"/>
      <c r="H1042" s="52"/>
      <c r="I1042" s="52"/>
      <c r="J1042" s="52"/>
      <c r="K1042" s="52"/>
      <c r="L1042" s="52"/>
      <c r="M1042" s="52"/>
      <c r="N1042" s="52"/>
      <c r="O1042" s="52"/>
      <c r="P1042" s="52"/>
      <c r="Q1042" s="52"/>
      <c r="R1042" s="52"/>
      <c r="S1042" s="52"/>
      <c r="T1042" s="52"/>
      <c r="U1042" s="52"/>
      <c r="V1042" s="52"/>
      <c r="W1042" s="52"/>
      <c r="X1042" s="52"/>
      <c r="Y1042" s="52"/>
      <c r="Z1042" s="52"/>
      <c r="AA1042" s="52"/>
      <c r="AB1042" s="52"/>
      <c r="AC1042" s="52"/>
      <c r="AD1042" s="52"/>
      <c r="AE1042" s="52"/>
      <c r="AF1042" s="52"/>
      <c r="AG1042" s="52"/>
      <c r="AH1042" s="52"/>
      <c r="AI1042" s="52"/>
      <c r="AJ1042" s="52"/>
      <c r="AK1042" s="52"/>
      <c r="AL1042" s="52"/>
      <c r="AM1042" s="52"/>
      <c r="AN1042" s="52"/>
      <c r="AO1042" s="52"/>
      <c r="AP1042" s="52"/>
      <c r="AQ1042" s="52"/>
    </row>
    <row r="1043" spans="1:43">
      <c r="A1043" s="150"/>
      <c r="B1043" s="477"/>
      <c r="C1043" s="125"/>
      <c r="D1043" s="478"/>
      <c r="E1043" s="478"/>
      <c r="F1043" s="52"/>
      <c r="G1043" s="52"/>
      <c r="H1043" s="52"/>
      <c r="I1043" s="52"/>
      <c r="J1043" s="52"/>
      <c r="K1043" s="52"/>
      <c r="L1043" s="52"/>
      <c r="M1043" s="52"/>
      <c r="N1043" s="52"/>
      <c r="O1043" s="52"/>
      <c r="P1043" s="52"/>
      <c r="Q1043" s="52"/>
      <c r="R1043" s="52"/>
      <c r="S1043" s="52"/>
      <c r="T1043" s="52"/>
      <c r="U1043" s="52"/>
      <c r="V1043" s="52"/>
      <c r="W1043" s="52"/>
      <c r="X1043" s="52"/>
      <c r="Y1043" s="52"/>
      <c r="Z1043" s="52"/>
      <c r="AA1043" s="52"/>
      <c r="AB1043" s="52"/>
      <c r="AC1043" s="52"/>
      <c r="AD1043" s="52"/>
      <c r="AE1043" s="52"/>
      <c r="AF1043" s="52"/>
      <c r="AG1043" s="52"/>
      <c r="AH1043" s="52"/>
      <c r="AI1043" s="52"/>
      <c r="AJ1043" s="52"/>
      <c r="AK1043" s="52"/>
      <c r="AL1043" s="52"/>
      <c r="AM1043" s="52"/>
      <c r="AN1043" s="52"/>
      <c r="AO1043" s="52"/>
      <c r="AP1043" s="52"/>
      <c r="AQ1043" s="52"/>
    </row>
    <row r="1044" spans="1:43">
      <c r="A1044" s="150"/>
      <c r="B1044" s="477"/>
      <c r="C1044" s="125"/>
      <c r="D1044" s="478"/>
      <c r="E1044" s="478"/>
      <c r="F1044" s="52"/>
      <c r="G1044" s="52"/>
      <c r="H1044" s="52"/>
      <c r="I1044" s="52"/>
      <c r="J1044" s="52"/>
      <c r="K1044" s="52"/>
      <c r="L1044" s="52"/>
      <c r="M1044" s="52"/>
      <c r="N1044" s="52"/>
      <c r="O1044" s="52"/>
      <c r="P1044" s="52"/>
      <c r="Q1044" s="52"/>
      <c r="R1044" s="52"/>
      <c r="S1044" s="52"/>
      <c r="T1044" s="52"/>
      <c r="U1044" s="52"/>
      <c r="V1044" s="52"/>
      <c r="W1044" s="52"/>
      <c r="X1044" s="52"/>
      <c r="Y1044" s="52"/>
      <c r="Z1044" s="52"/>
      <c r="AA1044" s="52"/>
      <c r="AB1044" s="52"/>
      <c r="AC1044" s="52"/>
      <c r="AD1044" s="52"/>
      <c r="AE1044" s="52"/>
      <c r="AF1044" s="52"/>
      <c r="AG1044" s="52"/>
      <c r="AH1044" s="52"/>
      <c r="AI1044" s="52"/>
      <c r="AJ1044" s="52"/>
      <c r="AK1044" s="52"/>
      <c r="AL1044" s="52"/>
      <c r="AM1044" s="52"/>
      <c r="AN1044" s="52"/>
      <c r="AO1044" s="52"/>
      <c r="AP1044" s="52"/>
      <c r="AQ1044" s="52"/>
    </row>
    <row r="1045" spans="1:43">
      <c r="A1045" s="150"/>
      <c r="B1045" s="477"/>
      <c r="C1045" s="125"/>
      <c r="D1045" s="478"/>
      <c r="E1045" s="478"/>
      <c r="F1045" s="52"/>
      <c r="G1045" s="52"/>
      <c r="H1045" s="52"/>
      <c r="I1045" s="52"/>
      <c r="J1045" s="52"/>
      <c r="K1045" s="52"/>
      <c r="L1045" s="52"/>
      <c r="M1045" s="52"/>
      <c r="N1045" s="52"/>
      <c r="O1045" s="52"/>
      <c r="P1045" s="52"/>
      <c r="Q1045" s="52"/>
      <c r="R1045" s="52"/>
      <c r="S1045" s="52"/>
      <c r="T1045" s="52"/>
      <c r="U1045" s="52"/>
      <c r="V1045" s="52"/>
      <c r="W1045" s="52"/>
      <c r="X1045" s="52"/>
      <c r="Y1045" s="52"/>
      <c r="Z1045" s="52"/>
      <c r="AA1045" s="52"/>
      <c r="AB1045" s="52"/>
      <c r="AC1045" s="52"/>
      <c r="AD1045" s="52"/>
      <c r="AE1045" s="52"/>
      <c r="AF1045" s="52"/>
      <c r="AG1045" s="52"/>
      <c r="AH1045" s="52"/>
      <c r="AI1045" s="52"/>
      <c r="AJ1045" s="52"/>
      <c r="AK1045" s="52"/>
      <c r="AL1045" s="52"/>
      <c r="AM1045" s="52"/>
      <c r="AN1045" s="52"/>
      <c r="AO1045" s="52"/>
      <c r="AP1045" s="52"/>
      <c r="AQ1045" s="52"/>
    </row>
    <row r="1046" spans="1:43">
      <c r="A1046" s="150"/>
      <c r="B1046" s="477"/>
      <c r="C1046" s="125"/>
      <c r="D1046" s="478"/>
      <c r="E1046" s="478"/>
      <c r="F1046" s="52"/>
      <c r="G1046" s="52"/>
      <c r="H1046" s="52"/>
      <c r="I1046" s="52"/>
      <c r="J1046" s="52"/>
      <c r="K1046" s="52"/>
      <c r="L1046" s="52"/>
      <c r="M1046" s="52"/>
      <c r="N1046" s="52"/>
      <c r="O1046" s="52"/>
      <c r="P1046" s="52"/>
      <c r="Q1046" s="52"/>
      <c r="R1046" s="52"/>
      <c r="S1046" s="52"/>
      <c r="T1046" s="52"/>
      <c r="U1046" s="52"/>
      <c r="V1046" s="52"/>
      <c r="W1046" s="52"/>
      <c r="X1046" s="52"/>
      <c r="Y1046" s="52"/>
      <c r="Z1046" s="52"/>
      <c r="AA1046" s="52"/>
      <c r="AB1046" s="52"/>
      <c r="AC1046" s="52"/>
      <c r="AD1046" s="52"/>
      <c r="AE1046" s="52"/>
      <c r="AF1046" s="52"/>
      <c r="AG1046" s="52"/>
      <c r="AH1046" s="52"/>
      <c r="AI1046" s="52"/>
      <c r="AJ1046" s="52"/>
      <c r="AK1046" s="52"/>
      <c r="AL1046" s="52"/>
      <c r="AM1046" s="52"/>
      <c r="AN1046" s="52"/>
      <c r="AO1046" s="52"/>
      <c r="AP1046" s="52"/>
      <c r="AQ1046" s="52"/>
    </row>
    <row r="1047" spans="1:43">
      <c r="A1047" s="150"/>
      <c r="B1047" s="477"/>
      <c r="C1047" s="125"/>
      <c r="D1047" s="478"/>
      <c r="E1047" s="478"/>
      <c r="F1047" s="52"/>
      <c r="G1047" s="52"/>
      <c r="H1047" s="52"/>
      <c r="I1047" s="52"/>
      <c r="J1047" s="52"/>
      <c r="K1047" s="52"/>
      <c r="L1047" s="52"/>
      <c r="M1047" s="52"/>
      <c r="N1047" s="52"/>
      <c r="O1047" s="52"/>
      <c r="P1047" s="52"/>
      <c r="Q1047" s="52"/>
      <c r="R1047" s="52"/>
      <c r="S1047" s="52"/>
      <c r="T1047" s="52"/>
      <c r="U1047" s="52"/>
      <c r="V1047" s="52"/>
      <c r="W1047" s="52"/>
      <c r="X1047" s="52"/>
      <c r="Y1047" s="52"/>
      <c r="Z1047" s="52"/>
      <c r="AA1047" s="52"/>
      <c r="AB1047" s="52"/>
      <c r="AC1047" s="52"/>
      <c r="AD1047" s="52"/>
      <c r="AE1047" s="52"/>
      <c r="AF1047" s="52"/>
      <c r="AG1047" s="52"/>
      <c r="AH1047" s="52"/>
      <c r="AI1047" s="52"/>
      <c r="AJ1047" s="52"/>
      <c r="AK1047" s="52"/>
      <c r="AL1047" s="52"/>
      <c r="AM1047" s="52"/>
      <c r="AN1047" s="52"/>
      <c r="AO1047" s="52"/>
      <c r="AP1047" s="52"/>
      <c r="AQ1047" s="52"/>
    </row>
    <row r="1048" spans="1:43">
      <c r="A1048" s="150"/>
      <c r="B1048" s="477"/>
      <c r="C1048" s="125"/>
      <c r="D1048" s="478"/>
      <c r="E1048" s="478"/>
      <c r="F1048" s="52"/>
      <c r="G1048" s="52"/>
      <c r="H1048" s="52"/>
      <c r="I1048" s="52"/>
      <c r="J1048" s="52"/>
      <c r="K1048" s="52"/>
      <c r="L1048" s="52"/>
      <c r="M1048" s="52"/>
      <c r="N1048" s="52"/>
      <c r="O1048" s="52"/>
      <c r="P1048" s="52"/>
      <c r="Q1048" s="52"/>
      <c r="R1048" s="52"/>
      <c r="S1048" s="52"/>
      <c r="T1048" s="52"/>
      <c r="U1048" s="52"/>
      <c r="V1048" s="52"/>
      <c r="W1048" s="52"/>
      <c r="X1048" s="52"/>
      <c r="Y1048" s="52"/>
      <c r="Z1048" s="52"/>
      <c r="AA1048" s="52"/>
      <c r="AB1048" s="52"/>
      <c r="AC1048" s="52"/>
      <c r="AD1048" s="52"/>
      <c r="AE1048" s="52"/>
      <c r="AF1048" s="52"/>
      <c r="AG1048" s="52"/>
      <c r="AH1048" s="52"/>
      <c r="AI1048" s="52"/>
      <c r="AJ1048" s="52"/>
      <c r="AK1048" s="52"/>
      <c r="AL1048" s="52"/>
      <c r="AM1048" s="52"/>
      <c r="AN1048" s="52"/>
      <c r="AO1048" s="52"/>
      <c r="AP1048" s="52"/>
      <c r="AQ1048" s="52"/>
    </row>
    <row r="1049" spans="1:43">
      <c r="A1049" s="150"/>
      <c r="B1049" s="477"/>
      <c r="C1049" s="125"/>
      <c r="D1049" s="478"/>
      <c r="E1049" s="478"/>
      <c r="F1049" s="52"/>
      <c r="G1049" s="52"/>
      <c r="H1049" s="52"/>
      <c r="I1049" s="52"/>
      <c r="J1049" s="52"/>
      <c r="K1049" s="52"/>
      <c r="L1049" s="52"/>
      <c r="M1049" s="52"/>
      <c r="N1049" s="52"/>
      <c r="O1049" s="52"/>
      <c r="P1049" s="52"/>
      <c r="Q1049" s="52"/>
      <c r="R1049" s="52"/>
      <c r="S1049" s="52"/>
      <c r="T1049" s="52"/>
      <c r="U1049" s="52"/>
      <c r="V1049" s="52"/>
      <c r="W1049" s="52"/>
      <c r="X1049" s="52"/>
      <c r="Y1049" s="52"/>
      <c r="Z1049" s="52"/>
      <c r="AA1049" s="52"/>
      <c r="AB1049" s="52"/>
      <c r="AC1049" s="52"/>
      <c r="AD1049" s="52"/>
      <c r="AE1049" s="52"/>
      <c r="AF1049" s="52"/>
      <c r="AG1049" s="52"/>
      <c r="AH1049" s="52"/>
      <c r="AI1049" s="52"/>
      <c r="AJ1049" s="52"/>
      <c r="AK1049" s="52"/>
      <c r="AL1049" s="52"/>
      <c r="AM1049" s="52"/>
      <c r="AN1049" s="52"/>
      <c r="AO1049" s="52"/>
      <c r="AP1049" s="52"/>
      <c r="AQ1049" s="52"/>
    </row>
    <row r="1050" spans="1:43">
      <c r="A1050" s="150"/>
      <c r="B1050" s="477"/>
      <c r="C1050" s="125"/>
      <c r="D1050" s="478"/>
      <c r="E1050" s="478"/>
      <c r="F1050" s="52"/>
      <c r="G1050" s="52"/>
      <c r="H1050" s="52"/>
      <c r="I1050" s="52"/>
      <c r="J1050" s="52"/>
      <c r="K1050" s="52"/>
      <c r="L1050" s="52"/>
      <c r="M1050" s="52"/>
      <c r="N1050" s="52"/>
      <c r="O1050" s="52"/>
      <c r="P1050" s="52"/>
      <c r="Q1050" s="52"/>
      <c r="R1050" s="52"/>
      <c r="S1050" s="52"/>
      <c r="T1050" s="52"/>
      <c r="U1050" s="52"/>
      <c r="V1050" s="52"/>
      <c r="W1050" s="52"/>
      <c r="X1050" s="52"/>
      <c r="Y1050" s="52"/>
      <c r="Z1050" s="52"/>
      <c r="AA1050" s="52"/>
      <c r="AB1050" s="52"/>
      <c r="AC1050" s="52"/>
      <c r="AD1050" s="52"/>
      <c r="AE1050" s="52"/>
      <c r="AF1050" s="52"/>
      <c r="AG1050" s="52"/>
      <c r="AH1050" s="52"/>
      <c r="AI1050" s="52"/>
      <c r="AJ1050" s="52"/>
      <c r="AK1050" s="52"/>
      <c r="AL1050" s="52"/>
      <c r="AM1050" s="52"/>
      <c r="AN1050" s="52"/>
      <c r="AO1050" s="52"/>
      <c r="AP1050" s="52"/>
      <c r="AQ1050" s="52"/>
    </row>
    <row r="1051" spans="1:43">
      <c r="A1051" s="150"/>
      <c r="B1051" s="477"/>
      <c r="C1051" s="125"/>
      <c r="D1051" s="478"/>
      <c r="E1051" s="478"/>
      <c r="F1051" s="52"/>
      <c r="G1051" s="52"/>
      <c r="H1051" s="52"/>
      <c r="I1051" s="52"/>
      <c r="J1051" s="52"/>
      <c r="K1051" s="52"/>
      <c r="L1051" s="52"/>
      <c r="M1051" s="52"/>
      <c r="N1051" s="52"/>
      <c r="O1051" s="52"/>
      <c r="P1051" s="52"/>
      <c r="Q1051" s="52"/>
      <c r="R1051" s="52"/>
      <c r="S1051" s="52"/>
      <c r="T1051" s="52"/>
      <c r="U1051" s="52"/>
      <c r="V1051" s="52"/>
      <c r="W1051" s="52"/>
      <c r="X1051" s="52"/>
      <c r="Y1051" s="52"/>
      <c r="Z1051" s="52"/>
      <c r="AA1051" s="52"/>
      <c r="AB1051" s="52"/>
      <c r="AC1051" s="52"/>
      <c r="AD1051" s="52"/>
      <c r="AE1051" s="52"/>
      <c r="AF1051" s="52"/>
      <c r="AG1051" s="52"/>
      <c r="AH1051" s="52"/>
      <c r="AI1051" s="52"/>
      <c r="AJ1051" s="52"/>
      <c r="AK1051" s="52"/>
      <c r="AL1051" s="52"/>
      <c r="AM1051" s="52"/>
      <c r="AN1051" s="52"/>
      <c r="AO1051" s="52"/>
      <c r="AP1051" s="52"/>
      <c r="AQ1051" s="52"/>
    </row>
    <row r="1052" spans="1:43">
      <c r="A1052" s="150"/>
      <c r="B1052" s="477"/>
      <c r="C1052" s="125"/>
      <c r="D1052" s="478"/>
      <c r="E1052" s="478"/>
      <c r="F1052" s="52"/>
      <c r="G1052" s="52"/>
      <c r="H1052" s="52"/>
      <c r="I1052" s="52"/>
      <c r="J1052" s="52"/>
      <c r="K1052" s="52"/>
      <c r="L1052" s="52"/>
      <c r="M1052" s="52"/>
      <c r="N1052" s="52"/>
      <c r="O1052" s="52"/>
      <c r="P1052" s="52"/>
      <c r="Q1052" s="52"/>
      <c r="R1052" s="52"/>
      <c r="S1052" s="52"/>
      <c r="T1052" s="52"/>
      <c r="U1052" s="52"/>
      <c r="V1052" s="52"/>
      <c r="W1052" s="52"/>
      <c r="X1052" s="52"/>
      <c r="Y1052" s="52"/>
      <c r="Z1052" s="52"/>
      <c r="AA1052" s="52"/>
      <c r="AB1052" s="52"/>
      <c r="AC1052" s="52"/>
      <c r="AD1052" s="52"/>
      <c r="AE1052" s="52"/>
      <c r="AF1052" s="52"/>
      <c r="AG1052" s="52"/>
      <c r="AH1052" s="52"/>
      <c r="AI1052" s="52"/>
      <c r="AJ1052" s="52"/>
      <c r="AK1052" s="52"/>
      <c r="AL1052" s="52"/>
      <c r="AM1052" s="52"/>
      <c r="AN1052" s="52"/>
      <c r="AO1052" s="52"/>
      <c r="AP1052" s="52"/>
      <c r="AQ1052" s="52"/>
    </row>
    <row r="1053" spans="1:43">
      <c r="A1053" s="150"/>
      <c r="B1053" s="477"/>
      <c r="C1053" s="125"/>
      <c r="D1053" s="478"/>
      <c r="E1053" s="478"/>
      <c r="F1053" s="52"/>
      <c r="G1053" s="52"/>
      <c r="H1053" s="52"/>
      <c r="I1053" s="52"/>
      <c r="J1053" s="52"/>
      <c r="K1053" s="52"/>
      <c r="L1053" s="52"/>
      <c r="M1053" s="52"/>
      <c r="N1053" s="52"/>
      <c r="O1053" s="52"/>
      <c r="P1053" s="52"/>
      <c r="Q1053" s="52"/>
      <c r="R1053" s="52"/>
      <c r="S1053" s="52"/>
      <c r="T1053" s="52"/>
      <c r="U1053" s="52"/>
      <c r="V1053" s="52"/>
      <c r="W1053" s="52"/>
      <c r="X1053" s="52"/>
      <c r="Y1053" s="52"/>
      <c r="Z1053" s="52"/>
      <c r="AA1053" s="52"/>
      <c r="AB1053" s="52"/>
      <c r="AC1053" s="52"/>
      <c r="AD1053" s="52"/>
      <c r="AE1053" s="52"/>
      <c r="AF1053" s="52"/>
      <c r="AG1053" s="52"/>
      <c r="AH1053" s="52"/>
      <c r="AI1053" s="52"/>
      <c r="AJ1053" s="52"/>
      <c r="AK1053" s="52"/>
      <c r="AL1053" s="52"/>
      <c r="AM1053" s="52"/>
      <c r="AN1053" s="52"/>
      <c r="AO1053" s="52"/>
      <c r="AP1053" s="52"/>
      <c r="AQ1053" s="52"/>
    </row>
    <row r="1054" spans="1:43">
      <c r="A1054" s="150"/>
      <c r="B1054" s="477"/>
      <c r="C1054" s="125"/>
      <c r="D1054" s="478"/>
      <c r="E1054" s="478"/>
      <c r="F1054" s="52"/>
      <c r="G1054" s="52"/>
      <c r="H1054" s="52"/>
      <c r="I1054" s="52"/>
      <c r="J1054" s="52"/>
      <c r="K1054" s="52"/>
      <c r="L1054" s="52"/>
      <c r="M1054" s="52"/>
      <c r="N1054" s="52"/>
      <c r="O1054" s="52"/>
      <c r="P1054" s="52"/>
      <c r="Q1054" s="52"/>
      <c r="R1054" s="52"/>
      <c r="S1054" s="52"/>
      <c r="T1054" s="52"/>
      <c r="U1054" s="52"/>
      <c r="V1054" s="52"/>
      <c r="W1054" s="52"/>
      <c r="X1054" s="52"/>
      <c r="Y1054" s="52"/>
      <c r="Z1054" s="52"/>
      <c r="AA1054" s="52"/>
      <c r="AB1054" s="52"/>
      <c r="AC1054" s="52"/>
      <c r="AD1054" s="52"/>
      <c r="AE1054" s="52"/>
      <c r="AF1054" s="52"/>
      <c r="AG1054" s="52"/>
      <c r="AH1054" s="52"/>
      <c r="AI1054" s="52"/>
      <c r="AJ1054" s="52"/>
      <c r="AK1054" s="52"/>
      <c r="AL1054" s="52"/>
      <c r="AM1054" s="52"/>
      <c r="AN1054" s="52"/>
      <c r="AO1054" s="52"/>
      <c r="AP1054" s="52"/>
      <c r="AQ1054" s="52"/>
    </row>
    <row r="1055" spans="1:43">
      <c r="A1055" s="150"/>
      <c r="B1055" s="477"/>
      <c r="C1055" s="125"/>
      <c r="D1055" s="478"/>
      <c r="E1055" s="478"/>
      <c r="F1055" s="52"/>
      <c r="G1055" s="52"/>
      <c r="H1055" s="52"/>
      <c r="I1055" s="52"/>
      <c r="J1055" s="52"/>
      <c r="K1055" s="52"/>
      <c r="L1055" s="52"/>
      <c r="M1055" s="52"/>
      <c r="N1055" s="52"/>
      <c r="O1055" s="52"/>
      <c r="P1055" s="52"/>
      <c r="Q1055" s="52"/>
      <c r="R1055" s="52"/>
      <c r="S1055" s="52"/>
      <c r="T1055" s="52"/>
      <c r="U1055" s="52"/>
      <c r="V1055" s="52"/>
      <c r="W1055" s="52"/>
      <c r="X1055" s="52"/>
      <c r="Y1055" s="52"/>
      <c r="Z1055" s="52"/>
      <c r="AA1055" s="52"/>
      <c r="AB1055" s="52"/>
      <c r="AC1055" s="52"/>
      <c r="AD1055" s="52"/>
      <c r="AE1055" s="52"/>
      <c r="AF1055" s="52"/>
      <c r="AG1055" s="52"/>
      <c r="AH1055" s="52"/>
      <c r="AI1055" s="52"/>
      <c r="AJ1055" s="52"/>
      <c r="AK1055" s="52"/>
      <c r="AL1055" s="52"/>
      <c r="AM1055" s="52"/>
      <c r="AN1055" s="52"/>
      <c r="AO1055" s="52"/>
      <c r="AP1055" s="52"/>
      <c r="AQ1055" s="52"/>
    </row>
    <row r="1056" spans="1:43">
      <c r="A1056" s="150"/>
      <c r="B1056" s="477"/>
      <c r="C1056" s="125"/>
      <c r="D1056" s="478"/>
      <c r="E1056" s="478"/>
      <c r="F1056" s="52"/>
      <c r="G1056" s="52"/>
      <c r="H1056" s="52"/>
      <c r="I1056" s="52"/>
      <c r="J1056" s="52"/>
      <c r="K1056" s="52"/>
      <c r="L1056" s="52"/>
      <c r="M1056" s="52"/>
      <c r="N1056" s="52"/>
      <c r="O1056" s="52"/>
      <c r="P1056" s="52"/>
      <c r="Q1056" s="52"/>
      <c r="R1056" s="52"/>
      <c r="S1056" s="52"/>
      <c r="T1056" s="52"/>
      <c r="U1056" s="52"/>
      <c r="V1056" s="52"/>
      <c r="W1056" s="52"/>
      <c r="X1056" s="52"/>
      <c r="Y1056" s="52"/>
      <c r="Z1056" s="52"/>
      <c r="AA1056" s="52"/>
      <c r="AB1056" s="52"/>
      <c r="AC1056" s="52"/>
      <c r="AD1056" s="52"/>
      <c r="AE1056" s="52"/>
      <c r="AF1056" s="52"/>
      <c r="AG1056" s="52"/>
      <c r="AH1056" s="52"/>
      <c r="AI1056" s="52"/>
      <c r="AJ1056" s="52"/>
      <c r="AK1056" s="52"/>
      <c r="AL1056" s="52"/>
      <c r="AM1056" s="52"/>
      <c r="AN1056" s="52"/>
      <c r="AO1056" s="52"/>
      <c r="AP1056" s="52"/>
      <c r="AQ1056" s="52"/>
    </row>
    <row r="1057" spans="1:43">
      <c r="A1057" s="150"/>
      <c r="B1057" s="477"/>
      <c r="C1057" s="125"/>
      <c r="D1057" s="478"/>
      <c r="E1057" s="478"/>
      <c r="F1057" s="52"/>
      <c r="G1057" s="52"/>
      <c r="H1057" s="52"/>
      <c r="I1057" s="52"/>
      <c r="J1057" s="52"/>
      <c r="K1057" s="52"/>
      <c r="L1057" s="52"/>
      <c r="M1057" s="52"/>
      <c r="N1057" s="52"/>
      <c r="O1057" s="52"/>
      <c r="P1057" s="52"/>
      <c r="Q1057" s="52"/>
      <c r="R1057" s="52"/>
      <c r="S1057" s="52"/>
      <c r="T1057" s="52"/>
      <c r="U1057" s="52"/>
      <c r="V1057" s="52"/>
      <c r="W1057" s="52"/>
      <c r="X1057" s="52"/>
      <c r="Y1057" s="52"/>
      <c r="Z1057" s="52"/>
      <c r="AA1057" s="52"/>
      <c r="AB1057" s="52"/>
      <c r="AC1057" s="52"/>
      <c r="AD1057" s="52"/>
      <c r="AE1057" s="52"/>
      <c r="AF1057" s="52"/>
      <c r="AG1057" s="52"/>
      <c r="AH1057" s="52"/>
      <c r="AI1057" s="52"/>
      <c r="AJ1057" s="52"/>
      <c r="AK1057" s="52"/>
      <c r="AL1057" s="52"/>
      <c r="AM1057" s="52"/>
      <c r="AN1057" s="52"/>
      <c r="AO1057" s="52"/>
      <c r="AP1057" s="52"/>
      <c r="AQ1057" s="52"/>
    </row>
    <row r="1058" spans="1:43">
      <c r="A1058" s="150"/>
      <c r="B1058" s="477"/>
      <c r="C1058" s="125"/>
      <c r="D1058" s="478"/>
      <c r="E1058" s="478"/>
      <c r="F1058" s="52"/>
      <c r="G1058" s="52"/>
      <c r="H1058" s="52"/>
      <c r="I1058" s="52"/>
      <c r="J1058" s="52"/>
      <c r="K1058" s="52"/>
      <c r="L1058" s="52"/>
      <c r="M1058" s="52"/>
      <c r="N1058" s="52"/>
      <c r="O1058" s="52"/>
      <c r="P1058" s="52"/>
      <c r="Q1058" s="52"/>
      <c r="R1058" s="52"/>
      <c r="S1058" s="52"/>
      <c r="T1058" s="52"/>
      <c r="U1058" s="52"/>
      <c r="V1058" s="52"/>
      <c r="W1058" s="52"/>
      <c r="X1058" s="52"/>
      <c r="Y1058" s="52"/>
      <c r="Z1058" s="52"/>
      <c r="AA1058" s="52"/>
      <c r="AB1058" s="52"/>
      <c r="AC1058" s="52"/>
      <c r="AD1058" s="52"/>
      <c r="AE1058" s="52"/>
      <c r="AF1058" s="52"/>
      <c r="AG1058" s="52"/>
      <c r="AH1058" s="52"/>
      <c r="AI1058" s="52"/>
      <c r="AJ1058" s="52"/>
      <c r="AK1058" s="52"/>
      <c r="AL1058" s="52"/>
      <c r="AM1058" s="52"/>
      <c r="AN1058" s="52"/>
      <c r="AO1058" s="52"/>
      <c r="AP1058" s="52"/>
      <c r="AQ1058" s="52"/>
    </row>
    <row r="1059" spans="1:43">
      <c r="A1059" s="150"/>
      <c r="B1059" s="477"/>
      <c r="C1059" s="125"/>
      <c r="D1059" s="478"/>
      <c r="E1059" s="478"/>
      <c r="F1059" s="52"/>
      <c r="G1059" s="52"/>
      <c r="H1059" s="52"/>
      <c r="I1059" s="52"/>
      <c r="J1059" s="52"/>
      <c r="K1059" s="52"/>
      <c r="L1059" s="52"/>
      <c r="M1059" s="52"/>
      <c r="N1059" s="52"/>
      <c r="O1059" s="52"/>
      <c r="P1059" s="52"/>
      <c r="Q1059" s="52"/>
      <c r="R1059" s="52"/>
      <c r="S1059" s="52"/>
      <c r="T1059" s="52"/>
      <c r="U1059" s="52"/>
      <c r="V1059" s="52"/>
      <c r="W1059" s="52"/>
      <c r="X1059" s="52"/>
      <c r="Y1059" s="52"/>
      <c r="Z1059" s="52"/>
      <c r="AA1059" s="52"/>
      <c r="AB1059" s="52"/>
      <c r="AC1059" s="52"/>
      <c r="AD1059" s="52"/>
      <c r="AE1059" s="52"/>
      <c r="AF1059" s="52"/>
      <c r="AG1059" s="52"/>
      <c r="AH1059" s="52"/>
      <c r="AI1059" s="52"/>
      <c r="AJ1059" s="52"/>
      <c r="AK1059" s="52"/>
      <c r="AL1059" s="52"/>
      <c r="AM1059" s="52"/>
      <c r="AN1059" s="52"/>
      <c r="AO1059" s="52"/>
      <c r="AP1059" s="52"/>
      <c r="AQ1059" s="52"/>
    </row>
    <row r="1060" spans="1:43">
      <c r="A1060" s="150"/>
      <c r="B1060" s="477"/>
      <c r="C1060" s="125"/>
      <c r="D1060" s="478"/>
      <c r="E1060" s="478"/>
      <c r="F1060" s="52"/>
      <c r="G1060" s="52"/>
      <c r="H1060" s="52"/>
      <c r="I1060" s="52"/>
      <c r="J1060" s="52"/>
      <c r="K1060" s="52"/>
      <c r="L1060" s="52"/>
      <c r="M1060" s="52"/>
      <c r="N1060" s="52"/>
      <c r="O1060" s="52"/>
      <c r="P1060" s="52"/>
      <c r="Q1060" s="52"/>
      <c r="R1060" s="52"/>
      <c r="S1060" s="52"/>
      <c r="T1060" s="52"/>
      <c r="U1060" s="52"/>
      <c r="V1060" s="52"/>
      <c r="W1060" s="52"/>
      <c r="X1060" s="52"/>
      <c r="Y1060" s="52"/>
      <c r="Z1060" s="52"/>
      <c r="AA1060" s="52"/>
      <c r="AB1060" s="52"/>
      <c r="AC1060" s="52"/>
      <c r="AD1060" s="52"/>
      <c r="AE1060" s="52"/>
      <c r="AF1060" s="52"/>
      <c r="AG1060" s="52"/>
      <c r="AH1060" s="52"/>
      <c r="AI1060" s="52"/>
      <c r="AJ1060" s="52"/>
      <c r="AK1060" s="52"/>
      <c r="AL1060" s="52"/>
      <c r="AM1060" s="52"/>
      <c r="AN1060" s="52"/>
      <c r="AO1060" s="52"/>
      <c r="AP1060" s="52"/>
      <c r="AQ1060" s="52"/>
    </row>
    <row r="1061" spans="1:43">
      <c r="A1061" s="150"/>
      <c r="B1061" s="477"/>
      <c r="C1061" s="125"/>
      <c r="D1061" s="478"/>
      <c r="E1061" s="478"/>
      <c r="F1061" s="52"/>
      <c r="G1061" s="52"/>
      <c r="H1061" s="52"/>
      <c r="I1061" s="52"/>
      <c r="J1061" s="52"/>
      <c r="K1061" s="52"/>
      <c r="L1061" s="52"/>
      <c r="M1061" s="52"/>
      <c r="N1061" s="52"/>
      <c r="O1061" s="52"/>
      <c r="P1061" s="52"/>
      <c r="Q1061" s="52"/>
      <c r="R1061" s="52"/>
      <c r="S1061" s="52"/>
      <c r="T1061" s="52"/>
      <c r="U1061" s="52"/>
      <c r="V1061" s="52"/>
      <c r="W1061" s="52"/>
      <c r="X1061" s="52"/>
      <c r="Y1061" s="52"/>
      <c r="Z1061" s="52"/>
      <c r="AA1061" s="52"/>
      <c r="AB1061" s="52"/>
      <c r="AC1061" s="52"/>
      <c r="AD1061" s="52"/>
      <c r="AE1061" s="52"/>
      <c r="AF1061" s="52"/>
      <c r="AG1061" s="52"/>
      <c r="AH1061" s="52"/>
      <c r="AI1061" s="52"/>
      <c r="AJ1061" s="52"/>
      <c r="AK1061" s="52"/>
      <c r="AL1061" s="52"/>
      <c r="AM1061" s="52"/>
      <c r="AN1061" s="52"/>
      <c r="AO1061" s="52"/>
      <c r="AP1061" s="52"/>
      <c r="AQ1061" s="52"/>
    </row>
    <row r="1062" spans="1:43">
      <c r="A1062" s="150"/>
      <c r="B1062" s="477"/>
      <c r="C1062" s="125"/>
      <c r="D1062" s="478"/>
      <c r="E1062" s="478"/>
      <c r="F1062" s="52"/>
      <c r="G1062" s="52"/>
      <c r="H1062" s="52"/>
      <c r="I1062" s="52"/>
      <c r="J1062" s="52"/>
      <c r="K1062" s="52"/>
      <c r="L1062" s="52"/>
      <c r="M1062" s="52"/>
      <c r="N1062" s="52"/>
      <c r="O1062" s="52"/>
      <c r="P1062" s="52"/>
      <c r="Q1062" s="52"/>
      <c r="R1062" s="52"/>
      <c r="S1062" s="52"/>
      <c r="T1062" s="52"/>
      <c r="U1062" s="52"/>
      <c r="V1062" s="52"/>
      <c r="W1062" s="52"/>
      <c r="X1062" s="52"/>
      <c r="Y1062" s="52"/>
      <c r="Z1062" s="52"/>
      <c r="AA1062" s="52"/>
      <c r="AB1062" s="52"/>
      <c r="AC1062" s="52"/>
      <c r="AD1062" s="52"/>
      <c r="AE1062" s="52"/>
      <c r="AF1062" s="52"/>
      <c r="AG1062" s="52"/>
      <c r="AH1062" s="52"/>
      <c r="AI1062" s="52"/>
      <c r="AJ1062" s="52"/>
      <c r="AK1062" s="52"/>
      <c r="AL1062" s="52"/>
      <c r="AM1062" s="52"/>
      <c r="AN1062" s="52"/>
      <c r="AO1062" s="52"/>
      <c r="AP1062" s="52"/>
      <c r="AQ1062" s="52"/>
    </row>
    <row r="1063" spans="1:43">
      <c r="A1063" s="150"/>
      <c r="B1063" s="477"/>
      <c r="C1063" s="125"/>
      <c r="D1063" s="478"/>
      <c r="E1063" s="478"/>
      <c r="F1063" s="52"/>
      <c r="G1063" s="52"/>
      <c r="H1063" s="52"/>
      <c r="I1063" s="52"/>
      <c r="J1063" s="52"/>
      <c r="K1063" s="52"/>
      <c r="L1063" s="52"/>
      <c r="M1063" s="52"/>
      <c r="N1063" s="52"/>
      <c r="O1063" s="52"/>
      <c r="P1063" s="52"/>
      <c r="Q1063" s="52"/>
      <c r="R1063" s="52"/>
      <c r="S1063" s="52"/>
      <c r="T1063" s="52"/>
      <c r="U1063" s="52"/>
      <c r="V1063" s="52"/>
      <c r="W1063" s="52"/>
      <c r="X1063" s="52"/>
      <c r="Y1063" s="52"/>
      <c r="Z1063" s="52"/>
      <c r="AA1063" s="52"/>
      <c r="AB1063" s="52"/>
      <c r="AC1063" s="52"/>
      <c r="AD1063" s="52"/>
      <c r="AE1063" s="52"/>
      <c r="AF1063" s="52"/>
      <c r="AG1063" s="52"/>
      <c r="AH1063" s="52"/>
      <c r="AI1063" s="52"/>
      <c r="AJ1063" s="52"/>
      <c r="AK1063" s="52"/>
      <c r="AL1063" s="52"/>
      <c r="AM1063" s="52"/>
      <c r="AN1063" s="52"/>
      <c r="AO1063" s="52"/>
      <c r="AP1063" s="52"/>
      <c r="AQ1063" s="52"/>
    </row>
    <row r="1064" spans="1:43">
      <c r="A1064" s="150"/>
      <c r="B1064" s="477"/>
      <c r="C1064" s="125"/>
      <c r="D1064" s="478"/>
      <c r="E1064" s="478"/>
      <c r="F1064" s="52"/>
      <c r="G1064" s="52"/>
      <c r="H1064" s="52"/>
      <c r="I1064" s="52"/>
      <c r="J1064" s="52"/>
      <c r="K1064" s="52"/>
      <c r="L1064" s="52"/>
      <c r="M1064" s="52"/>
      <c r="N1064" s="52"/>
      <c r="O1064" s="52"/>
      <c r="P1064" s="52"/>
      <c r="Q1064" s="52"/>
      <c r="R1064" s="52"/>
      <c r="S1064" s="52"/>
      <c r="T1064" s="52"/>
      <c r="U1064" s="52"/>
      <c r="V1064" s="52"/>
      <c r="W1064" s="52"/>
      <c r="X1064" s="52"/>
      <c r="Y1064" s="52"/>
      <c r="Z1064" s="52"/>
      <c r="AA1064" s="52"/>
      <c r="AB1064" s="52"/>
      <c r="AC1064" s="52"/>
      <c r="AD1064" s="52"/>
      <c r="AE1064" s="52"/>
      <c r="AF1064" s="52"/>
      <c r="AG1064" s="52"/>
      <c r="AH1064" s="52"/>
      <c r="AI1064" s="52"/>
      <c r="AJ1064" s="52"/>
      <c r="AK1064" s="52"/>
      <c r="AL1064" s="52"/>
      <c r="AM1064" s="52"/>
      <c r="AN1064" s="52"/>
      <c r="AO1064" s="52"/>
      <c r="AP1064" s="52"/>
      <c r="AQ1064" s="52"/>
    </row>
    <row r="1065" spans="1:43">
      <c r="A1065" s="150"/>
      <c r="B1065" s="477"/>
      <c r="C1065" s="125"/>
      <c r="D1065" s="478"/>
      <c r="E1065" s="478"/>
      <c r="F1065" s="52"/>
      <c r="G1065" s="52"/>
      <c r="H1065" s="52"/>
      <c r="I1065" s="52"/>
      <c r="J1065" s="52"/>
      <c r="K1065" s="52"/>
      <c r="L1065" s="52"/>
      <c r="M1065" s="52"/>
      <c r="N1065" s="52"/>
      <c r="O1065" s="52"/>
      <c r="P1065" s="52"/>
      <c r="Q1065" s="52"/>
      <c r="R1065" s="52"/>
      <c r="S1065" s="52"/>
      <c r="T1065" s="52"/>
      <c r="U1065" s="52"/>
      <c r="V1065" s="52"/>
      <c r="W1065" s="52"/>
      <c r="X1065" s="52"/>
      <c r="Y1065" s="52"/>
      <c r="Z1065" s="52"/>
      <c r="AA1065" s="52"/>
      <c r="AB1065" s="52"/>
      <c r="AC1065" s="52"/>
      <c r="AD1065" s="52"/>
      <c r="AE1065" s="52"/>
      <c r="AF1065" s="52"/>
      <c r="AG1065" s="52"/>
      <c r="AH1065" s="52"/>
      <c r="AI1065" s="52"/>
      <c r="AJ1065" s="52"/>
      <c r="AK1065" s="52"/>
      <c r="AL1065" s="52"/>
      <c r="AM1065" s="52"/>
      <c r="AN1065" s="52"/>
      <c r="AO1065" s="52"/>
      <c r="AP1065" s="52"/>
      <c r="AQ1065" s="52"/>
    </row>
    <row r="1066" spans="1:43">
      <c r="A1066" s="150"/>
      <c r="B1066" s="477"/>
      <c r="C1066" s="125"/>
      <c r="D1066" s="478"/>
      <c r="E1066" s="478"/>
      <c r="F1066" s="52"/>
      <c r="G1066" s="52"/>
      <c r="H1066" s="52"/>
      <c r="I1066" s="52"/>
      <c r="J1066" s="52"/>
      <c r="K1066" s="52"/>
      <c r="L1066" s="52"/>
      <c r="M1066" s="52"/>
      <c r="N1066" s="52"/>
      <c r="O1066" s="52"/>
      <c r="P1066" s="52"/>
      <c r="Q1066" s="52"/>
      <c r="R1066" s="52"/>
      <c r="S1066" s="52"/>
      <c r="T1066" s="52"/>
      <c r="U1066" s="52"/>
      <c r="V1066" s="52"/>
      <c r="W1066" s="52"/>
      <c r="X1066" s="52"/>
      <c r="Y1066" s="52"/>
      <c r="Z1066" s="52"/>
      <c r="AA1066" s="52"/>
      <c r="AB1066" s="52"/>
      <c r="AC1066" s="52"/>
      <c r="AD1066" s="52"/>
      <c r="AE1066" s="52"/>
      <c r="AF1066" s="52"/>
      <c r="AG1066" s="52"/>
      <c r="AH1066" s="52"/>
      <c r="AI1066" s="52"/>
      <c r="AJ1066" s="52"/>
      <c r="AK1066" s="52"/>
      <c r="AL1066" s="52"/>
      <c r="AM1066" s="52"/>
      <c r="AN1066" s="52"/>
      <c r="AO1066" s="52"/>
      <c r="AP1066" s="52"/>
      <c r="AQ1066" s="52"/>
    </row>
    <row r="1067" spans="1:43">
      <c r="A1067" s="150"/>
      <c r="B1067" s="477"/>
      <c r="C1067" s="125"/>
      <c r="D1067" s="478"/>
      <c r="E1067" s="478"/>
      <c r="F1067" s="52"/>
      <c r="G1067" s="52"/>
      <c r="H1067" s="52"/>
      <c r="I1067" s="52"/>
      <c r="J1067" s="52"/>
      <c r="K1067" s="52"/>
      <c r="L1067" s="52"/>
      <c r="M1067" s="52"/>
      <c r="N1067" s="52"/>
      <c r="O1067" s="52"/>
      <c r="P1067" s="52"/>
      <c r="Q1067" s="52"/>
      <c r="R1067" s="52"/>
      <c r="S1067" s="52"/>
      <c r="T1067" s="52"/>
      <c r="U1067" s="52"/>
      <c r="V1067" s="52"/>
      <c r="W1067" s="52"/>
      <c r="X1067" s="52"/>
      <c r="Y1067" s="52"/>
      <c r="Z1067" s="52"/>
      <c r="AA1067" s="52"/>
      <c r="AB1067" s="52"/>
      <c r="AC1067" s="52"/>
      <c r="AD1067" s="52"/>
      <c r="AE1067" s="52"/>
      <c r="AF1067" s="52"/>
      <c r="AG1067" s="52"/>
      <c r="AH1067" s="52"/>
      <c r="AI1067" s="52"/>
      <c r="AJ1067" s="52"/>
      <c r="AK1067" s="52"/>
      <c r="AL1067" s="52"/>
      <c r="AM1067" s="52"/>
      <c r="AN1067" s="52"/>
      <c r="AO1067" s="52"/>
      <c r="AP1067" s="52"/>
      <c r="AQ1067" s="52"/>
    </row>
    <row r="1068" spans="1:43">
      <c r="A1068" s="150"/>
      <c r="B1068" s="477"/>
      <c r="C1068" s="125"/>
      <c r="D1068" s="478"/>
      <c r="E1068" s="478"/>
      <c r="F1068" s="52"/>
      <c r="G1068" s="52"/>
      <c r="H1068" s="52"/>
      <c r="I1068" s="52"/>
      <c r="J1068" s="52"/>
      <c r="K1068" s="52"/>
      <c r="L1068" s="52"/>
      <c r="M1068" s="52"/>
      <c r="N1068" s="52"/>
      <c r="O1068" s="52"/>
      <c r="P1068" s="52"/>
      <c r="Q1068" s="52"/>
      <c r="R1068" s="52"/>
      <c r="S1068" s="52"/>
      <c r="T1068" s="52"/>
      <c r="U1068" s="52"/>
      <c r="V1068" s="52"/>
      <c r="W1068" s="52"/>
      <c r="X1068" s="52"/>
      <c r="Y1068" s="52"/>
      <c r="Z1068" s="52"/>
      <c r="AA1068" s="52"/>
      <c r="AB1068" s="52"/>
      <c r="AC1068" s="52"/>
      <c r="AD1068" s="52"/>
      <c r="AE1068" s="52"/>
      <c r="AF1068" s="52"/>
      <c r="AG1068" s="52"/>
      <c r="AH1068" s="52"/>
      <c r="AI1068" s="52"/>
      <c r="AJ1068" s="52"/>
      <c r="AK1068" s="52"/>
      <c r="AL1068" s="52"/>
      <c r="AM1068" s="52"/>
      <c r="AN1068" s="52"/>
      <c r="AO1068" s="52"/>
      <c r="AP1068" s="52"/>
      <c r="AQ1068" s="52"/>
    </row>
    <row r="1069" spans="1:43">
      <c r="A1069" s="150"/>
      <c r="B1069" s="477"/>
      <c r="C1069" s="125"/>
      <c r="D1069" s="478"/>
      <c r="E1069" s="478"/>
      <c r="F1069" s="52"/>
      <c r="G1069" s="52"/>
      <c r="H1069" s="52"/>
      <c r="I1069" s="52"/>
      <c r="J1069" s="52"/>
      <c r="K1069" s="52"/>
      <c r="L1069" s="52"/>
      <c r="M1069" s="52"/>
      <c r="N1069" s="52"/>
      <c r="O1069" s="52"/>
      <c r="P1069" s="52"/>
      <c r="Q1069" s="52"/>
      <c r="R1069" s="52"/>
      <c r="S1069" s="52"/>
      <c r="T1069" s="52"/>
      <c r="U1069" s="52"/>
      <c r="V1069" s="52"/>
      <c r="W1069" s="52"/>
      <c r="X1069" s="52"/>
      <c r="Y1069" s="52"/>
      <c r="Z1069" s="52"/>
      <c r="AA1069" s="52"/>
      <c r="AB1069" s="52"/>
      <c r="AC1069" s="52"/>
      <c r="AD1069" s="52"/>
      <c r="AE1069" s="52"/>
      <c r="AF1069" s="52"/>
      <c r="AG1069" s="52"/>
      <c r="AH1069" s="52"/>
      <c r="AI1069" s="52"/>
      <c r="AJ1069" s="52"/>
      <c r="AK1069" s="52"/>
      <c r="AL1069" s="52"/>
      <c r="AM1069" s="52"/>
      <c r="AN1069" s="52"/>
      <c r="AO1069" s="52"/>
      <c r="AP1069" s="52"/>
      <c r="AQ1069" s="52"/>
    </row>
    <row r="1070" spans="1:43">
      <c r="A1070" s="150"/>
      <c r="B1070" s="477"/>
      <c r="C1070" s="125"/>
      <c r="D1070" s="478"/>
      <c r="E1070" s="478"/>
      <c r="F1070" s="52"/>
      <c r="G1070" s="52"/>
      <c r="H1070" s="52"/>
      <c r="I1070" s="52"/>
      <c r="J1070" s="52"/>
      <c r="K1070" s="52"/>
      <c r="L1070" s="52"/>
      <c r="M1070" s="52"/>
      <c r="N1070" s="52"/>
      <c r="O1070" s="52"/>
      <c r="P1070" s="52"/>
      <c r="Q1070" s="52"/>
      <c r="R1070" s="52"/>
      <c r="S1070" s="52"/>
      <c r="T1070" s="52"/>
      <c r="U1070" s="52"/>
      <c r="V1070" s="52"/>
      <c r="W1070" s="52"/>
      <c r="X1070" s="52"/>
      <c r="Y1070" s="52"/>
      <c r="Z1070" s="52"/>
      <c r="AA1070" s="52"/>
      <c r="AB1070" s="52"/>
      <c r="AC1070" s="52"/>
      <c r="AD1070" s="52"/>
      <c r="AE1070" s="52"/>
      <c r="AF1070" s="52"/>
      <c r="AG1070" s="52"/>
      <c r="AH1070" s="52"/>
      <c r="AI1070" s="52"/>
      <c r="AJ1070" s="52"/>
      <c r="AK1070" s="52"/>
      <c r="AL1070" s="52"/>
      <c r="AM1070" s="52"/>
      <c r="AN1070" s="52"/>
      <c r="AO1070" s="52"/>
      <c r="AP1070" s="52"/>
      <c r="AQ1070" s="52"/>
    </row>
    <row r="1071" spans="1:43">
      <c r="A1071" s="150"/>
      <c r="B1071" s="477"/>
      <c r="C1071" s="125"/>
      <c r="D1071" s="478"/>
      <c r="E1071" s="478"/>
      <c r="F1071" s="52"/>
      <c r="G1071" s="52"/>
      <c r="H1071" s="52"/>
      <c r="I1071" s="52"/>
      <c r="J1071" s="52"/>
      <c r="K1071" s="52"/>
      <c r="L1071" s="52"/>
      <c r="M1071" s="52"/>
      <c r="N1071" s="52"/>
      <c r="O1071" s="52"/>
      <c r="P1071" s="52"/>
      <c r="Q1071" s="52"/>
      <c r="R1071" s="52"/>
      <c r="S1071" s="52"/>
      <c r="T1071" s="52"/>
      <c r="U1071" s="52"/>
      <c r="V1071" s="52"/>
      <c r="W1071" s="52"/>
      <c r="X1071" s="52"/>
      <c r="Y1071" s="52"/>
      <c r="Z1071" s="52"/>
      <c r="AA1071" s="52"/>
      <c r="AB1071" s="52"/>
      <c r="AC1071" s="52"/>
      <c r="AD1071" s="52"/>
      <c r="AE1071" s="52"/>
      <c r="AF1071" s="52"/>
      <c r="AG1071" s="52"/>
      <c r="AH1071" s="52"/>
      <c r="AI1071" s="52"/>
      <c r="AJ1071" s="52"/>
      <c r="AK1071" s="52"/>
      <c r="AL1071" s="52"/>
      <c r="AM1071" s="52"/>
      <c r="AN1071" s="52"/>
      <c r="AO1071" s="52"/>
      <c r="AP1071" s="52"/>
      <c r="AQ1071" s="52"/>
    </row>
    <row r="1072" spans="1:43">
      <c r="A1072" s="150"/>
      <c r="B1072" s="477"/>
      <c r="C1072" s="125"/>
      <c r="D1072" s="478"/>
      <c r="E1072" s="478"/>
      <c r="F1072" s="52"/>
      <c r="G1072" s="52"/>
      <c r="H1072" s="52"/>
      <c r="I1072" s="52"/>
      <c r="J1072" s="52"/>
      <c r="K1072" s="52"/>
      <c r="L1072" s="52"/>
      <c r="M1072" s="52"/>
      <c r="N1072" s="52"/>
      <c r="O1072" s="52"/>
      <c r="P1072" s="52"/>
      <c r="Q1072" s="52"/>
      <c r="R1072" s="52"/>
      <c r="S1072" s="52"/>
      <c r="T1072" s="52"/>
      <c r="U1072" s="52"/>
      <c r="V1072" s="52"/>
      <c r="W1072" s="52"/>
      <c r="X1072" s="52"/>
      <c r="Y1072" s="52"/>
      <c r="Z1072" s="52"/>
      <c r="AA1072" s="52"/>
      <c r="AB1072" s="52"/>
      <c r="AC1072" s="52"/>
      <c r="AD1072" s="52"/>
      <c r="AE1072" s="52"/>
      <c r="AF1072" s="52"/>
      <c r="AG1072" s="52"/>
      <c r="AH1072" s="52"/>
      <c r="AI1072" s="52"/>
      <c r="AJ1072" s="52"/>
      <c r="AK1072" s="52"/>
      <c r="AL1072" s="52"/>
      <c r="AM1072" s="52"/>
      <c r="AN1072" s="52"/>
      <c r="AO1072" s="52"/>
      <c r="AP1072" s="52"/>
      <c r="AQ1072" s="52"/>
    </row>
    <row r="1073" spans="1:43">
      <c r="A1073" s="150"/>
      <c r="B1073" s="477"/>
      <c r="C1073" s="125"/>
      <c r="D1073" s="478"/>
      <c r="E1073" s="478"/>
      <c r="F1073" s="52"/>
      <c r="G1073" s="52"/>
      <c r="H1073" s="52"/>
      <c r="I1073" s="52"/>
      <c r="J1073" s="52"/>
      <c r="K1073" s="52"/>
      <c r="L1073" s="52"/>
      <c r="M1073" s="52"/>
      <c r="N1073" s="52"/>
      <c r="O1073" s="52"/>
      <c r="P1073" s="52"/>
      <c r="Q1073" s="52"/>
      <c r="R1073" s="52"/>
      <c r="S1073" s="52"/>
      <c r="T1073" s="52"/>
      <c r="U1073" s="52"/>
      <c r="V1073" s="52"/>
      <c r="W1073" s="52"/>
      <c r="X1073" s="52"/>
      <c r="Y1073" s="52"/>
      <c r="Z1073" s="52"/>
      <c r="AA1073" s="52"/>
      <c r="AB1073" s="52"/>
      <c r="AC1073" s="52"/>
      <c r="AD1073" s="52"/>
      <c r="AE1073" s="52"/>
      <c r="AF1073" s="52"/>
      <c r="AG1073" s="52"/>
      <c r="AH1073" s="52"/>
      <c r="AI1073" s="52"/>
      <c r="AJ1073" s="52"/>
      <c r="AK1073" s="52"/>
      <c r="AL1073" s="52"/>
      <c r="AM1073" s="52"/>
      <c r="AN1073" s="52"/>
      <c r="AO1073" s="52"/>
      <c r="AP1073" s="52"/>
      <c r="AQ1073" s="52"/>
    </row>
    <row r="1074" spans="1:43">
      <c r="A1074" s="150"/>
      <c r="B1074" s="477"/>
      <c r="C1074" s="125"/>
      <c r="D1074" s="478"/>
      <c r="E1074" s="478"/>
      <c r="F1074" s="52"/>
      <c r="G1074" s="52"/>
      <c r="H1074" s="52"/>
      <c r="I1074" s="52"/>
      <c r="J1074" s="52"/>
      <c r="K1074" s="52"/>
      <c r="L1074" s="52"/>
      <c r="M1074" s="52"/>
      <c r="N1074" s="52"/>
      <c r="O1074" s="52"/>
      <c r="P1074" s="52"/>
      <c r="Q1074" s="52"/>
      <c r="R1074" s="52"/>
      <c r="S1074" s="52"/>
      <c r="T1074" s="52"/>
      <c r="U1074" s="52"/>
      <c r="V1074" s="52"/>
      <c r="W1074" s="52"/>
      <c r="X1074" s="52"/>
      <c r="Y1074" s="52"/>
      <c r="Z1074" s="52"/>
      <c r="AA1074" s="52"/>
      <c r="AB1074" s="52"/>
      <c r="AC1074" s="52"/>
      <c r="AD1074" s="52"/>
      <c r="AE1074" s="52"/>
      <c r="AF1074" s="52"/>
      <c r="AG1074" s="52"/>
      <c r="AH1074" s="52"/>
      <c r="AI1074" s="52"/>
      <c r="AJ1074" s="52"/>
      <c r="AK1074" s="52"/>
      <c r="AL1074" s="52"/>
      <c r="AM1074" s="52"/>
      <c r="AN1074" s="52"/>
      <c r="AO1074" s="52"/>
      <c r="AP1074" s="52"/>
      <c r="AQ1074" s="52"/>
    </row>
    <row r="1075" spans="1:43">
      <c r="A1075" s="150"/>
      <c r="B1075" s="477"/>
      <c r="C1075" s="125"/>
      <c r="D1075" s="478"/>
      <c r="E1075" s="478"/>
      <c r="F1075" s="52"/>
      <c r="G1075" s="52"/>
      <c r="H1075" s="52"/>
      <c r="I1075" s="52"/>
      <c r="J1075" s="52"/>
      <c r="K1075" s="52"/>
      <c r="L1075" s="52"/>
      <c r="M1075" s="52"/>
      <c r="N1075" s="52"/>
      <c r="O1075" s="52"/>
      <c r="P1075" s="52"/>
      <c r="Q1075" s="52"/>
      <c r="R1075" s="52"/>
      <c r="S1075" s="52"/>
      <c r="T1075" s="52"/>
      <c r="U1075" s="52"/>
      <c r="V1075" s="52"/>
      <c r="W1075" s="52"/>
      <c r="X1075" s="52"/>
      <c r="Y1075" s="52"/>
      <c r="Z1075" s="52"/>
      <c r="AA1075" s="52"/>
      <c r="AB1075" s="52"/>
      <c r="AC1075" s="52"/>
      <c r="AD1075" s="52"/>
      <c r="AE1075" s="52"/>
      <c r="AF1075" s="52"/>
      <c r="AG1075" s="52"/>
      <c r="AH1075" s="52"/>
      <c r="AI1075" s="52"/>
      <c r="AJ1075" s="52"/>
      <c r="AK1075" s="52"/>
      <c r="AL1075" s="52"/>
      <c r="AM1075" s="52"/>
      <c r="AN1075" s="52"/>
      <c r="AO1075" s="52"/>
      <c r="AP1075" s="52"/>
      <c r="AQ1075" s="52"/>
    </row>
    <row r="1076" spans="1:43">
      <c r="A1076" s="150"/>
      <c r="B1076" s="477"/>
      <c r="C1076" s="125"/>
      <c r="D1076" s="478"/>
      <c r="E1076" s="478"/>
      <c r="F1076" s="52"/>
      <c r="G1076" s="52"/>
      <c r="H1076" s="52"/>
      <c r="I1076" s="52"/>
      <c r="J1076" s="52"/>
      <c r="K1076" s="52"/>
      <c r="L1076" s="52"/>
      <c r="M1076" s="52"/>
      <c r="N1076" s="52"/>
      <c r="O1076" s="52"/>
      <c r="P1076" s="52"/>
      <c r="Q1076" s="52"/>
      <c r="R1076" s="52"/>
      <c r="S1076" s="52"/>
      <c r="T1076" s="52"/>
      <c r="U1076" s="52"/>
      <c r="V1076" s="52"/>
      <c r="W1076" s="52"/>
      <c r="X1076" s="52"/>
      <c r="Y1076" s="52"/>
      <c r="Z1076" s="52"/>
      <c r="AA1076" s="52"/>
      <c r="AB1076" s="52"/>
      <c r="AC1076" s="52"/>
      <c r="AD1076" s="52"/>
      <c r="AE1076" s="52"/>
      <c r="AF1076" s="52"/>
      <c r="AG1076" s="52"/>
      <c r="AH1076" s="52"/>
      <c r="AI1076" s="52"/>
      <c r="AJ1076" s="52"/>
      <c r="AK1076" s="52"/>
      <c r="AL1076" s="52"/>
      <c r="AM1076" s="52"/>
      <c r="AN1076" s="52"/>
      <c r="AO1076" s="52"/>
      <c r="AP1076" s="52"/>
      <c r="AQ1076" s="52"/>
    </row>
    <row r="1077" spans="1:43">
      <c r="A1077" s="150"/>
      <c r="B1077" s="477"/>
      <c r="C1077" s="125"/>
      <c r="D1077" s="478"/>
      <c r="E1077" s="478"/>
      <c r="F1077" s="52"/>
      <c r="G1077" s="52"/>
      <c r="H1077" s="52"/>
      <c r="I1077" s="52"/>
      <c r="J1077" s="52"/>
      <c r="K1077" s="52"/>
      <c r="L1077" s="52"/>
      <c r="M1077" s="52"/>
      <c r="N1077" s="52"/>
      <c r="O1077" s="52"/>
      <c r="P1077" s="52"/>
      <c r="Q1077" s="52"/>
      <c r="R1077" s="52"/>
      <c r="S1077" s="52"/>
      <c r="T1077" s="52"/>
      <c r="U1077" s="52"/>
      <c r="V1077" s="52"/>
      <c r="W1077" s="52"/>
      <c r="X1077" s="52"/>
      <c r="Y1077" s="52"/>
      <c r="Z1077" s="52"/>
      <c r="AA1077" s="52"/>
      <c r="AB1077" s="52"/>
      <c r="AC1077" s="52"/>
      <c r="AD1077" s="52"/>
      <c r="AE1077" s="52"/>
      <c r="AF1077" s="52"/>
      <c r="AG1077" s="52"/>
      <c r="AH1077" s="52"/>
      <c r="AI1077" s="52"/>
      <c r="AJ1077" s="52"/>
      <c r="AK1077" s="52"/>
      <c r="AL1077" s="52"/>
      <c r="AM1077" s="52"/>
      <c r="AN1077" s="52"/>
      <c r="AO1077" s="52"/>
      <c r="AP1077" s="52"/>
      <c r="AQ1077" s="52"/>
    </row>
    <row r="1078" spans="1:43">
      <c r="A1078" s="150"/>
      <c r="B1078" s="477"/>
      <c r="C1078" s="125"/>
      <c r="D1078" s="478"/>
      <c r="E1078" s="478"/>
      <c r="F1078" s="52"/>
      <c r="G1078" s="52"/>
      <c r="H1078" s="52"/>
      <c r="I1078" s="52"/>
      <c r="J1078" s="52"/>
      <c r="K1078" s="52"/>
      <c r="L1078" s="52"/>
      <c r="M1078" s="52"/>
      <c r="N1078" s="52"/>
      <c r="O1078" s="52"/>
      <c r="P1078" s="52"/>
      <c r="Q1078" s="52"/>
      <c r="R1078" s="52"/>
      <c r="S1078" s="52"/>
      <c r="T1078" s="52"/>
      <c r="U1078" s="52"/>
      <c r="V1078" s="52"/>
      <c r="W1078" s="52"/>
      <c r="X1078" s="52"/>
      <c r="Y1078" s="52"/>
      <c r="Z1078" s="52"/>
      <c r="AA1078" s="52"/>
      <c r="AB1078" s="52"/>
      <c r="AC1078" s="52"/>
      <c r="AD1078" s="52"/>
      <c r="AE1078" s="52"/>
      <c r="AF1078" s="52"/>
      <c r="AG1078" s="52"/>
      <c r="AH1078" s="52"/>
      <c r="AI1078" s="52"/>
      <c r="AJ1078" s="52"/>
      <c r="AK1078" s="52"/>
      <c r="AL1078" s="52"/>
      <c r="AM1078" s="52"/>
      <c r="AN1078" s="52"/>
      <c r="AO1078" s="52"/>
      <c r="AP1078" s="52"/>
      <c r="AQ1078" s="52"/>
    </row>
    <row r="1079" spans="1:43">
      <c r="A1079" s="150"/>
      <c r="B1079" s="477"/>
      <c r="C1079" s="125"/>
      <c r="D1079" s="478"/>
      <c r="E1079" s="478"/>
      <c r="F1079" s="52"/>
      <c r="G1079" s="52"/>
      <c r="H1079" s="52"/>
      <c r="I1079" s="52"/>
      <c r="J1079" s="52"/>
      <c r="K1079" s="52"/>
      <c r="L1079" s="52"/>
      <c r="M1079" s="52"/>
      <c r="N1079" s="52"/>
      <c r="O1079" s="52"/>
      <c r="P1079" s="52"/>
      <c r="Q1079" s="52"/>
      <c r="R1079" s="52"/>
      <c r="S1079" s="52"/>
      <c r="T1079" s="52"/>
      <c r="U1079" s="52"/>
      <c r="V1079" s="52"/>
      <c r="W1079" s="52"/>
      <c r="X1079" s="52"/>
      <c r="Y1079" s="52"/>
      <c r="Z1079" s="52"/>
      <c r="AA1079" s="52"/>
      <c r="AB1079" s="52"/>
      <c r="AC1079" s="52"/>
      <c r="AD1079" s="52"/>
      <c r="AE1079" s="52"/>
      <c r="AF1079" s="52"/>
      <c r="AG1079" s="52"/>
      <c r="AH1079" s="52"/>
      <c r="AI1079" s="52"/>
      <c r="AJ1079" s="52"/>
      <c r="AK1079" s="52"/>
      <c r="AL1079" s="52"/>
      <c r="AM1079" s="52"/>
      <c r="AN1079" s="52"/>
      <c r="AO1079" s="52"/>
      <c r="AP1079" s="52"/>
      <c r="AQ1079" s="52"/>
    </row>
    <row r="1080" spans="1:43">
      <c r="A1080" s="150"/>
      <c r="B1080" s="477"/>
      <c r="C1080" s="125"/>
      <c r="D1080" s="478"/>
      <c r="E1080" s="478"/>
      <c r="F1080" s="52"/>
      <c r="G1080" s="52"/>
      <c r="H1080" s="52"/>
      <c r="I1080" s="52"/>
      <c r="J1080" s="52"/>
      <c r="K1080" s="52"/>
      <c r="L1080" s="52"/>
      <c r="M1080" s="52"/>
      <c r="N1080" s="52"/>
      <c r="O1080" s="52"/>
      <c r="P1080" s="52"/>
      <c r="Q1080" s="52"/>
      <c r="R1080" s="52"/>
      <c r="S1080" s="52"/>
      <c r="T1080" s="52"/>
      <c r="U1080" s="52"/>
      <c r="V1080" s="52"/>
      <c r="W1080" s="52"/>
      <c r="X1080" s="52"/>
      <c r="Y1080" s="52"/>
      <c r="Z1080" s="52"/>
      <c r="AA1080" s="52"/>
      <c r="AB1080" s="52"/>
      <c r="AC1080" s="52"/>
      <c r="AD1080" s="52"/>
      <c r="AE1080" s="52"/>
      <c r="AF1080" s="52"/>
      <c r="AG1080" s="52"/>
      <c r="AH1080" s="52"/>
      <c r="AI1080" s="52"/>
      <c r="AJ1080" s="52"/>
      <c r="AK1080" s="52"/>
      <c r="AL1080" s="52"/>
      <c r="AM1080" s="52"/>
      <c r="AN1080" s="52"/>
      <c r="AO1080" s="52"/>
      <c r="AP1080" s="52"/>
      <c r="AQ1080" s="52"/>
    </row>
    <row r="1081" spans="1:43">
      <c r="A1081" s="150"/>
      <c r="B1081" s="477"/>
      <c r="C1081" s="125"/>
      <c r="D1081" s="478"/>
      <c r="E1081" s="478"/>
      <c r="F1081" s="52"/>
      <c r="G1081" s="52"/>
      <c r="H1081" s="52"/>
      <c r="I1081" s="52"/>
      <c r="J1081" s="52"/>
      <c r="K1081" s="52"/>
      <c r="L1081" s="52"/>
      <c r="M1081" s="52"/>
      <c r="N1081" s="52"/>
      <c r="O1081" s="52"/>
      <c r="P1081" s="52"/>
      <c r="Q1081" s="52"/>
      <c r="R1081" s="52"/>
      <c r="S1081" s="52"/>
      <c r="T1081" s="52"/>
      <c r="U1081" s="52"/>
      <c r="V1081" s="52"/>
      <c r="W1081" s="52"/>
      <c r="X1081" s="52"/>
      <c r="Y1081" s="52"/>
      <c r="Z1081" s="52"/>
      <c r="AA1081" s="52"/>
      <c r="AB1081" s="52"/>
      <c r="AC1081" s="52"/>
      <c r="AD1081" s="52"/>
      <c r="AE1081" s="52"/>
      <c r="AF1081" s="52"/>
      <c r="AG1081" s="52"/>
      <c r="AH1081" s="52"/>
      <c r="AI1081" s="52"/>
      <c r="AJ1081" s="52"/>
      <c r="AK1081" s="52"/>
      <c r="AL1081" s="52"/>
      <c r="AM1081" s="52"/>
      <c r="AN1081" s="52"/>
      <c r="AO1081" s="52"/>
      <c r="AP1081" s="52"/>
      <c r="AQ1081" s="52"/>
    </row>
    <row r="1082" spans="1:43">
      <c r="A1082" s="150"/>
      <c r="B1082" s="477"/>
      <c r="C1082" s="125"/>
      <c r="D1082" s="478"/>
      <c r="E1082" s="478"/>
      <c r="F1082" s="52"/>
      <c r="G1082" s="52"/>
      <c r="H1082" s="52"/>
      <c r="I1082" s="52"/>
      <c r="J1082" s="52"/>
      <c r="K1082" s="52"/>
      <c r="L1082" s="52"/>
      <c r="M1082" s="52"/>
      <c r="N1082" s="52"/>
      <c r="O1082" s="52"/>
      <c r="P1082" s="52"/>
      <c r="Q1082" s="52"/>
      <c r="R1082" s="52"/>
      <c r="S1082" s="52"/>
      <c r="T1082" s="52"/>
      <c r="U1082" s="52"/>
      <c r="V1082" s="52"/>
      <c r="W1082" s="52"/>
      <c r="X1082" s="52"/>
      <c r="Y1082" s="52"/>
      <c r="Z1082" s="52"/>
      <c r="AA1082" s="52"/>
      <c r="AB1082" s="52"/>
      <c r="AC1082" s="52"/>
      <c r="AD1082" s="52"/>
      <c r="AE1082" s="52"/>
      <c r="AF1082" s="52"/>
      <c r="AG1082" s="52"/>
      <c r="AH1082" s="52"/>
      <c r="AI1082" s="52"/>
      <c r="AJ1082" s="52"/>
      <c r="AK1082" s="52"/>
      <c r="AL1082" s="52"/>
      <c r="AM1082" s="52"/>
      <c r="AN1082" s="52"/>
      <c r="AO1082" s="52"/>
      <c r="AP1082" s="52"/>
      <c r="AQ1082" s="52"/>
    </row>
    <row r="1083" spans="1:43">
      <c r="A1083" s="150"/>
      <c r="B1083" s="477"/>
      <c r="C1083" s="125"/>
      <c r="D1083" s="478"/>
      <c r="E1083" s="478"/>
      <c r="F1083" s="52"/>
      <c r="G1083" s="52"/>
      <c r="H1083" s="52"/>
      <c r="I1083" s="52"/>
      <c r="J1083" s="52"/>
      <c r="K1083" s="52"/>
      <c r="L1083" s="52"/>
      <c r="M1083" s="52"/>
      <c r="N1083" s="52"/>
      <c r="O1083" s="52"/>
      <c r="P1083" s="52"/>
      <c r="Q1083" s="52"/>
      <c r="R1083" s="52"/>
      <c r="S1083" s="52"/>
      <c r="T1083" s="52"/>
      <c r="U1083" s="52"/>
      <c r="V1083" s="52"/>
      <c r="W1083" s="52"/>
      <c r="X1083" s="52"/>
      <c r="Y1083" s="52"/>
      <c r="Z1083" s="52"/>
      <c r="AA1083" s="52"/>
      <c r="AB1083" s="52"/>
      <c r="AC1083" s="52"/>
      <c r="AD1083" s="52"/>
      <c r="AE1083" s="52"/>
      <c r="AF1083" s="52"/>
      <c r="AG1083" s="52"/>
      <c r="AH1083" s="52"/>
      <c r="AI1083" s="52"/>
      <c r="AJ1083" s="52"/>
      <c r="AK1083" s="52"/>
      <c r="AL1083" s="52"/>
      <c r="AM1083" s="52"/>
      <c r="AN1083" s="52"/>
      <c r="AO1083" s="52"/>
      <c r="AP1083" s="52"/>
      <c r="AQ1083" s="52"/>
    </row>
    <row r="1084" spans="1:43">
      <c r="A1084" s="150"/>
      <c r="B1084" s="477"/>
      <c r="C1084" s="125"/>
      <c r="D1084" s="478"/>
      <c r="E1084" s="478"/>
      <c r="F1084" s="52"/>
      <c r="G1084" s="52"/>
      <c r="H1084" s="52"/>
      <c r="I1084" s="52"/>
      <c r="J1084" s="52"/>
      <c r="K1084" s="52"/>
      <c r="L1084" s="52"/>
      <c r="M1084" s="52"/>
      <c r="N1084" s="52"/>
      <c r="O1084" s="52"/>
      <c r="P1084" s="52"/>
      <c r="Q1084" s="52"/>
      <c r="R1084" s="52"/>
      <c r="S1084" s="52"/>
      <c r="T1084" s="52"/>
      <c r="U1084" s="52"/>
      <c r="V1084" s="52"/>
      <c r="W1084" s="52"/>
      <c r="X1084" s="52"/>
      <c r="Y1084" s="52"/>
      <c r="Z1084" s="52"/>
      <c r="AA1084" s="52"/>
      <c r="AB1084" s="52"/>
      <c r="AC1084" s="52"/>
      <c r="AD1084" s="52"/>
      <c r="AE1084" s="52"/>
      <c r="AF1084" s="52"/>
      <c r="AG1084" s="52"/>
      <c r="AH1084" s="52"/>
      <c r="AI1084" s="52"/>
      <c r="AJ1084" s="52"/>
      <c r="AK1084" s="52"/>
      <c r="AL1084" s="52"/>
      <c r="AM1084" s="52"/>
      <c r="AN1084" s="52"/>
      <c r="AO1084" s="52"/>
      <c r="AP1084" s="52"/>
      <c r="AQ1084" s="52"/>
    </row>
    <row r="1085" spans="1:43">
      <c r="A1085" s="150"/>
      <c r="B1085" s="477"/>
      <c r="C1085" s="125"/>
      <c r="D1085" s="478"/>
      <c r="E1085" s="478"/>
      <c r="F1085" s="52"/>
      <c r="G1085" s="52"/>
      <c r="H1085" s="52"/>
      <c r="I1085" s="52"/>
      <c r="J1085" s="52"/>
      <c r="K1085" s="52"/>
      <c r="L1085" s="52"/>
      <c r="M1085" s="52"/>
      <c r="N1085" s="52"/>
      <c r="O1085" s="52"/>
      <c r="P1085" s="52"/>
      <c r="Q1085" s="52"/>
      <c r="R1085" s="52"/>
      <c r="S1085" s="52"/>
      <c r="T1085" s="52"/>
      <c r="U1085" s="52"/>
      <c r="V1085" s="52"/>
      <c r="W1085" s="52"/>
      <c r="X1085" s="52"/>
      <c r="Y1085" s="52"/>
      <c r="Z1085" s="52"/>
      <c r="AA1085" s="52"/>
      <c r="AB1085" s="52"/>
      <c r="AC1085" s="52"/>
      <c r="AD1085" s="52"/>
      <c r="AE1085" s="52"/>
      <c r="AF1085" s="52"/>
      <c r="AG1085" s="52"/>
      <c r="AH1085" s="52"/>
      <c r="AI1085" s="52"/>
      <c r="AJ1085" s="52"/>
      <c r="AK1085" s="52"/>
      <c r="AL1085" s="52"/>
      <c r="AM1085" s="52"/>
      <c r="AN1085" s="52"/>
      <c r="AO1085" s="52"/>
      <c r="AP1085" s="52"/>
      <c r="AQ1085" s="52"/>
    </row>
    <row r="1086" spans="1:43">
      <c r="A1086" s="150"/>
      <c r="B1086" s="477"/>
      <c r="C1086" s="125"/>
      <c r="D1086" s="478"/>
      <c r="E1086" s="478"/>
      <c r="F1086" s="52"/>
      <c r="G1086" s="52"/>
      <c r="H1086" s="52"/>
      <c r="I1086" s="52"/>
      <c r="J1086" s="52"/>
      <c r="K1086" s="52"/>
      <c r="L1086" s="52"/>
      <c r="M1086" s="52"/>
      <c r="N1086" s="52"/>
      <c r="O1086" s="52"/>
      <c r="P1086" s="52"/>
      <c r="Q1086" s="52"/>
      <c r="R1086" s="52"/>
      <c r="S1086" s="52"/>
      <c r="T1086" s="52"/>
      <c r="U1086" s="52"/>
      <c r="V1086" s="52"/>
      <c r="W1086" s="52"/>
      <c r="X1086" s="52"/>
      <c r="Y1086" s="52"/>
      <c r="Z1086" s="52"/>
      <c r="AA1086" s="52"/>
      <c r="AB1086" s="52"/>
      <c r="AC1086" s="52"/>
      <c r="AD1086" s="52"/>
      <c r="AE1086" s="52"/>
      <c r="AF1086" s="52"/>
      <c r="AG1086" s="52"/>
      <c r="AH1086" s="52"/>
      <c r="AI1086" s="52"/>
      <c r="AJ1086" s="52"/>
      <c r="AK1086" s="52"/>
      <c r="AL1086" s="52"/>
      <c r="AM1086" s="52"/>
      <c r="AN1086" s="52"/>
      <c r="AO1086" s="52"/>
      <c r="AP1086" s="52"/>
      <c r="AQ1086" s="52"/>
    </row>
    <row r="1087" spans="1:43">
      <c r="A1087" s="150"/>
      <c r="B1087" s="477"/>
      <c r="C1087" s="125"/>
      <c r="D1087" s="478"/>
      <c r="E1087" s="478"/>
      <c r="F1087" s="52"/>
      <c r="G1087" s="52"/>
      <c r="H1087" s="52"/>
      <c r="I1087" s="52"/>
      <c r="J1087" s="52"/>
      <c r="K1087" s="52"/>
      <c r="L1087" s="52"/>
      <c r="M1087" s="52"/>
      <c r="N1087" s="52"/>
      <c r="O1087" s="52"/>
      <c r="P1087" s="52"/>
      <c r="Q1087" s="52"/>
      <c r="R1087" s="52"/>
      <c r="S1087" s="52"/>
      <c r="T1087" s="52"/>
      <c r="U1087" s="52"/>
      <c r="V1087" s="52"/>
      <c r="W1087" s="52"/>
      <c r="X1087" s="52"/>
      <c r="Y1087" s="52"/>
      <c r="Z1087" s="52"/>
      <c r="AA1087" s="52"/>
      <c r="AB1087" s="52"/>
      <c r="AC1087" s="52"/>
      <c r="AD1087" s="52"/>
      <c r="AE1087" s="52"/>
      <c r="AF1087" s="52"/>
      <c r="AG1087" s="52"/>
      <c r="AH1087" s="52"/>
      <c r="AI1087" s="52"/>
      <c r="AJ1087" s="52"/>
      <c r="AK1087" s="52"/>
      <c r="AL1087" s="52"/>
      <c r="AM1087" s="52"/>
      <c r="AN1087" s="52"/>
      <c r="AO1087" s="52"/>
      <c r="AP1087" s="52"/>
      <c r="AQ1087" s="52"/>
    </row>
    <row r="1088" spans="1:43">
      <c r="A1088" s="150"/>
      <c r="B1088" s="477"/>
      <c r="C1088" s="125"/>
      <c r="D1088" s="478"/>
      <c r="E1088" s="478"/>
      <c r="F1088" s="52"/>
      <c r="G1088" s="52"/>
      <c r="H1088" s="52"/>
      <c r="I1088" s="52"/>
      <c r="J1088" s="52"/>
      <c r="K1088" s="52"/>
      <c r="L1088" s="52"/>
      <c r="M1088" s="52"/>
      <c r="N1088" s="52"/>
      <c r="O1088" s="52"/>
      <c r="P1088" s="52"/>
      <c r="Q1088" s="52"/>
      <c r="R1088" s="52"/>
      <c r="S1088" s="52"/>
      <c r="T1088" s="52"/>
      <c r="U1088" s="52"/>
      <c r="V1088" s="52"/>
      <c r="W1088" s="52"/>
      <c r="X1088" s="52"/>
      <c r="Y1088" s="52"/>
      <c r="Z1088" s="52"/>
      <c r="AA1088" s="52"/>
      <c r="AB1088" s="52"/>
      <c r="AC1088" s="52"/>
      <c r="AD1088" s="52"/>
      <c r="AE1088" s="52"/>
      <c r="AF1088" s="52"/>
      <c r="AG1088" s="52"/>
      <c r="AH1088" s="52"/>
      <c r="AI1088" s="52"/>
      <c r="AJ1088" s="52"/>
      <c r="AK1088" s="52"/>
      <c r="AL1088" s="52"/>
      <c r="AM1088" s="52"/>
      <c r="AN1088" s="52"/>
      <c r="AO1088" s="52"/>
      <c r="AP1088" s="52"/>
      <c r="AQ1088" s="52"/>
    </row>
    <row r="1089" spans="1:43">
      <c r="A1089" s="150"/>
      <c r="B1089" s="477"/>
      <c r="C1089" s="125"/>
      <c r="D1089" s="478"/>
      <c r="E1089" s="478"/>
      <c r="F1089" s="52"/>
      <c r="G1089" s="52"/>
      <c r="H1089" s="52"/>
      <c r="I1089" s="52"/>
      <c r="J1089" s="52"/>
      <c r="K1089" s="52"/>
      <c r="L1089" s="52"/>
      <c r="M1089" s="52"/>
      <c r="N1089" s="52"/>
      <c r="O1089" s="52"/>
      <c r="P1089" s="52"/>
      <c r="Q1089" s="52"/>
      <c r="R1089" s="52"/>
      <c r="S1089" s="52"/>
      <c r="T1089" s="52"/>
      <c r="U1089" s="52"/>
      <c r="V1089" s="52"/>
      <c r="W1089" s="52"/>
      <c r="X1089" s="52"/>
      <c r="Y1089" s="52"/>
      <c r="Z1089" s="52"/>
      <c r="AA1089" s="52"/>
      <c r="AB1089" s="52"/>
      <c r="AC1089" s="52"/>
      <c r="AD1089" s="52"/>
      <c r="AE1089" s="52"/>
      <c r="AF1089" s="52"/>
      <c r="AG1089" s="52"/>
      <c r="AH1089" s="52"/>
      <c r="AI1089" s="52"/>
      <c r="AJ1089" s="52"/>
      <c r="AK1089" s="52"/>
      <c r="AL1089" s="52"/>
      <c r="AM1089" s="52"/>
      <c r="AN1089" s="52"/>
      <c r="AO1089" s="52"/>
      <c r="AP1089" s="52"/>
      <c r="AQ1089" s="52"/>
    </row>
    <row r="1090" spans="1:43">
      <c r="A1090" s="150"/>
      <c r="B1090" s="477"/>
      <c r="C1090" s="125"/>
      <c r="D1090" s="478"/>
      <c r="E1090" s="478"/>
      <c r="F1090" s="52"/>
      <c r="G1090" s="52"/>
      <c r="H1090" s="52"/>
      <c r="I1090" s="52"/>
      <c r="J1090" s="52"/>
      <c r="K1090" s="52"/>
      <c r="L1090" s="52"/>
      <c r="M1090" s="52"/>
      <c r="N1090" s="52"/>
      <c r="O1090" s="52"/>
      <c r="P1090" s="52"/>
      <c r="Q1090" s="52"/>
      <c r="R1090" s="52"/>
      <c r="S1090" s="52"/>
      <c r="T1090" s="52"/>
      <c r="U1090" s="52"/>
      <c r="V1090" s="52"/>
      <c r="W1090" s="52"/>
      <c r="X1090" s="52"/>
      <c r="Y1090" s="52"/>
      <c r="Z1090" s="52"/>
      <c r="AA1090" s="52"/>
      <c r="AB1090" s="52"/>
      <c r="AC1090" s="52"/>
      <c r="AD1090" s="52"/>
      <c r="AE1090" s="52"/>
      <c r="AF1090" s="52"/>
      <c r="AG1090" s="52"/>
      <c r="AH1090" s="52"/>
      <c r="AI1090" s="52"/>
      <c r="AJ1090" s="52"/>
      <c r="AK1090" s="52"/>
      <c r="AL1090" s="52"/>
      <c r="AM1090" s="52"/>
      <c r="AN1090" s="52"/>
      <c r="AO1090" s="52"/>
      <c r="AP1090" s="52"/>
      <c r="AQ1090" s="52"/>
    </row>
    <row r="1091" spans="1:43">
      <c r="A1091" s="150"/>
      <c r="B1091" s="477"/>
      <c r="C1091" s="125"/>
      <c r="D1091" s="478"/>
      <c r="E1091" s="478"/>
      <c r="F1091" s="52"/>
      <c r="G1091" s="52"/>
      <c r="H1091" s="52"/>
      <c r="I1091" s="52"/>
      <c r="J1091" s="52"/>
      <c r="K1091" s="52"/>
      <c r="L1091" s="52"/>
      <c r="M1091" s="52"/>
      <c r="N1091" s="52"/>
      <c r="O1091" s="52"/>
      <c r="P1091" s="52"/>
      <c r="Q1091" s="52"/>
      <c r="R1091" s="52"/>
      <c r="S1091" s="52"/>
      <c r="T1091" s="52"/>
      <c r="U1091" s="52"/>
      <c r="V1091" s="52"/>
      <c r="W1091" s="52"/>
      <c r="X1091" s="52"/>
      <c r="Y1091" s="52"/>
      <c r="Z1091" s="52"/>
      <c r="AA1091" s="52"/>
      <c r="AB1091" s="52"/>
      <c r="AC1091" s="52"/>
      <c r="AD1091" s="52"/>
      <c r="AE1091" s="52"/>
      <c r="AF1091" s="52"/>
      <c r="AG1091" s="52"/>
      <c r="AH1091" s="52"/>
      <c r="AI1091" s="52"/>
      <c r="AJ1091" s="52"/>
      <c r="AK1091" s="52"/>
      <c r="AL1091" s="52"/>
      <c r="AM1091" s="52"/>
      <c r="AN1091" s="52"/>
      <c r="AO1091" s="52"/>
      <c r="AP1091" s="52"/>
      <c r="AQ1091" s="52"/>
    </row>
    <row r="1092" spans="1:43">
      <c r="A1092" s="150"/>
      <c r="B1092" s="477"/>
      <c r="C1092" s="125"/>
      <c r="D1092" s="478"/>
      <c r="E1092" s="478"/>
      <c r="F1092" s="52"/>
      <c r="G1092" s="52"/>
      <c r="H1092" s="52"/>
      <c r="I1092" s="52"/>
      <c r="J1092" s="52"/>
      <c r="K1092" s="52"/>
      <c r="L1092" s="52"/>
      <c r="M1092" s="52"/>
      <c r="N1092" s="52"/>
      <c r="O1092" s="52"/>
      <c r="P1092" s="52"/>
      <c r="Q1092" s="52"/>
      <c r="R1092" s="52"/>
      <c r="S1092" s="52"/>
      <c r="T1092" s="52"/>
      <c r="U1092" s="52"/>
      <c r="V1092" s="52"/>
      <c r="W1092" s="52"/>
      <c r="X1092" s="52"/>
      <c r="Y1092" s="52"/>
      <c r="Z1092" s="52"/>
      <c r="AA1092" s="52"/>
      <c r="AB1092" s="52"/>
      <c r="AC1092" s="52"/>
      <c r="AD1092" s="52"/>
      <c r="AE1092" s="52"/>
      <c r="AF1092" s="52"/>
      <c r="AG1092" s="52"/>
      <c r="AH1092" s="52"/>
      <c r="AI1092" s="52"/>
      <c r="AJ1092" s="52"/>
      <c r="AK1092" s="52"/>
      <c r="AL1092" s="52"/>
      <c r="AM1092" s="52"/>
      <c r="AN1092" s="52"/>
      <c r="AO1092" s="52"/>
      <c r="AP1092" s="52"/>
      <c r="AQ1092" s="52"/>
    </row>
    <row r="1093" spans="1:43">
      <c r="A1093" s="150"/>
      <c r="B1093" s="477"/>
      <c r="C1093" s="125"/>
      <c r="D1093" s="478"/>
      <c r="E1093" s="478"/>
      <c r="F1093" s="52"/>
      <c r="G1093" s="52"/>
      <c r="H1093" s="52"/>
      <c r="I1093" s="52"/>
      <c r="J1093" s="52"/>
      <c r="K1093" s="52"/>
      <c r="L1093" s="52"/>
      <c r="M1093" s="52"/>
      <c r="N1093" s="52"/>
      <c r="O1093" s="52"/>
      <c r="P1093" s="52"/>
      <c r="Q1093" s="52"/>
      <c r="R1093" s="52"/>
      <c r="S1093" s="52"/>
      <c r="T1093" s="52"/>
      <c r="U1093" s="52"/>
      <c r="V1093" s="52"/>
      <c r="W1093" s="52"/>
      <c r="X1093" s="52"/>
      <c r="Y1093" s="52"/>
      <c r="Z1093" s="52"/>
      <c r="AA1093" s="52"/>
      <c r="AB1093" s="52"/>
      <c r="AC1093" s="52"/>
      <c r="AD1093" s="52"/>
      <c r="AE1093" s="52"/>
      <c r="AF1093" s="52"/>
      <c r="AG1093" s="52"/>
      <c r="AH1093" s="52"/>
      <c r="AI1093" s="52"/>
      <c r="AJ1093" s="52"/>
      <c r="AK1093" s="52"/>
      <c r="AL1093" s="52"/>
      <c r="AM1093" s="52"/>
      <c r="AN1093" s="52"/>
      <c r="AO1093" s="52"/>
      <c r="AP1093" s="52"/>
      <c r="AQ1093" s="52"/>
    </row>
    <row r="1094" spans="1:43">
      <c r="A1094" s="150"/>
      <c r="B1094" s="477"/>
      <c r="C1094" s="125"/>
      <c r="D1094" s="478"/>
      <c r="E1094" s="478"/>
      <c r="F1094" s="52"/>
      <c r="G1094" s="52"/>
      <c r="H1094" s="52"/>
      <c r="I1094" s="52"/>
      <c r="J1094" s="52"/>
      <c r="K1094" s="52"/>
      <c r="L1094" s="52"/>
      <c r="M1094" s="52"/>
      <c r="N1094" s="52"/>
      <c r="O1094" s="52"/>
      <c r="P1094" s="52"/>
      <c r="Q1094" s="52"/>
      <c r="R1094" s="52"/>
      <c r="S1094" s="52"/>
      <c r="T1094" s="52"/>
      <c r="U1094" s="52"/>
      <c r="V1094" s="52"/>
      <c r="W1094" s="52"/>
      <c r="X1094" s="52"/>
      <c r="Y1094" s="52"/>
      <c r="Z1094" s="52"/>
      <c r="AA1094" s="52"/>
      <c r="AB1094" s="52"/>
      <c r="AC1094" s="52"/>
      <c r="AD1094" s="52"/>
      <c r="AE1094" s="52"/>
      <c r="AF1094" s="52"/>
      <c r="AG1094" s="52"/>
      <c r="AH1094" s="52"/>
      <c r="AI1094" s="52"/>
      <c r="AJ1094" s="52"/>
      <c r="AK1094" s="52"/>
      <c r="AL1094" s="52"/>
      <c r="AM1094" s="52"/>
      <c r="AN1094" s="52"/>
      <c r="AO1094" s="52"/>
      <c r="AP1094" s="52"/>
      <c r="AQ1094" s="52"/>
    </row>
    <row r="1095" spans="1:43">
      <c r="A1095" s="150"/>
      <c r="B1095" s="477"/>
      <c r="C1095" s="125"/>
      <c r="D1095" s="478"/>
      <c r="E1095" s="478"/>
      <c r="F1095" s="52"/>
      <c r="G1095" s="52"/>
      <c r="H1095" s="52"/>
      <c r="I1095" s="52"/>
      <c r="J1095" s="52"/>
      <c r="K1095" s="52"/>
      <c r="L1095" s="52"/>
      <c r="M1095" s="52"/>
      <c r="N1095" s="52"/>
      <c r="O1095" s="52"/>
      <c r="P1095" s="52"/>
      <c r="Q1095" s="52"/>
      <c r="R1095" s="52"/>
      <c r="S1095" s="52"/>
      <c r="T1095" s="52"/>
      <c r="U1095" s="52"/>
      <c r="V1095" s="52"/>
      <c r="W1095" s="52"/>
      <c r="X1095" s="52"/>
      <c r="Y1095" s="52"/>
      <c r="Z1095" s="52"/>
      <c r="AA1095" s="52"/>
      <c r="AB1095" s="52"/>
      <c r="AC1095" s="52"/>
      <c r="AD1095" s="52"/>
      <c r="AE1095" s="52"/>
      <c r="AF1095" s="52"/>
      <c r="AG1095" s="52"/>
      <c r="AH1095" s="52"/>
      <c r="AI1095" s="52"/>
      <c r="AJ1095" s="52"/>
      <c r="AK1095" s="52"/>
      <c r="AL1095" s="52"/>
      <c r="AM1095" s="52"/>
      <c r="AN1095" s="52"/>
      <c r="AO1095" s="52"/>
      <c r="AP1095" s="52"/>
      <c r="AQ1095" s="52"/>
    </row>
    <row r="1096" spans="1:43">
      <c r="A1096" s="150"/>
      <c r="B1096" s="477"/>
      <c r="C1096" s="125"/>
      <c r="D1096" s="478"/>
      <c r="E1096" s="478"/>
      <c r="F1096" s="52"/>
      <c r="G1096" s="52"/>
      <c r="H1096" s="52"/>
      <c r="I1096" s="52"/>
      <c r="J1096" s="52"/>
      <c r="K1096" s="52"/>
      <c r="L1096" s="52"/>
      <c r="M1096" s="52"/>
      <c r="N1096" s="52"/>
      <c r="O1096" s="52"/>
      <c r="P1096" s="52"/>
      <c r="Q1096" s="52"/>
      <c r="R1096" s="52"/>
      <c r="S1096" s="52"/>
      <c r="T1096" s="52"/>
      <c r="U1096" s="52"/>
      <c r="V1096" s="52"/>
      <c r="W1096" s="52"/>
      <c r="X1096" s="52"/>
      <c r="Y1096" s="52"/>
      <c r="Z1096" s="52"/>
      <c r="AA1096" s="52"/>
      <c r="AB1096" s="52"/>
      <c r="AC1096" s="52"/>
      <c r="AD1096" s="52"/>
      <c r="AE1096" s="52"/>
      <c r="AF1096" s="52"/>
      <c r="AG1096" s="52"/>
      <c r="AH1096" s="52"/>
      <c r="AI1096" s="52"/>
      <c r="AJ1096" s="52"/>
      <c r="AK1096" s="52"/>
      <c r="AL1096" s="52"/>
      <c r="AM1096" s="52"/>
      <c r="AN1096" s="52"/>
      <c r="AO1096" s="52"/>
      <c r="AP1096" s="52"/>
      <c r="AQ1096" s="52"/>
    </row>
    <row r="1097" spans="1:43">
      <c r="A1097" s="150"/>
      <c r="B1097" s="477"/>
      <c r="C1097" s="125"/>
      <c r="D1097" s="478"/>
      <c r="E1097" s="478"/>
      <c r="F1097" s="52"/>
      <c r="G1097" s="52"/>
      <c r="H1097" s="52"/>
      <c r="I1097" s="52"/>
      <c r="J1097" s="52"/>
      <c r="K1097" s="52"/>
      <c r="L1097" s="52"/>
      <c r="M1097" s="52"/>
      <c r="N1097" s="52"/>
      <c r="O1097" s="52"/>
      <c r="P1097" s="52"/>
      <c r="Q1097" s="52"/>
      <c r="R1097" s="52"/>
      <c r="S1097" s="52"/>
      <c r="T1097" s="52"/>
      <c r="U1097" s="52"/>
      <c r="V1097" s="52"/>
      <c r="W1097" s="52"/>
      <c r="X1097" s="52"/>
      <c r="Y1097" s="52"/>
      <c r="Z1097" s="52"/>
      <c r="AA1097" s="52"/>
      <c r="AB1097" s="52"/>
      <c r="AC1097" s="52"/>
      <c r="AD1097" s="52"/>
      <c r="AE1097" s="52"/>
      <c r="AF1097" s="52"/>
      <c r="AG1097" s="52"/>
      <c r="AH1097" s="52"/>
      <c r="AI1097" s="52"/>
      <c r="AJ1097" s="52"/>
      <c r="AK1097" s="52"/>
      <c r="AL1097" s="52"/>
      <c r="AM1097" s="52"/>
      <c r="AN1097" s="52"/>
      <c r="AO1097" s="52"/>
      <c r="AP1097" s="52"/>
      <c r="AQ1097" s="52"/>
    </row>
    <row r="1098" spans="1:43">
      <c r="A1098" s="150"/>
      <c r="B1098" s="477"/>
      <c r="C1098" s="125"/>
      <c r="D1098" s="478"/>
      <c r="E1098" s="478"/>
      <c r="F1098" s="52"/>
      <c r="G1098" s="52"/>
      <c r="H1098" s="52"/>
      <c r="I1098" s="52"/>
      <c r="J1098" s="52"/>
      <c r="K1098" s="52"/>
      <c r="L1098" s="52"/>
      <c r="M1098" s="52"/>
      <c r="N1098" s="52"/>
      <c r="O1098" s="52"/>
      <c r="P1098" s="52"/>
      <c r="Q1098" s="52"/>
      <c r="R1098" s="52"/>
      <c r="S1098" s="52"/>
      <c r="T1098" s="52"/>
      <c r="U1098" s="52"/>
      <c r="V1098" s="52"/>
      <c r="W1098" s="52"/>
      <c r="X1098" s="52"/>
      <c r="Y1098" s="52"/>
      <c r="Z1098" s="52"/>
      <c r="AA1098" s="52"/>
      <c r="AB1098" s="52"/>
      <c r="AC1098" s="52"/>
      <c r="AD1098" s="52"/>
      <c r="AE1098" s="52"/>
      <c r="AF1098" s="52"/>
      <c r="AG1098" s="52"/>
      <c r="AH1098" s="52"/>
      <c r="AI1098" s="52"/>
      <c r="AJ1098" s="52"/>
      <c r="AK1098" s="52"/>
      <c r="AL1098" s="52"/>
      <c r="AM1098" s="52"/>
      <c r="AN1098" s="52"/>
      <c r="AO1098" s="52"/>
      <c r="AP1098" s="52"/>
      <c r="AQ1098" s="52"/>
    </row>
    <row r="1099" spans="1:43">
      <c r="A1099" s="150"/>
      <c r="B1099" s="477"/>
      <c r="C1099" s="125"/>
      <c r="D1099" s="478"/>
      <c r="E1099" s="478"/>
      <c r="F1099" s="52"/>
      <c r="G1099" s="52"/>
      <c r="H1099" s="52"/>
      <c r="I1099" s="52"/>
      <c r="J1099" s="52"/>
      <c r="K1099" s="52"/>
      <c r="L1099" s="52"/>
      <c r="M1099" s="52"/>
      <c r="N1099" s="52"/>
      <c r="O1099" s="52"/>
      <c r="P1099" s="52"/>
      <c r="Q1099" s="52"/>
      <c r="R1099" s="52"/>
      <c r="S1099" s="52"/>
      <c r="T1099" s="52"/>
      <c r="U1099" s="52"/>
      <c r="V1099" s="52"/>
      <c r="W1099" s="52"/>
      <c r="X1099" s="52"/>
      <c r="Y1099" s="52"/>
      <c r="Z1099" s="52"/>
      <c r="AA1099" s="52"/>
      <c r="AB1099" s="52"/>
      <c r="AC1099" s="52"/>
      <c r="AD1099" s="52"/>
      <c r="AE1099" s="52"/>
      <c r="AF1099" s="52"/>
      <c r="AG1099" s="52"/>
      <c r="AH1099" s="52"/>
      <c r="AI1099" s="52"/>
      <c r="AJ1099" s="52"/>
      <c r="AK1099" s="52"/>
      <c r="AL1099" s="52"/>
      <c r="AM1099" s="52"/>
      <c r="AN1099" s="52"/>
      <c r="AO1099" s="52"/>
      <c r="AP1099" s="52"/>
      <c r="AQ1099" s="52"/>
    </row>
    <row r="1100" spans="1:43">
      <c r="A1100" s="150"/>
      <c r="B1100" s="477"/>
      <c r="C1100" s="125"/>
      <c r="D1100" s="478"/>
      <c r="E1100" s="478"/>
      <c r="F1100" s="52"/>
      <c r="G1100" s="52"/>
      <c r="H1100" s="52"/>
      <c r="I1100" s="52"/>
      <c r="J1100" s="52"/>
      <c r="K1100" s="52"/>
      <c r="L1100" s="52"/>
      <c r="M1100" s="52"/>
      <c r="N1100" s="52"/>
      <c r="O1100" s="52"/>
      <c r="P1100" s="52"/>
      <c r="Q1100" s="52"/>
      <c r="R1100" s="52"/>
      <c r="S1100" s="52"/>
      <c r="T1100" s="52"/>
      <c r="U1100" s="52"/>
      <c r="V1100" s="52"/>
      <c r="W1100" s="52"/>
      <c r="X1100" s="52"/>
      <c r="Y1100" s="52"/>
      <c r="Z1100" s="52"/>
      <c r="AA1100" s="52"/>
      <c r="AB1100" s="52"/>
      <c r="AC1100" s="52"/>
      <c r="AD1100" s="52"/>
      <c r="AE1100" s="52"/>
      <c r="AF1100" s="52"/>
      <c r="AG1100" s="52"/>
      <c r="AH1100" s="52"/>
      <c r="AI1100" s="52"/>
      <c r="AJ1100" s="52"/>
      <c r="AK1100" s="52"/>
      <c r="AL1100" s="52"/>
      <c r="AM1100" s="52"/>
      <c r="AN1100" s="52"/>
      <c r="AO1100" s="52"/>
      <c r="AP1100" s="52"/>
      <c r="AQ1100" s="52"/>
    </row>
    <row r="1101" spans="1:43">
      <c r="A1101" s="150"/>
      <c r="B1101" s="477"/>
      <c r="C1101" s="125"/>
      <c r="D1101" s="478"/>
      <c r="E1101" s="478"/>
      <c r="F1101" s="52"/>
      <c r="G1101" s="52"/>
      <c r="H1101" s="52"/>
      <c r="I1101" s="52"/>
      <c r="J1101" s="52"/>
      <c r="K1101" s="52"/>
      <c r="L1101" s="52"/>
      <c r="M1101" s="52"/>
      <c r="N1101" s="52"/>
      <c r="O1101" s="52"/>
      <c r="P1101" s="52"/>
      <c r="Q1101" s="52"/>
      <c r="R1101" s="52"/>
      <c r="S1101" s="52"/>
      <c r="T1101" s="52"/>
      <c r="U1101" s="52"/>
      <c r="V1101" s="52"/>
      <c r="W1101" s="52"/>
      <c r="X1101" s="52"/>
      <c r="Y1101" s="52"/>
      <c r="Z1101" s="52"/>
      <c r="AA1101" s="52"/>
      <c r="AB1101" s="52"/>
      <c r="AC1101" s="52"/>
      <c r="AD1101" s="52"/>
      <c r="AE1101" s="52"/>
      <c r="AF1101" s="52"/>
      <c r="AG1101" s="52"/>
      <c r="AH1101" s="52"/>
      <c r="AI1101" s="52"/>
      <c r="AJ1101" s="52"/>
      <c r="AK1101" s="52"/>
      <c r="AL1101" s="52"/>
      <c r="AM1101" s="52"/>
      <c r="AN1101" s="52"/>
      <c r="AO1101" s="52"/>
      <c r="AP1101" s="52"/>
      <c r="AQ1101" s="52"/>
    </row>
    <row r="1102" spans="1:43">
      <c r="A1102" s="150"/>
      <c r="B1102" s="477"/>
      <c r="C1102" s="125"/>
      <c r="D1102" s="478"/>
      <c r="E1102" s="478"/>
      <c r="F1102" s="52"/>
      <c r="G1102" s="52"/>
      <c r="H1102" s="52"/>
      <c r="I1102" s="52"/>
      <c r="J1102" s="52"/>
      <c r="K1102" s="52"/>
      <c r="L1102" s="52"/>
      <c r="M1102" s="52"/>
      <c r="N1102" s="52"/>
      <c r="O1102" s="52"/>
      <c r="P1102" s="52"/>
      <c r="Q1102" s="52"/>
      <c r="R1102" s="52"/>
      <c r="S1102" s="52"/>
      <c r="T1102" s="52"/>
      <c r="U1102" s="52"/>
      <c r="V1102" s="52"/>
      <c r="W1102" s="52"/>
      <c r="X1102" s="52"/>
      <c r="Y1102" s="52"/>
      <c r="Z1102" s="52"/>
      <c r="AA1102" s="52"/>
      <c r="AB1102" s="52"/>
      <c r="AC1102" s="52"/>
      <c r="AD1102" s="52"/>
      <c r="AE1102" s="52"/>
      <c r="AF1102" s="52"/>
      <c r="AG1102" s="52"/>
      <c r="AH1102" s="52"/>
      <c r="AI1102" s="52"/>
      <c r="AJ1102" s="52"/>
      <c r="AK1102" s="52"/>
      <c r="AL1102" s="52"/>
      <c r="AM1102" s="52"/>
      <c r="AN1102" s="52"/>
      <c r="AO1102" s="52"/>
      <c r="AP1102" s="52"/>
      <c r="AQ1102" s="52"/>
    </row>
    <row r="1103" spans="1:43">
      <c r="A1103" s="150"/>
      <c r="B1103" s="477"/>
      <c r="C1103" s="125"/>
      <c r="D1103" s="478"/>
      <c r="E1103" s="478"/>
      <c r="F1103" s="52"/>
      <c r="G1103" s="52"/>
      <c r="H1103" s="52"/>
      <c r="I1103" s="52"/>
      <c r="J1103" s="52"/>
      <c r="K1103" s="52"/>
      <c r="L1103" s="52"/>
      <c r="M1103" s="52"/>
      <c r="N1103" s="52"/>
      <c r="O1103" s="52"/>
      <c r="P1103" s="52"/>
      <c r="Q1103" s="52"/>
      <c r="R1103" s="52"/>
      <c r="S1103" s="52"/>
      <c r="T1103" s="52"/>
      <c r="U1103" s="52"/>
      <c r="V1103" s="52"/>
      <c r="W1103" s="52"/>
      <c r="X1103" s="52"/>
      <c r="Y1103" s="52"/>
      <c r="Z1103" s="52"/>
      <c r="AA1103" s="52"/>
      <c r="AB1103" s="52"/>
      <c r="AC1103" s="52"/>
      <c r="AD1103" s="52"/>
      <c r="AE1103" s="52"/>
      <c r="AF1103" s="52"/>
      <c r="AG1103" s="52"/>
      <c r="AH1103" s="52"/>
      <c r="AI1103" s="52"/>
      <c r="AJ1103" s="52"/>
      <c r="AK1103" s="52"/>
      <c r="AL1103" s="52"/>
      <c r="AM1103" s="52"/>
      <c r="AN1103" s="52"/>
      <c r="AO1103" s="52"/>
      <c r="AP1103" s="52"/>
      <c r="AQ1103" s="52"/>
    </row>
    <row r="1104" spans="1:43">
      <c r="A1104" s="150"/>
      <c r="B1104" s="477"/>
      <c r="C1104" s="125"/>
      <c r="D1104" s="478"/>
      <c r="E1104" s="478"/>
      <c r="F1104" s="52"/>
      <c r="G1104" s="52"/>
      <c r="H1104" s="52"/>
      <c r="I1104" s="52"/>
      <c r="J1104" s="52"/>
      <c r="K1104" s="52"/>
      <c r="L1104" s="52"/>
      <c r="M1104" s="52"/>
      <c r="N1104" s="52"/>
      <c r="O1104" s="52"/>
      <c r="P1104" s="52"/>
      <c r="Q1104" s="52"/>
      <c r="R1104" s="52"/>
      <c r="S1104" s="52"/>
      <c r="T1104" s="52"/>
      <c r="U1104" s="52"/>
      <c r="V1104" s="52"/>
      <c r="W1104" s="52"/>
      <c r="X1104" s="52"/>
      <c r="Y1104" s="52"/>
      <c r="Z1104" s="52"/>
      <c r="AA1104" s="52"/>
      <c r="AB1104" s="52"/>
      <c r="AC1104" s="52"/>
      <c r="AD1104" s="52"/>
      <c r="AE1104" s="52"/>
      <c r="AF1104" s="52"/>
      <c r="AG1104" s="52"/>
      <c r="AH1104" s="52"/>
      <c r="AI1104" s="52"/>
      <c r="AJ1104" s="52"/>
      <c r="AK1104" s="52"/>
      <c r="AL1104" s="52"/>
      <c r="AM1104" s="52"/>
      <c r="AN1104" s="52"/>
      <c r="AO1104" s="52"/>
      <c r="AP1104" s="52"/>
      <c r="AQ1104" s="52"/>
    </row>
    <row r="1105" spans="1:43">
      <c r="A1105" s="150"/>
      <c r="B1105" s="477"/>
      <c r="C1105" s="125"/>
      <c r="D1105" s="478"/>
      <c r="E1105" s="478"/>
      <c r="F1105" s="52"/>
      <c r="G1105" s="52"/>
      <c r="H1105" s="52"/>
      <c r="I1105" s="52"/>
      <c r="J1105" s="52"/>
      <c r="K1105" s="52"/>
      <c r="L1105" s="52"/>
      <c r="M1105" s="52"/>
      <c r="N1105" s="52"/>
      <c r="O1105" s="52"/>
      <c r="P1105" s="52"/>
      <c r="Q1105" s="52"/>
      <c r="R1105" s="52"/>
      <c r="S1105" s="52"/>
      <c r="T1105" s="52"/>
      <c r="U1105" s="52"/>
      <c r="V1105" s="52"/>
      <c r="W1105" s="52"/>
      <c r="X1105" s="52"/>
      <c r="Y1105" s="52"/>
      <c r="Z1105" s="52"/>
      <c r="AA1105" s="52"/>
      <c r="AB1105" s="52"/>
      <c r="AC1105" s="52"/>
      <c r="AD1105" s="52"/>
      <c r="AE1105" s="52"/>
      <c r="AF1105" s="52"/>
      <c r="AG1105" s="52"/>
      <c r="AH1105" s="52"/>
      <c r="AI1105" s="52"/>
      <c r="AJ1105" s="52"/>
      <c r="AK1105" s="52"/>
      <c r="AL1105" s="52"/>
      <c r="AM1105" s="52"/>
      <c r="AN1105" s="52"/>
      <c r="AO1105" s="52"/>
      <c r="AP1105" s="52"/>
      <c r="AQ1105" s="52"/>
    </row>
    <row r="1106" spans="1:43">
      <c r="A1106" s="150"/>
      <c r="B1106" s="477"/>
      <c r="C1106" s="125"/>
      <c r="D1106" s="478"/>
      <c r="E1106" s="478"/>
      <c r="F1106" s="52"/>
      <c r="G1106" s="52"/>
      <c r="H1106" s="52"/>
      <c r="I1106" s="52"/>
      <c r="J1106" s="52"/>
      <c r="K1106" s="52"/>
      <c r="L1106" s="52"/>
      <c r="M1106" s="52"/>
      <c r="N1106" s="52"/>
      <c r="O1106" s="52"/>
      <c r="P1106" s="52"/>
      <c r="Q1106" s="52"/>
      <c r="R1106" s="52"/>
      <c r="S1106" s="52"/>
      <c r="T1106" s="52"/>
      <c r="U1106" s="52"/>
      <c r="V1106" s="52"/>
      <c r="W1106" s="52"/>
      <c r="X1106" s="52"/>
      <c r="Y1106" s="52"/>
      <c r="Z1106" s="52"/>
      <c r="AA1106" s="52"/>
      <c r="AB1106" s="52"/>
      <c r="AC1106" s="52"/>
      <c r="AD1106" s="52"/>
      <c r="AE1106" s="52"/>
      <c r="AF1106" s="52"/>
      <c r="AG1106" s="52"/>
      <c r="AH1106" s="52"/>
      <c r="AI1106" s="52"/>
      <c r="AJ1106" s="52"/>
      <c r="AK1106" s="52"/>
      <c r="AL1106" s="52"/>
      <c r="AM1106" s="52"/>
      <c r="AN1106" s="52"/>
      <c r="AO1106" s="52"/>
      <c r="AP1106" s="52"/>
      <c r="AQ1106" s="52"/>
    </row>
    <row r="1107" spans="1:43">
      <c r="A1107" s="150"/>
      <c r="B1107" s="477"/>
      <c r="C1107" s="125"/>
      <c r="D1107" s="478"/>
      <c r="E1107" s="478"/>
      <c r="F1107" s="52"/>
      <c r="G1107" s="52"/>
      <c r="H1107" s="52"/>
      <c r="I1107" s="52"/>
      <c r="J1107" s="52"/>
      <c r="K1107" s="52"/>
      <c r="L1107" s="52"/>
      <c r="M1107" s="52"/>
      <c r="N1107" s="52"/>
      <c r="O1107" s="52"/>
      <c r="P1107" s="52"/>
      <c r="Q1107" s="52"/>
      <c r="R1107" s="52"/>
      <c r="S1107" s="52"/>
      <c r="T1107" s="52"/>
      <c r="U1107" s="52"/>
      <c r="V1107" s="52"/>
      <c r="W1107" s="52"/>
      <c r="X1107" s="52"/>
      <c r="Y1107" s="52"/>
      <c r="Z1107" s="52"/>
      <c r="AA1107" s="52"/>
      <c r="AB1107" s="52"/>
      <c r="AC1107" s="52"/>
      <c r="AD1107" s="52"/>
      <c r="AE1107" s="52"/>
      <c r="AF1107" s="52"/>
      <c r="AG1107" s="52"/>
      <c r="AH1107" s="52"/>
      <c r="AI1107" s="52"/>
      <c r="AJ1107" s="52"/>
      <c r="AK1107" s="52"/>
      <c r="AL1107" s="52"/>
      <c r="AM1107" s="52"/>
      <c r="AN1107" s="52"/>
      <c r="AO1107" s="52"/>
      <c r="AP1107" s="52"/>
      <c r="AQ1107" s="52"/>
    </row>
    <row r="1108" spans="1:43">
      <c r="A1108" s="150"/>
      <c r="B1108" s="477"/>
      <c r="C1108" s="125"/>
      <c r="D1108" s="478"/>
      <c r="E1108" s="478"/>
      <c r="F1108" s="52"/>
      <c r="G1108" s="52"/>
      <c r="H1108" s="52"/>
      <c r="I1108" s="52"/>
      <c r="J1108" s="52"/>
      <c r="K1108" s="52"/>
      <c r="L1108" s="52"/>
      <c r="M1108" s="52"/>
      <c r="N1108" s="52"/>
      <c r="O1108" s="52"/>
      <c r="P1108" s="52"/>
      <c r="Q1108" s="52"/>
      <c r="R1108" s="52"/>
      <c r="S1108" s="52"/>
      <c r="T1108" s="52"/>
      <c r="U1108" s="52"/>
      <c r="V1108" s="52"/>
      <c r="W1108" s="52"/>
      <c r="X1108" s="52"/>
      <c r="Y1108" s="52"/>
      <c r="Z1108" s="52"/>
      <c r="AA1108" s="52"/>
      <c r="AB1108" s="52"/>
      <c r="AC1108" s="52"/>
      <c r="AD1108" s="52"/>
      <c r="AE1108" s="52"/>
      <c r="AF1108" s="52"/>
      <c r="AG1108" s="52"/>
      <c r="AH1108" s="52"/>
      <c r="AI1108" s="52"/>
      <c r="AJ1108" s="52"/>
      <c r="AK1108" s="52"/>
      <c r="AL1108" s="52"/>
      <c r="AM1108" s="52"/>
      <c r="AN1108" s="52"/>
      <c r="AO1108" s="52"/>
      <c r="AP1108" s="52"/>
      <c r="AQ1108" s="52"/>
    </row>
    <row r="1109" spans="1:43">
      <c r="A1109" s="150"/>
      <c r="B1109" s="477"/>
      <c r="C1109" s="125"/>
      <c r="D1109" s="478"/>
      <c r="E1109" s="478"/>
      <c r="F1109" s="52"/>
      <c r="G1109" s="52"/>
      <c r="H1109" s="52"/>
      <c r="I1109" s="52"/>
      <c r="J1109" s="52"/>
      <c r="K1109" s="52"/>
      <c r="L1109" s="52"/>
      <c r="M1109" s="52"/>
      <c r="N1109" s="52"/>
      <c r="O1109" s="52"/>
      <c r="P1109" s="52"/>
      <c r="Q1109" s="52"/>
      <c r="R1109" s="52"/>
      <c r="S1109" s="52"/>
      <c r="T1109" s="52"/>
      <c r="U1109" s="52"/>
      <c r="V1109" s="52"/>
      <c r="W1109" s="52"/>
      <c r="X1109" s="52"/>
      <c r="Y1109" s="52"/>
      <c r="Z1109" s="52"/>
      <c r="AA1109" s="52"/>
      <c r="AB1109" s="52"/>
      <c r="AC1109" s="52"/>
      <c r="AD1109" s="52"/>
      <c r="AE1109" s="52"/>
      <c r="AF1109" s="52"/>
      <c r="AG1109" s="52"/>
      <c r="AH1109" s="52"/>
      <c r="AI1109" s="52"/>
      <c r="AJ1109" s="52"/>
      <c r="AK1109" s="52"/>
      <c r="AL1109" s="52"/>
      <c r="AM1109" s="52"/>
      <c r="AN1109" s="52"/>
      <c r="AO1109" s="52"/>
      <c r="AP1109" s="52"/>
      <c r="AQ1109" s="52"/>
    </row>
    <row r="1110" spans="1:43">
      <c r="A1110" s="150"/>
      <c r="B1110" s="477"/>
      <c r="C1110" s="125"/>
      <c r="D1110" s="478"/>
      <c r="E1110" s="478"/>
      <c r="F1110" s="52"/>
      <c r="G1110" s="52"/>
      <c r="H1110" s="52"/>
      <c r="I1110" s="52"/>
      <c r="J1110" s="52"/>
      <c r="K1110" s="52"/>
      <c r="L1110" s="52"/>
      <c r="M1110" s="52"/>
      <c r="N1110" s="52"/>
      <c r="O1110" s="52"/>
      <c r="P1110" s="52"/>
      <c r="Q1110" s="52"/>
      <c r="R1110" s="52"/>
      <c r="S1110" s="52"/>
      <c r="T1110" s="52"/>
      <c r="U1110" s="52"/>
      <c r="V1110" s="52"/>
      <c r="W1110" s="52"/>
      <c r="X1110" s="52"/>
      <c r="Y1110" s="52"/>
      <c r="Z1110" s="52"/>
      <c r="AA1110" s="52"/>
      <c r="AB1110" s="52"/>
      <c r="AC1110" s="52"/>
      <c r="AD1110" s="52"/>
      <c r="AE1110" s="52"/>
      <c r="AF1110" s="52"/>
      <c r="AG1110" s="52"/>
      <c r="AH1110" s="52"/>
      <c r="AI1110" s="52"/>
      <c r="AJ1110" s="52"/>
      <c r="AK1110" s="52"/>
      <c r="AL1110" s="52"/>
      <c r="AM1110" s="52"/>
      <c r="AN1110" s="52"/>
      <c r="AO1110" s="52"/>
      <c r="AP1110" s="52"/>
      <c r="AQ1110" s="52"/>
    </row>
    <row r="1111" spans="1:43">
      <c r="A1111" s="150"/>
      <c r="B1111" s="477"/>
      <c r="C1111" s="125"/>
      <c r="D1111" s="478"/>
      <c r="E1111" s="478"/>
      <c r="F1111" s="52"/>
      <c r="G1111" s="52"/>
      <c r="H1111" s="52"/>
      <c r="I1111" s="52"/>
      <c r="J1111" s="52"/>
      <c r="K1111" s="52"/>
      <c r="L1111" s="52"/>
      <c r="M1111" s="52"/>
      <c r="N1111" s="52"/>
      <c r="O1111" s="52"/>
      <c r="P1111" s="52"/>
      <c r="Q1111" s="52"/>
      <c r="R1111" s="52"/>
      <c r="S1111" s="52"/>
      <c r="T1111" s="52"/>
      <c r="U1111" s="52"/>
      <c r="V1111" s="52"/>
      <c r="W1111" s="52"/>
      <c r="X1111" s="52"/>
      <c r="Y1111" s="52"/>
      <c r="Z1111" s="52"/>
      <c r="AA1111" s="52"/>
      <c r="AB1111" s="52"/>
      <c r="AC1111" s="52"/>
      <c r="AD1111" s="52"/>
      <c r="AE1111" s="52"/>
      <c r="AF1111" s="52"/>
      <c r="AG1111" s="52"/>
      <c r="AH1111" s="52"/>
      <c r="AI1111" s="52"/>
      <c r="AJ1111" s="52"/>
      <c r="AK1111" s="52"/>
      <c r="AL1111" s="52"/>
      <c r="AM1111" s="52"/>
      <c r="AN1111" s="52"/>
      <c r="AO1111" s="52"/>
      <c r="AP1111" s="52"/>
      <c r="AQ1111" s="52"/>
    </row>
    <row r="1112" spans="1:43">
      <c r="A1112" s="150"/>
      <c r="B1112" s="477"/>
      <c r="C1112" s="125"/>
      <c r="D1112" s="478"/>
      <c r="E1112" s="478"/>
      <c r="F1112" s="52"/>
      <c r="G1112" s="52"/>
      <c r="H1112" s="52"/>
      <c r="I1112" s="52"/>
      <c r="J1112" s="52"/>
      <c r="K1112" s="52"/>
      <c r="L1112" s="52"/>
      <c r="M1112" s="52"/>
      <c r="N1112" s="52"/>
      <c r="O1112" s="52"/>
      <c r="P1112" s="52"/>
      <c r="Q1112" s="52"/>
      <c r="R1112" s="52"/>
      <c r="S1112" s="52"/>
      <c r="T1112" s="52"/>
      <c r="U1112" s="52"/>
      <c r="V1112" s="52"/>
      <c r="W1112" s="52"/>
      <c r="X1112" s="52"/>
      <c r="Y1112" s="52"/>
      <c r="Z1112" s="52"/>
      <c r="AA1112" s="52"/>
      <c r="AB1112" s="52"/>
      <c r="AC1112" s="52"/>
      <c r="AD1112" s="52"/>
      <c r="AE1112" s="52"/>
      <c r="AF1112" s="52"/>
      <c r="AG1112" s="52"/>
      <c r="AH1112" s="52"/>
      <c r="AI1112" s="52"/>
      <c r="AJ1112" s="52"/>
      <c r="AK1112" s="52"/>
      <c r="AL1112" s="52"/>
      <c r="AM1112" s="52"/>
      <c r="AN1112" s="52"/>
      <c r="AO1112" s="52"/>
      <c r="AP1112" s="52"/>
      <c r="AQ1112" s="52"/>
    </row>
    <row r="1113" spans="1:43">
      <c r="A1113" s="150"/>
      <c r="B1113" s="477"/>
      <c r="C1113" s="125"/>
      <c r="D1113" s="478"/>
      <c r="E1113" s="478"/>
      <c r="F1113" s="52"/>
      <c r="G1113" s="52"/>
      <c r="H1113" s="52"/>
      <c r="I1113" s="52"/>
      <c r="J1113" s="52"/>
      <c r="K1113" s="52"/>
      <c r="L1113" s="52"/>
      <c r="M1113" s="52"/>
      <c r="N1113" s="52"/>
      <c r="O1113" s="52"/>
      <c r="P1113" s="52"/>
      <c r="Q1113" s="52"/>
      <c r="R1113" s="52"/>
      <c r="S1113" s="52"/>
      <c r="T1113" s="52"/>
      <c r="U1113" s="52"/>
      <c r="V1113" s="52"/>
      <c r="W1113" s="52"/>
      <c r="X1113" s="52"/>
      <c r="Y1113" s="52"/>
      <c r="Z1113" s="52"/>
      <c r="AA1113" s="52"/>
      <c r="AB1113" s="52"/>
      <c r="AC1113" s="52"/>
      <c r="AD1113" s="52"/>
      <c r="AE1113" s="52"/>
      <c r="AF1113" s="52"/>
      <c r="AG1113" s="52"/>
      <c r="AH1113" s="52"/>
      <c r="AI1113" s="52"/>
      <c r="AJ1113" s="52"/>
      <c r="AK1113" s="52"/>
      <c r="AL1113" s="52"/>
      <c r="AM1113" s="52"/>
      <c r="AN1113" s="52"/>
      <c r="AO1113" s="52"/>
      <c r="AP1113" s="52"/>
      <c r="AQ1113" s="52"/>
    </row>
    <row r="1114" spans="1:43">
      <c r="A1114" s="150"/>
      <c r="B1114" s="477"/>
      <c r="C1114" s="125"/>
      <c r="D1114" s="478"/>
      <c r="E1114" s="478"/>
      <c r="F1114" s="52"/>
      <c r="G1114" s="52"/>
      <c r="H1114" s="52"/>
      <c r="I1114" s="52"/>
      <c r="J1114" s="52"/>
      <c r="K1114" s="52"/>
      <c r="L1114" s="52"/>
      <c r="M1114" s="52"/>
      <c r="N1114" s="52"/>
      <c r="O1114" s="52"/>
      <c r="P1114" s="52"/>
      <c r="Q1114" s="52"/>
      <c r="R1114" s="52"/>
      <c r="S1114" s="52"/>
      <c r="T1114" s="52"/>
      <c r="U1114" s="52"/>
      <c r="V1114" s="52"/>
      <c r="W1114" s="52"/>
      <c r="X1114" s="52"/>
      <c r="Y1114" s="52"/>
      <c r="Z1114" s="52"/>
      <c r="AA1114" s="52"/>
      <c r="AB1114" s="52"/>
      <c r="AC1114" s="52"/>
      <c r="AD1114" s="52"/>
      <c r="AE1114" s="52"/>
      <c r="AF1114" s="52"/>
      <c r="AG1114" s="52"/>
      <c r="AH1114" s="52"/>
      <c r="AI1114" s="52"/>
      <c r="AJ1114" s="52"/>
      <c r="AK1114" s="52"/>
      <c r="AL1114" s="52"/>
      <c r="AM1114" s="52"/>
      <c r="AN1114" s="52"/>
      <c r="AO1114" s="52"/>
      <c r="AP1114" s="52"/>
      <c r="AQ1114" s="52"/>
    </row>
    <row r="1115" spans="1:43">
      <c r="A1115" s="150"/>
      <c r="B1115" s="477"/>
      <c r="C1115" s="125"/>
      <c r="D1115" s="478"/>
      <c r="E1115" s="478"/>
      <c r="F1115" s="52"/>
      <c r="G1115" s="52"/>
      <c r="H1115" s="52"/>
      <c r="I1115" s="52"/>
      <c r="J1115" s="52"/>
      <c r="K1115" s="52"/>
      <c r="L1115" s="52"/>
      <c r="M1115" s="52"/>
      <c r="N1115" s="52"/>
      <c r="O1115" s="52"/>
      <c r="P1115" s="52"/>
      <c r="Q1115" s="52"/>
      <c r="R1115" s="52"/>
      <c r="S1115" s="52"/>
      <c r="T1115" s="52"/>
      <c r="U1115" s="52"/>
      <c r="V1115" s="52"/>
      <c r="W1115" s="52"/>
      <c r="X1115" s="52"/>
      <c r="Y1115" s="52"/>
      <c r="Z1115" s="52"/>
      <c r="AA1115" s="52"/>
      <c r="AB1115" s="52"/>
      <c r="AC1115" s="52"/>
      <c r="AD1115" s="52"/>
      <c r="AE1115" s="52"/>
      <c r="AF1115" s="52"/>
      <c r="AG1115" s="52"/>
      <c r="AH1115" s="52"/>
      <c r="AI1115" s="52"/>
      <c r="AJ1115" s="52"/>
      <c r="AK1115" s="52"/>
      <c r="AL1115" s="52"/>
      <c r="AM1115" s="52"/>
      <c r="AN1115" s="52"/>
      <c r="AO1115" s="52"/>
      <c r="AP1115" s="52"/>
      <c r="AQ1115" s="52"/>
    </row>
    <row r="1116" spans="1:43">
      <c r="A1116" s="150"/>
      <c r="B1116" s="477"/>
      <c r="C1116" s="125"/>
      <c r="D1116" s="478"/>
      <c r="E1116" s="478"/>
      <c r="F1116" s="52"/>
      <c r="G1116" s="52"/>
      <c r="H1116" s="52"/>
      <c r="I1116" s="52"/>
      <c r="J1116" s="52"/>
      <c r="K1116" s="52"/>
      <c r="L1116" s="52"/>
      <c r="M1116" s="52"/>
      <c r="N1116" s="52"/>
      <c r="O1116" s="52"/>
      <c r="P1116" s="52"/>
      <c r="Q1116" s="52"/>
      <c r="R1116" s="52"/>
      <c r="S1116" s="52"/>
      <c r="T1116" s="52"/>
      <c r="U1116" s="52"/>
      <c r="V1116" s="52"/>
      <c r="W1116" s="52"/>
      <c r="X1116" s="52"/>
      <c r="Y1116" s="52"/>
      <c r="Z1116" s="52"/>
      <c r="AA1116" s="52"/>
      <c r="AB1116" s="52"/>
      <c r="AC1116" s="52"/>
      <c r="AD1116" s="52"/>
      <c r="AE1116" s="52"/>
      <c r="AF1116" s="52"/>
      <c r="AG1116" s="52"/>
      <c r="AH1116" s="52"/>
      <c r="AI1116" s="52"/>
      <c r="AJ1116" s="52"/>
      <c r="AK1116" s="52"/>
      <c r="AL1116" s="52"/>
      <c r="AM1116" s="52"/>
      <c r="AN1116" s="52"/>
      <c r="AO1116" s="52"/>
      <c r="AP1116" s="52"/>
      <c r="AQ1116" s="52"/>
    </row>
    <row r="1117" spans="1:43">
      <c r="A1117" s="150"/>
      <c r="B1117" s="477"/>
      <c r="C1117" s="125"/>
      <c r="D1117" s="478"/>
      <c r="E1117" s="478"/>
      <c r="F1117" s="52"/>
      <c r="G1117" s="52"/>
      <c r="H1117" s="52"/>
      <c r="I1117" s="52"/>
      <c r="J1117" s="52"/>
      <c r="K1117" s="52"/>
      <c r="L1117" s="52"/>
      <c r="M1117" s="52"/>
      <c r="N1117" s="52"/>
      <c r="O1117" s="52"/>
      <c r="P1117" s="52"/>
      <c r="Q1117" s="52"/>
      <c r="R1117" s="52"/>
      <c r="S1117" s="52"/>
      <c r="T1117" s="52"/>
      <c r="U1117" s="52"/>
      <c r="V1117" s="52"/>
      <c r="W1117" s="52"/>
      <c r="X1117" s="52"/>
      <c r="Y1117" s="52"/>
      <c r="Z1117" s="52"/>
      <c r="AA1117" s="52"/>
      <c r="AB1117" s="52"/>
      <c r="AC1117" s="52"/>
      <c r="AD1117" s="52"/>
      <c r="AE1117" s="52"/>
      <c r="AF1117" s="52"/>
      <c r="AG1117" s="52"/>
      <c r="AH1117" s="52"/>
      <c r="AI1117" s="52"/>
      <c r="AJ1117" s="52"/>
      <c r="AK1117" s="52"/>
      <c r="AL1117" s="52"/>
      <c r="AM1117" s="52"/>
      <c r="AN1117" s="52"/>
      <c r="AO1117" s="52"/>
      <c r="AP1117" s="52"/>
      <c r="AQ1117" s="52"/>
    </row>
    <row r="1118" spans="1:43">
      <c r="A1118" s="150"/>
      <c r="B1118" s="477"/>
      <c r="C1118" s="125"/>
      <c r="D1118" s="478"/>
      <c r="E1118" s="478"/>
      <c r="F1118" s="52"/>
      <c r="G1118" s="52"/>
      <c r="H1118" s="52"/>
      <c r="I1118" s="52"/>
      <c r="J1118" s="52"/>
      <c r="K1118" s="52"/>
      <c r="L1118" s="52"/>
      <c r="M1118" s="52"/>
      <c r="N1118" s="52"/>
      <c r="O1118" s="52"/>
      <c r="P1118" s="52"/>
      <c r="Q1118" s="52"/>
      <c r="R1118" s="52"/>
      <c r="S1118" s="52"/>
      <c r="T1118" s="52"/>
      <c r="U1118" s="52"/>
      <c r="V1118" s="52"/>
      <c r="W1118" s="52"/>
      <c r="X1118" s="52"/>
      <c r="Y1118" s="52"/>
      <c r="Z1118" s="52"/>
      <c r="AA1118" s="52"/>
      <c r="AB1118" s="52"/>
      <c r="AC1118" s="52"/>
      <c r="AD1118" s="52"/>
      <c r="AE1118" s="52"/>
      <c r="AF1118" s="52"/>
      <c r="AG1118" s="52"/>
      <c r="AH1118" s="52"/>
      <c r="AI1118" s="52"/>
      <c r="AJ1118" s="52"/>
      <c r="AK1118" s="52"/>
      <c r="AL1118" s="52"/>
      <c r="AM1118" s="52"/>
      <c r="AN1118" s="52"/>
      <c r="AO1118" s="52"/>
      <c r="AP1118" s="52"/>
      <c r="AQ1118" s="52"/>
    </row>
    <row r="1119" spans="1:43">
      <c r="A1119" s="150"/>
      <c r="B1119" s="477"/>
      <c r="C1119" s="125"/>
      <c r="D1119" s="478"/>
      <c r="E1119" s="478"/>
      <c r="F1119" s="52"/>
      <c r="G1119" s="52"/>
      <c r="H1119" s="52"/>
      <c r="I1119" s="52"/>
      <c r="J1119" s="52"/>
      <c r="K1119" s="52"/>
      <c r="L1119" s="52"/>
      <c r="M1119" s="52"/>
      <c r="N1119" s="52"/>
      <c r="O1119" s="52"/>
      <c r="P1119" s="52"/>
      <c r="Q1119" s="52"/>
      <c r="R1119" s="52"/>
      <c r="S1119" s="52"/>
      <c r="T1119" s="52"/>
      <c r="U1119" s="52"/>
      <c r="V1119" s="52"/>
      <c r="W1119" s="52"/>
      <c r="X1119" s="52"/>
      <c r="Y1119" s="52"/>
      <c r="Z1119" s="52"/>
      <c r="AA1119" s="52"/>
      <c r="AB1119" s="52"/>
      <c r="AC1119" s="52"/>
      <c r="AD1119" s="52"/>
      <c r="AE1119" s="52"/>
      <c r="AF1119" s="52"/>
      <c r="AG1119" s="52"/>
      <c r="AH1119" s="52"/>
      <c r="AI1119" s="52"/>
      <c r="AJ1119" s="52"/>
      <c r="AK1119" s="52"/>
      <c r="AL1119" s="52"/>
      <c r="AM1119" s="52"/>
      <c r="AN1119" s="52"/>
      <c r="AO1119" s="52"/>
      <c r="AP1119" s="52"/>
      <c r="AQ1119" s="52"/>
    </row>
    <row r="1120" spans="1:43">
      <c r="A1120" s="150"/>
      <c r="B1120" s="477"/>
      <c r="C1120" s="125"/>
      <c r="D1120" s="478"/>
      <c r="E1120" s="478"/>
      <c r="F1120" s="52"/>
      <c r="G1120" s="52"/>
      <c r="H1120" s="52"/>
      <c r="I1120" s="52"/>
      <c r="J1120" s="52"/>
      <c r="K1120" s="52"/>
      <c r="L1120" s="52"/>
      <c r="M1120" s="52"/>
      <c r="N1120" s="52"/>
      <c r="O1120" s="52"/>
      <c r="P1120" s="52"/>
      <c r="Q1120" s="52"/>
      <c r="R1120" s="52"/>
      <c r="S1120" s="52"/>
      <c r="T1120" s="52"/>
      <c r="U1120" s="52"/>
      <c r="V1120" s="52"/>
      <c r="W1120" s="52"/>
      <c r="X1120" s="52"/>
      <c r="Y1120" s="52"/>
      <c r="Z1120" s="52"/>
      <c r="AA1120" s="52"/>
      <c r="AB1120" s="52"/>
      <c r="AC1120" s="52"/>
      <c r="AD1120" s="52"/>
      <c r="AE1120" s="52"/>
      <c r="AF1120" s="52"/>
      <c r="AG1120" s="52"/>
      <c r="AH1120" s="52"/>
      <c r="AI1120" s="52"/>
      <c r="AJ1120" s="52"/>
      <c r="AK1120" s="52"/>
      <c r="AL1120" s="52"/>
      <c r="AM1120" s="52"/>
      <c r="AN1120" s="52"/>
      <c r="AO1120" s="52"/>
      <c r="AP1120" s="52"/>
      <c r="AQ1120" s="52"/>
    </row>
    <row r="1121" spans="1:43">
      <c r="A1121" s="150"/>
      <c r="B1121" s="477"/>
      <c r="C1121" s="125"/>
      <c r="D1121" s="478"/>
      <c r="E1121" s="478"/>
      <c r="F1121" s="52"/>
      <c r="G1121" s="52"/>
      <c r="H1121" s="52"/>
      <c r="I1121" s="52"/>
      <c r="J1121" s="52"/>
      <c r="K1121" s="52"/>
      <c r="L1121" s="52"/>
      <c r="M1121" s="52"/>
      <c r="N1121" s="52"/>
      <c r="O1121" s="52"/>
      <c r="P1121" s="52"/>
      <c r="Q1121" s="52"/>
      <c r="R1121" s="52"/>
      <c r="S1121" s="52"/>
      <c r="T1121" s="52"/>
      <c r="U1121" s="52"/>
      <c r="V1121" s="52"/>
      <c r="W1121" s="52"/>
      <c r="X1121" s="52"/>
      <c r="Y1121" s="52"/>
      <c r="Z1121" s="52"/>
      <c r="AA1121" s="52"/>
      <c r="AB1121" s="52"/>
      <c r="AC1121" s="52"/>
      <c r="AD1121" s="52"/>
      <c r="AE1121" s="52"/>
      <c r="AF1121" s="52"/>
      <c r="AG1121" s="52"/>
      <c r="AH1121" s="52"/>
      <c r="AI1121" s="52"/>
      <c r="AJ1121" s="52"/>
      <c r="AK1121" s="52"/>
      <c r="AL1121" s="52"/>
      <c r="AM1121" s="52"/>
      <c r="AN1121" s="52"/>
      <c r="AO1121" s="52"/>
      <c r="AP1121" s="52"/>
      <c r="AQ1121" s="52"/>
    </row>
    <row r="1122" spans="1:43">
      <c r="A1122" s="150"/>
      <c r="B1122" s="477"/>
      <c r="C1122" s="125"/>
      <c r="D1122" s="478"/>
      <c r="E1122" s="478"/>
      <c r="F1122" s="52"/>
      <c r="G1122" s="52"/>
      <c r="H1122" s="52"/>
      <c r="I1122" s="52"/>
      <c r="J1122" s="52"/>
      <c r="K1122" s="52"/>
      <c r="L1122" s="52"/>
      <c r="M1122" s="52"/>
      <c r="N1122" s="52"/>
      <c r="O1122" s="52"/>
      <c r="P1122" s="52"/>
      <c r="Q1122" s="52"/>
      <c r="R1122" s="52"/>
      <c r="S1122" s="52"/>
      <c r="T1122" s="52"/>
      <c r="U1122" s="52"/>
      <c r="V1122" s="52"/>
      <c r="W1122" s="52"/>
      <c r="X1122" s="52"/>
      <c r="Y1122" s="52"/>
      <c r="Z1122" s="52"/>
      <c r="AA1122" s="52"/>
      <c r="AB1122" s="52"/>
      <c r="AC1122" s="52"/>
      <c r="AD1122" s="52"/>
      <c r="AE1122" s="52"/>
      <c r="AF1122" s="52"/>
      <c r="AG1122" s="52"/>
      <c r="AH1122" s="52"/>
      <c r="AI1122" s="52"/>
      <c r="AJ1122" s="52"/>
      <c r="AK1122" s="52"/>
      <c r="AL1122" s="52"/>
      <c r="AM1122" s="52"/>
      <c r="AN1122" s="52"/>
      <c r="AO1122" s="52"/>
      <c r="AP1122" s="52"/>
      <c r="AQ1122" s="52"/>
    </row>
    <row r="1123" spans="1:43">
      <c r="A1123" s="150"/>
      <c r="B1123" s="477"/>
      <c r="C1123" s="125"/>
      <c r="D1123" s="478"/>
      <c r="E1123" s="478"/>
      <c r="F1123" s="52"/>
      <c r="G1123" s="52"/>
      <c r="H1123" s="52"/>
      <c r="I1123" s="52"/>
      <c r="J1123" s="52"/>
      <c r="K1123" s="52"/>
      <c r="L1123" s="52"/>
      <c r="M1123" s="52"/>
      <c r="N1123" s="52"/>
      <c r="O1123" s="52"/>
      <c r="P1123" s="52"/>
      <c r="Q1123" s="52"/>
      <c r="R1123" s="52"/>
      <c r="S1123" s="52"/>
      <c r="T1123" s="52"/>
      <c r="U1123" s="52"/>
      <c r="V1123" s="52"/>
      <c r="W1123" s="52"/>
      <c r="X1123" s="52"/>
      <c r="Y1123" s="52"/>
      <c r="Z1123" s="52"/>
      <c r="AA1123" s="52"/>
      <c r="AB1123" s="52"/>
      <c r="AC1123" s="52"/>
      <c r="AD1123" s="52"/>
      <c r="AE1123" s="52"/>
      <c r="AF1123" s="52"/>
      <c r="AG1123" s="52"/>
      <c r="AH1123" s="52"/>
      <c r="AI1123" s="52"/>
      <c r="AJ1123" s="52"/>
      <c r="AK1123" s="52"/>
      <c r="AL1123" s="52"/>
      <c r="AM1123" s="52"/>
      <c r="AN1123" s="52"/>
      <c r="AO1123" s="52"/>
      <c r="AP1123" s="52"/>
      <c r="AQ1123" s="52"/>
    </row>
    <row r="1124" spans="1:43">
      <c r="A1124" s="150"/>
      <c r="B1124" s="477"/>
      <c r="C1124" s="125"/>
      <c r="D1124" s="478"/>
      <c r="E1124" s="478"/>
      <c r="F1124" s="52"/>
      <c r="G1124" s="52"/>
      <c r="H1124" s="52"/>
      <c r="I1124" s="52"/>
      <c r="J1124" s="52"/>
      <c r="K1124" s="52"/>
      <c r="L1124" s="52"/>
      <c r="M1124" s="52"/>
      <c r="N1124" s="52"/>
      <c r="O1124" s="52"/>
      <c r="P1124" s="52"/>
      <c r="Q1124" s="52"/>
      <c r="R1124" s="52"/>
      <c r="S1124" s="52"/>
      <c r="T1124" s="52"/>
      <c r="U1124" s="52"/>
      <c r="V1124" s="52"/>
      <c r="W1124" s="52"/>
      <c r="X1124" s="52"/>
      <c r="Y1124" s="52"/>
      <c r="Z1124" s="52"/>
      <c r="AA1124" s="52"/>
      <c r="AB1124" s="52"/>
      <c r="AC1124" s="52"/>
      <c r="AD1124" s="52"/>
      <c r="AE1124" s="52"/>
      <c r="AF1124" s="52"/>
      <c r="AG1124" s="52"/>
      <c r="AH1124" s="52"/>
      <c r="AI1124" s="52"/>
      <c r="AJ1124" s="52"/>
      <c r="AK1124" s="52"/>
      <c r="AL1124" s="52"/>
      <c r="AM1124" s="52"/>
      <c r="AN1124" s="52"/>
      <c r="AO1124" s="52"/>
      <c r="AP1124" s="52"/>
      <c r="AQ1124" s="52"/>
    </row>
    <row r="1125" spans="1:43">
      <c r="A1125" s="150"/>
      <c r="B1125" s="477"/>
      <c r="C1125" s="125"/>
      <c r="D1125" s="478"/>
      <c r="E1125" s="478"/>
      <c r="F1125" s="52"/>
      <c r="G1125" s="52"/>
      <c r="H1125" s="52"/>
      <c r="I1125" s="52"/>
      <c r="J1125" s="52"/>
      <c r="K1125" s="52"/>
      <c r="L1125" s="52"/>
      <c r="M1125" s="52"/>
      <c r="N1125" s="52"/>
      <c r="O1125" s="52"/>
      <c r="P1125" s="52"/>
      <c r="Q1125" s="52"/>
      <c r="R1125" s="52"/>
      <c r="S1125" s="52"/>
      <c r="T1125" s="52"/>
      <c r="U1125" s="52"/>
      <c r="V1125" s="52"/>
      <c r="W1125" s="52"/>
      <c r="X1125" s="52"/>
      <c r="Y1125" s="52"/>
      <c r="Z1125" s="52"/>
      <c r="AA1125" s="52"/>
      <c r="AB1125" s="52"/>
      <c r="AC1125" s="52"/>
      <c r="AD1125" s="52"/>
      <c r="AE1125" s="52"/>
      <c r="AF1125" s="52"/>
      <c r="AG1125" s="52"/>
      <c r="AH1125" s="52"/>
      <c r="AI1125" s="52"/>
      <c r="AJ1125" s="52"/>
      <c r="AK1125" s="52"/>
      <c r="AL1125" s="52"/>
      <c r="AM1125" s="52"/>
      <c r="AN1125" s="52"/>
      <c r="AO1125" s="52"/>
      <c r="AP1125" s="52"/>
      <c r="AQ1125" s="52"/>
    </row>
    <row r="1126" spans="1:43">
      <c r="A1126" s="150"/>
      <c r="B1126" s="477"/>
      <c r="C1126" s="125"/>
      <c r="D1126" s="478"/>
      <c r="E1126" s="478"/>
      <c r="F1126" s="52"/>
      <c r="G1126" s="52"/>
      <c r="H1126" s="52"/>
      <c r="I1126" s="52"/>
      <c r="J1126" s="52"/>
      <c r="K1126" s="52"/>
      <c r="L1126" s="52"/>
      <c r="M1126" s="52"/>
      <c r="N1126" s="52"/>
      <c r="O1126" s="52"/>
      <c r="P1126" s="52"/>
      <c r="Q1126" s="52"/>
      <c r="R1126" s="52"/>
      <c r="S1126" s="52"/>
      <c r="T1126" s="52"/>
      <c r="U1126" s="52"/>
      <c r="V1126" s="52"/>
      <c r="W1126" s="52"/>
      <c r="X1126" s="52"/>
      <c r="Y1126" s="52"/>
      <c r="Z1126" s="52"/>
      <c r="AA1126" s="52"/>
      <c r="AB1126" s="52"/>
      <c r="AC1126" s="52"/>
      <c r="AD1126" s="52"/>
      <c r="AE1126" s="52"/>
      <c r="AF1126" s="52"/>
      <c r="AG1126" s="52"/>
      <c r="AH1126" s="52"/>
      <c r="AI1126" s="52"/>
      <c r="AJ1126" s="52"/>
      <c r="AK1126" s="52"/>
      <c r="AL1126" s="52"/>
      <c r="AM1126" s="52"/>
      <c r="AN1126" s="52"/>
      <c r="AO1126" s="52"/>
      <c r="AP1126" s="52"/>
      <c r="AQ1126" s="52"/>
    </row>
    <row r="1127" spans="1:43">
      <c r="A1127" s="150"/>
      <c r="B1127" s="477"/>
      <c r="C1127" s="125"/>
      <c r="D1127" s="478"/>
      <c r="E1127" s="478"/>
      <c r="F1127" s="52"/>
      <c r="G1127" s="52"/>
      <c r="H1127" s="52"/>
      <c r="I1127" s="52"/>
      <c r="J1127" s="52"/>
      <c r="K1127" s="52"/>
      <c r="L1127" s="52"/>
      <c r="M1127" s="52"/>
      <c r="N1127" s="52"/>
      <c r="O1127" s="52"/>
      <c r="P1127" s="52"/>
      <c r="Q1127" s="52"/>
      <c r="R1127" s="52"/>
      <c r="S1127" s="52"/>
      <c r="T1127" s="52"/>
      <c r="U1127" s="52"/>
      <c r="V1127" s="52"/>
      <c r="W1127" s="52"/>
      <c r="X1127" s="52"/>
      <c r="Y1127" s="52"/>
      <c r="Z1127" s="52"/>
      <c r="AA1127" s="52"/>
      <c r="AB1127" s="52"/>
      <c r="AC1127" s="52"/>
      <c r="AD1127" s="52"/>
      <c r="AE1127" s="52"/>
      <c r="AF1127" s="52"/>
      <c r="AG1127" s="52"/>
      <c r="AH1127" s="52"/>
      <c r="AI1127" s="52"/>
      <c r="AJ1127" s="52"/>
      <c r="AK1127" s="52"/>
      <c r="AL1127" s="52"/>
      <c r="AM1127" s="52"/>
      <c r="AN1127" s="52"/>
      <c r="AO1127" s="52"/>
      <c r="AP1127" s="52"/>
      <c r="AQ1127" s="52"/>
    </row>
    <row r="1128" spans="1:43">
      <c r="A1128" s="150"/>
      <c r="B1128" s="477"/>
      <c r="C1128" s="125"/>
      <c r="D1128" s="478"/>
      <c r="E1128" s="478"/>
      <c r="F1128" s="52"/>
      <c r="G1128" s="52"/>
      <c r="H1128" s="52"/>
      <c r="I1128" s="52"/>
      <c r="J1128" s="52"/>
      <c r="K1128" s="52"/>
      <c r="L1128" s="52"/>
      <c r="M1128" s="52"/>
      <c r="N1128" s="52"/>
      <c r="O1128" s="52"/>
      <c r="P1128" s="52"/>
      <c r="Q1128" s="52"/>
      <c r="R1128" s="52"/>
      <c r="S1128" s="52"/>
      <c r="T1128" s="52"/>
      <c r="U1128" s="52"/>
      <c r="V1128" s="52"/>
      <c r="W1128" s="52"/>
      <c r="X1128" s="52"/>
      <c r="Y1128" s="52"/>
      <c r="Z1128" s="52"/>
      <c r="AA1128" s="52"/>
      <c r="AB1128" s="52"/>
      <c r="AC1128" s="52"/>
      <c r="AD1128" s="52"/>
      <c r="AE1128" s="52"/>
      <c r="AF1128" s="52"/>
      <c r="AG1128" s="52"/>
      <c r="AH1128" s="52"/>
      <c r="AI1128" s="52"/>
      <c r="AJ1128" s="52"/>
      <c r="AK1128" s="52"/>
      <c r="AL1128" s="52"/>
      <c r="AM1128" s="52"/>
      <c r="AN1128" s="52"/>
      <c r="AO1128" s="52"/>
      <c r="AP1128" s="52"/>
      <c r="AQ1128" s="52"/>
    </row>
    <row r="1129" spans="1:43">
      <c r="A1129" s="150"/>
      <c r="B1129" s="477"/>
      <c r="C1129" s="125"/>
      <c r="D1129" s="478"/>
      <c r="E1129" s="478"/>
      <c r="F1129" s="52"/>
      <c r="G1129" s="52"/>
      <c r="H1129" s="52"/>
      <c r="I1129" s="52"/>
      <c r="J1129" s="52"/>
      <c r="K1129" s="52"/>
      <c r="L1129" s="52"/>
      <c r="M1129" s="52"/>
      <c r="N1129" s="52"/>
      <c r="O1129" s="52"/>
      <c r="P1129" s="52"/>
      <c r="Q1129" s="52"/>
      <c r="R1129" s="52"/>
      <c r="S1129" s="52"/>
      <c r="T1129" s="52"/>
      <c r="U1129" s="52"/>
      <c r="V1129" s="52"/>
      <c r="W1129" s="52"/>
      <c r="X1129" s="52"/>
      <c r="Y1129" s="52"/>
      <c r="Z1129" s="52"/>
      <c r="AA1129" s="52"/>
      <c r="AB1129" s="52"/>
      <c r="AC1129" s="52"/>
      <c r="AD1129" s="52"/>
      <c r="AE1129" s="52"/>
      <c r="AF1129" s="52"/>
      <c r="AG1129" s="52"/>
      <c r="AH1129" s="52"/>
      <c r="AI1129" s="52"/>
      <c r="AJ1129" s="52"/>
      <c r="AK1129" s="52"/>
      <c r="AL1129" s="52"/>
      <c r="AM1129" s="52"/>
      <c r="AN1129" s="52"/>
      <c r="AO1129" s="52"/>
      <c r="AP1129" s="52"/>
      <c r="AQ1129" s="52"/>
    </row>
    <row r="1130" spans="1:43">
      <c r="A1130" s="150"/>
      <c r="B1130" s="477"/>
      <c r="C1130" s="125"/>
      <c r="D1130" s="478"/>
      <c r="E1130" s="478"/>
      <c r="F1130" s="52"/>
      <c r="G1130" s="52"/>
      <c r="H1130" s="52"/>
      <c r="I1130" s="52"/>
      <c r="J1130" s="52"/>
      <c r="K1130" s="52"/>
      <c r="L1130" s="52"/>
      <c r="M1130" s="52"/>
      <c r="N1130" s="52"/>
      <c r="O1130" s="52"/>
      <c r="P1130" s="52"/>
      <c r="Q1130" s="52"/>
      <c r="R1130" s="52"/>
      <c r="S1130" s="52"/>
      <c r="T1130" s="52"/>
      <c r="U1130" s="52"/>
      <c r="V1130" s="52"/>
      <c r="W1130" s="52"/>
      <c r="X1130" s="52"/>
      <c r="Y1130" s="52"/>
      <c r="Z1130" s="52"/>
      <c r="AA1130" s="52"/>
      <c r="AB1130" s="52"/>
      <c r="AC1130" s="52"/>
      <c r="AD1130" s="52"/>
      <c r="AE1130" s="52"/>
      <c r="AF1130" s="52"/>
      <c r="AG1130" s="52"/>
      <c r="AH1130" s="52"/>
      <c r="AI1130" s="52"/>
      <c r="AJ1130" s="52"/>
      <c r="AK1130" s="52"/>
      <c r="AL1130" s="52"/>
      <c r="AM1130" s="52"/>
      <c r="AN1130" s="52"/>
      <c r="AO1130" s="52"/>
      <c r="AP1130" s="52"/>
      <c r="AQ1130" s="52"/>
    </row>
    <row r="1131" spans="1:43">
      <c r="A1131" s="150"/>
      <c r="B1131" s="477"/>
      <c r="C1131" s="125"/>
      <c r="D1131" s="478"/>
      <c r="E1131" s="478"/>
      <c r="F1131" s="52"/>
      <c r="G1131" s="52"/>
      <c r="H1131" s="52"/>
      <c r="I1131" s="52"/>
      <c r="J1131" s="52"/>
      <c r="K1131" s="52"/>
      <c r="L1131" s="52"/>
      <c r="M1131" s="52"/>
      <c r="N1131" s="52"/>
      <c r="O1131" s="52"/>
      <c r="P1131" s="52"/>
      <c r="Q1131" s="52"/>
      <c r="R1131" s="52"/>
      <c r="S1131" s="52"/>
      <c r="T1131" s="52"/>
      <c r="U1131" s="52"/>
      <c r="V1131" s="52"/>
      <c r="W1131" s="52"/>
      <c r="X1131" s="52"/>
      <c r="Y1131" s="52"/>
      <c r="Z1131" s="52"/>
      <c r="AA1131" s="52"/>
      <c r="AB1131" s="52"/>
      <c r="AC1131" s="52"/>
      <c r="AD1131" s="52"/>
      <c r="AE1131" s="52"/>
      <c r="AF1131" s="52"/>
      <c r="AG1131" s="52"/>
      <c r="AH1131" s="52"/>
      <c r="AI1131" s="52"/>
      <c r="AJ1131" s="52"/>
      <c r="AK1131" s="52"/>
      <c r="AL1131" s="52"/>
      <c r="AM1131" s="52"/>
      <c r="AN1131" s="52"/>
      <c r="AO1131" s="52"/>
      <c r="AP1131" s="52"/>
      <c r="AQ1131" s="52"/>
    </row>
    <row r="1132" spans="1:43">
      <c r="A1132" s="150"/>
      <c r="B1132" s="477"/>
      <c r="C1132" s="125"/>
      <c r="D1132" s="478"/>
      <c r="E1132" s="478"/>
      <c r="F1132" s="52"/>
      <c r="G1132" s="52"/>
      <c r="H1132" s="52"/>
      <c r="I1132" s="52"/>
      <c r="J1132" s="52"/>
      <c r="K1132" s="52"/>
      <c r="L1132" s="52"/>
      <c r="M1132" s="52"/>
      <c r="N1132" s="52"/>
      <c r="O1132" s="52"/>
      <c r="P1132" s="52"/>
      <c r="Q1132" s="52"/>
      <c r="R1132" s="52"/>
      <c r="S1132" s="52"/>
      <c r="T1132" s="52"/>
      <c r="U1132" s="52"/>
      <c r="V1132" s="52"/>
      <c r="W1132" s="52"/>
      <c r="X1132" s="52"/>
      <c r="Y1132" s="52"/>
      <c r="Z1132" s="52"/>
      <c r="AA1132" s="52"/>
      <c r="AB1132" s="52"/>
      <c r="AC1132" s="52"/>
      <c r="AD1132" s="52"/>
      <c r="AE1132" s="52"/>
      <c r="AF1132" s="52"/>
      <c r="AG1132" s="52"/>
      <c r="AH1132" s="52"/>
      <c r="AI1132" s="52"/>
      <c r="AJ1132" s="52"/>
      <c r="AK1132" s="52"/>
      <c r="AL1132" s="52"/>
      <c r="AM1132" s="52"/>
      <c r="AN1132" s="52"/>
      <c r="AO1132" s="52"/>
      <c r="AP1132" s="52"/>
      <c r="AQ1132" s="52"/>
    </row>
    <row r="1133" spans="1:43">
      <c r="A1133" s="150"/>
      <c r="B1133" s="477"/>
      <c r="C1133" s="125"/>
      <c r="D1133" s="478"/>
      <c r="E1133" s="478"/>
      <c r="F1133" s="52"/>
      <c r="G1133" s="52"/>
      <c r="H1133" s="52"/>
      <c r="I1133" s="52"/>
      <c r="J1133" s="52"/>
      <c r="K1133" s="52"/>
      <c r="L1133" s="52"/>
      <c r="M1133" s="52"/>
      <c r="N1133" s="52"/>
      <c r="O1133" s="52"/>
      <c r="P1133" s="52"/>
      <c r="Q1133" s="52"/>
      <c r="R1133" s="52"/>
      <c r="S1133" s="52"/>
      <c r="T1133" s="52"/>
      <c r="U1133" s="52"/>
      <c r="V1133" s="52"/>
      <c r="W1133" s="52"/>
      <c r="X1133" s="52"/>
      <c r="Y1133" s="52"/>
      <c r="Z1133" s="52"/>
      <c r="AA1133" s="52"/>
      <c r="AB1133" s="52"/>
      <c r="AC1133" s="52"/>
      <c r="AD1133" s="52"/>
      <c r="AE1133" s="52"/>
      <c r="AF1133" s="52"/>
      <c r="AG1133" s="52"/>
      <c r="AH1133" s="52"/>
      <c r="AI1133" s="52"/>
      <c r="AJ1133" s="52"/>
      <c r="AK1133" s="52"/>
      <c r="AL1133" s="52"/>
      <c r="AM1133" s="52"/>
      <c r="AN1133" s="52"/>
      <c r="AO1133" s="52"/>
      <c r="AP1133" s="52"/>
      <c r="AQ1133" s="52"/>
    </row>
    <row r="1134" spans="1:43">
      <c r="A1134" s="150"/>
      <c r="B1134" s="477"/>
      <c r="C1134" s="125"/>
      <c r="D1134" s="478"/>
      <c r="E1134" s="478"/>
      <c r="F1134" s="52"/>
      <c r="G1134" s="52"/>
      <c r="H1134" s="52"/>
      <c r="I1134" s="52"/>
      <c r="J1134" s="52"/>
      <c r="K1134" s="52"/>
      <c r="L1134" s="52"/>
      <c r="M1134" s="52"/>
      <c r="N1134" s="52"/>
      <c r="O1134" s="52"/>
      <c r="P1134" s="52"/>
      <c r="Q1134" s="52"/>
      <c r="R1134" s="52"/>
      <c r="S1134" s="52"/>
      <c r="T1134" s="52"/>
      <c r="U1134" s="52"/>
      <c r="V1134" s="52"/>
      <c r="W1134" s="52"/>
      <c r="X1134" s="52"/>
      <c r="Y1134" s="52"/>
      <c r="Z1134" s="52"/>
      <c r="AA1134" s="52"/>
      <c r="AB1134" s="52"/>
      <c r="AC1134" s="52"/>
      <c r="AD1134" s="52"/>
      <c r="AE1134" s="52"/>
      <c r="AF1134" s="52"/>
      <c r="AG1134" s="52"/>
      <c r="AH1134" s="52"/>
      <c r="AI1134" s="52"/>
      <c r="AJ1134" s="52"/>
      <c r="AK1134" s="52"/>
      <c r="AL1134" s="52"/>
      <c r="AM1134" s="52"/>
      <c r="AN1134" s="52"/>
      <c r="AO1134" s="52"/>
      <c r="AP1134" s="52"/>
      <c r="AQ1134" s="52"/>
    </row>
    <row r="1135" spans="1:43">
      <c r="A1135" s="150"/>
      <c r="B1135" s="477"/>
      <c r="C1135" s="125"/>
      <c r="D1135" s="478"/>
      <c r="E1135" s="478"/>
      <c r="F1135" s="52"/>
      <c r="G1135" s="52"/>
      <c r="H1135" s="52"/>
      <c r="I1135" s="52"/>
      <c r="J1135" s="52"/>
      <c r="K1135" s="52"/>
      <c r="L1135" s="52"/>
      <c r="M1135" s="52"/>
      <c r="N1135" s="52"/>
      <c r="O1135" s="52"/>
      <c r="P1135" s="52"/>
      <c r="Q1135" s="52"/>
      <c r="R1135" s="52"/>
      <c r="S1135" s="52"/>
      <c r="T1135" s="52"/>
      <c r="U1135" s="52"/>
      <c r="V1135" s="52"/>
      <c r="W1135" s="52"/>
      <c r="X1135" s="52"/>
      <c r="Y1135" s="52"/>
      <c r="Z1135" s="52"/>
      <c r="AA1135" s="52"/>
      <c r="AB1135" s="52"/>
      <c r="AC1135" s="52"/>
      <c r="AD1135" s="52"/>
      <c r="AE1135" s="52"/>
      <c r="AF1135" s="52"/>
      <c r="AG1135" s="52"/>
      <c r="AH1135" s="52"/>
      <c r="AI1135" s="52"/>
      <c r="AJ1135" s="52"/>
      <c r="AK1135" s="52"/>
      <c r="AL1135" s="52"/>
      <c r="AM1135" s="52"/>
      <c r="AN1135" s="52"/>
      <c r="AO1135" s="52"/>
      <c r="AP1135" s="52"/>
      <c r="AQ1135" s="52"/>
    </row>
    <row r="1136" spans="1:43">
      <c r="A1136" s="150"/>
      <c r="B1136" s="477"/>
      <c r="C1136" s="125"/>
      <c r="D1136" s="478"/>
      <c r="E1136" s="478"/>
      <c r="F1136" s="52"/>
      <c r="G1136" s="52"/>
      <c r="H1136" s="52"/>
      <c r="I1136" s="52"/>
      <c r="J1136" s="52"/>
      <c r="K1136" s="52"/>
      <c r="L1136" s="52"/>
      <c r="M1136" s="52"/>
      <c r="N1136" s="52"/>
      <c r="O1136" s="52"/>
      <c r="P1136" s="52"/>
      <c r="Q1136" s="52"/>
      <c r="R1136" s="52"/>
      <c r="S1136" s="52"/>
      <c r="T1136" s="52"/>
      <c r="U1136" s="52"/>
      <c r="V1136" s="52"/>
      <c r="W1136" s="52"/>
      <c r="X1136" s="52"/>
      <c r="Y1136" s="52"/>
      <c r="Z1136" s="52"/>
      <c r="AA1136" s="52"/>
      <c r="AB1136" s="52"/>
      <c r="AC1136" s="52"/>
      <c r="AD1136" s="52"/>
      <c r="AE1136" s="52"/>
      <c r="AF1136" s="52"/>
      <c r="AG1136" s="52"/>
      <c r="AH1136" s="52"/>
      <c r="AI1136" s="52"/>
      <c r="AJ1136" s="52"/>
      <c r="AK1136" s="52"/>
      <c r="AL1136" s="52"/>
      <c r="AM1136" s="52"/>
      <c r="AN1136" s="52"/>
      <c r="AO1136" s="52"/>
      <c r="AP1136" s="52"/>
      <c r="AQ1136" s="52"/>
    </row>
    <row r="1137" spans="1:43">
      <c r="A1137" s="150"/>
      <c r="B1137" s="477"/>
      <c r="C1137" s="125"/>
      <c r="D1137" s="478"/>
      <c r="E1137" s="478"/>
      <c r="F1137" s="52"/>
      <c r="G1137" s="52"/>
      <c r="H1137" s="52"/>
      <c r="I1137" s="52"/>
      <c r="J1137" s="52"/>
      <c r="K1137" s="52"/>
      <c r="L1137" s="52"/>
      <c r="M1137" s="52"/>
      <c r="N1137" s="52"/>
      <c r="O1137" s="52"/>
      <c r="P1137" s="52"/>
      <c r="Q1137" s="52"/>
      <c r="R1137" s="52"/>
      <c r="S1137" s="52"/>
      <c r="T1137" s="52"/>
      <c r="U1137" s="52"/>
      <c r="V1137" s="52"/>
      <c r="W1137" s="52"/>
      <c r="X1137" s="52"/>
      <c r="Y1137" s="52"/>
      <c r="Z1137" s="52"/>
      <c r="AA1137" s="52"/>
      <c r="AB1137" s="52"/>
      <c r="AC1137" s="52"/>
      <c r="AD1137" s="52"/>
      <c r="AE1137" s="52"/>
      <c r="AF1137" s="52"/>
      <c r="AG1137" s="52"/>
      <c r="AH1137" s="52"/>
      <c r="AI1137" s="52"/>
      <c r="AJ1137" s="52"/>
      <c r="AK1137" s="52"/>
      <c r="AL1137" s="52"/>
      <c r="AM1137" s="52"/>
      <c r="AN1137" s="52"/>
      <c r="AO1137" s="52"/>
      <c r="AP1137" s="52"/>
      <c r="AQ1137" s="52"/>
    </row>
    <row r="1138" spans="1:43">
      <c r="A1138" s="150"/>
      <c r="B1138" s="477"/>
      <c r="C1138" s="125"/>
      <c r="D1138" s="478"/>
      <c r="E1138" s="478"/>
      <c r="F1138" s="52"/>
      <c r="G1138" s="52"/>
      <c r="H1138" s="52"/>
      <c r="I1138" s="52"/>
      <c r="J1138" s="52"/>
      <c r="K1138" s="52"/>
      <c r="L1138" s="52"/>
      <c r="M1138" s="52"/>
      <c r="N1138" s="52"/>
      <c r="O1138" s="52"/>
      <c r="P1138" s="52"/>
      <c r="Q1138" s="52"/>
      <c r="R1138" s="52"/>
      <c r="S1138" s="52"/>
      <c r="T1138" s="52"/>
      <c r="U1138" s="52"/>
      <c r="V1138" s="52"/>
      <c r="W1138" s="52"/>
      <c r="X1138" s="52"/>
      <c r="Y1138" s="52"/>
      <c r="Z1138" s="52"/>
      <c r="AA1138" s="52"/>
      <c r="AB1138" s="52"/>
      <c r="AC1138" s="52"/>
      <c r="AD1138" s="52"/>
      <c r="AE1138" s="52"/>
      <c r="AF1138" s="52"/>
      <c r="AG1138" s="52"/>
      <c r="AH1138" s="52"/>
      <c r="AI1138" s="52"/>
      <c r="AJ1138" s="52"/>
      <c r="AK1138" s="52"/>
      <c r="AL1138" s="52"/>
      <c r="AM1138" s="52"/>
      <c r="AN1138" s="52"/>
      <c r="AO1138" s="52"/>
      <c r="AP1138" s="52"/>
      <c r="AQ1138" s="52"/>
    </row>
    <row r="1139" spans="1:43">
      <c r="A1139" s="150"/>
      <c r="B1139" s="477"/>
      <c r="C1139" s="125"/>
      <c r="D1139" s="478"/>
      <c r="E1139" s="478"/>
      <c r="F1139" s="52"/>
      <c r="G1139" s="52"/>
      <c r="H1139" s="52"/>
      <c r="I1139" s="52"/>
      <c r="J1139" s="52"/>
      <c r="K1139" s="52"/>
      <c r="L1139" s="52"/>
      <c r="M1139" s="52"/>
      <c r="N1139" s="52"/>
      <c r="O1139" s="52"/>
      <c r="P1139" s="52"/>
      <c r="Q1139" s="52"/>
      <c r="R1139" s="52"/>
      <c r="S1139" s="52"/>
      <c r="T1139" s="52"/>
      <c r="U1139" s="52"/>
      <c r="V1139" s="52"/>
      <c r="W1139" s="52"/>
      <c r="X1139" s="52"/>
      <c r="Y1139" s="52"/>
      <c r="Z1139" s="52"/>
      <c r="AA1139" s="52"/>
      <c r="AB1139" s="52"/>
      <c r="AC1139" s="52"/>
      <c r="AD1139" s="52"/>
      <c r="AE1139" s="52"/>
      <c r="AF1139" s="52"/>
      <c r="AG1139" s="52"/>
      <c r="AH1139" s="52"/>
      <c r="AI1139" s="52"/>
      <c r="AJ1139" s="52"/>
      <c r="AK1139" s="52"/>
      <c r="AL1139" s="52"/>
      <c r="AM1139" s="52"/>
      <c r="AN1139" s="52"/>
      <c r="AO1139" s="52"/>
      <c r="AP1139" s="52"/>
      <c r="AQ1139" s="52"/>
    </row>
    <row r="1140" spans="1:43">
      <c r="A1140" s="150"/>
      <c r="B1140" s="477"/>
      <c r="C1140" s="125"/>
      <c r="D1140" s="478"/>
      <c r="E1140" s="478"/>
      <c r="F1140" s="52"/>
      <c r="G1140" s="52"/>
      <c r="H1140" s="52"/>
      <c r="I1140" s="52"/>
      <c r="J1140" s="52"/>
      <c r="K1140" s="52"/>
      <c r="L1140" s="52"/>
      <c r="M1140" s="52"/>
      <c r="N1140" s="52"/>
      <c r="O1140" s="52"/>
      <c r="P1140" s="52"/>
      <c r="Q1140" s="52"/>
      <c r="R1140" s="52"/>
      <c r="S1140" s="52"/>
      <c r="T1140" s="52"/>
      <c r="U1140" s="52"/>
      <c r="V1140" s="52"/>
      <c r="W1140" s="52"/>
      <c r="X1140" s="52"/>
      <c r="Y1140" s="52"/>
      <c r="Z1140" s="52"/>
      <c r="AA1140" s="52"/>
      <c r="AB1140" s="52"/>
      <c r="AC1140" s="52"/>
      <c r="AD1140" s="52"/>
      <c r="AE1140" s="52"/>
      <c r="AF1140" s="52"/>
      <c r="AG1140" s="52"/>
      <c r="AH1140" s="52"/>
      <c r="AI1140" s="52"/>
      <c r="AJ1140" s="52"/>
      <c r="AK1140" s="52"/>
      <c r="AL1140" s="52"/>
      <c r="AM1140" s="52"/>
      <c r="AN1140" s="52"/>
      <c r="AO1140" s="52"/>
      <c r="AP1140" s="52"/>
      <c r="AQ1140" s="52"/>
    </row>
    <row r="1141" spans="1:43">
      <c r="A1141" s="150"/>
      <c r="B1141" s="477"/>
      <c r="C1141" s="125"/>
      <c r="D1141" s="478"/>
      <c r="E1141" s="478"/>
      <c r="F1141" s="52"/>
      <c r="G1141" s="52"/>
      <c r="H1141" s="52"/>
      <c r="I1141" s="52"/>
      <c r="J1141" s="52"/>
      <c r="K1141" s="52"/>
      <c r="L1141" s="52"/>
      <c r="M1141" s="52"/>
      <c r="N1141" s="52"/>
      <c r="O1141" s="52"/>
      <c r="P1141" s="52"/>
      <c r="Q1141" s="52"/>
      <c r="R1141" s="52"/>
      <c r="S1141" s="52"/>
      <c r="T1141" s="52"/>
      <c r="U1141" s="52"/>
      <c r="V1141" s="52"/>
      <c r="W1141" s="52"/>
      <c r="X1141" s="52"/>
      <c r="Y1141" s="52"/>
      <c r="Z1141" s="52"/>
      <c r="AA1141" s="52"/>
      <c r="AB1141" s="52"/>
      <c r="AC1141" s="52"/>
      <c r="AD1141" s="52"/>
      <c r="AE1141" s="52"/>
      <c r="AF1141" s="52"/>
      <c r="AG1141" s="52"/>
      <c r="AH1141" s="52"/>
      <c r="AI1141" s="52"/>
      <c r="AJ1141" s="52"/>
      <c r="AK1141" s="52"/>
      <c r="AL1141" s="52"/>
      <c r="AM1141" s="52"/>
      <c r="AN1141" s="52"/>
      <c r="AO1141" s="52"/>
      <c r="AP1141" s="52"/>
      <c r="AQ1141" s="52"/>
    </row>
    <row r="1142" spans="1:43">
      <c r="A1142" s="150"/>
      <c r="B1142" s="477"/>
      <c r="C1142" s="125"/>
      <c r="D1142" s="478"/>
      <c r="E1142" s="478"/>
      <c r="F1142" s="52"/>
      <c r="G1142" s="52"/>
      <c r="H1142" s="52"/>
      <c r="I1142" s="52"/>
      <c r="J1142" s="52"/>
      <c r="K1142" s="52"/>
      <c r="L1142" s="52"/>
      <c r="M1142" s="52"/>
      <c r="N1142" s="52"/>
      <c r="O1142" s="52"/>
      <c r="P1142" s="52"/>
      <c r="Q1142" s="52"/>
      <c r="R1142" s="52"/>
      <c r="S1142" s="52"/>
      <c r="T1142" s="52"/>
      <c r="U1142" s="52"/>
      <c r="V1142" s="52"/>
      <c r="W1142" s="52"/>
      <c r="X1142" s="52"/>
      <c r="Y1142" s="52"/>
      <c r="Z1142" s="52"/>
      <c r="AA1142" s="52"/>
      <c r="AB1142" s="52"/>
      <c r="AC1142" s="52"/>
      <c r="AD1142" s="52"/>
      <c r="AE1142" s="52"/>
      <c r="AF1142" s="52"/>
      <c r="AG1142" s="52"/>
      <c r="AH1142" s="52"/>
      <c r="AI1142" s="52"/>
      <c r="AJ1142" s="52"/>
      <c r="AK1142" s="52"/>
      <c r="AL1142" s="52"/>
      <c r="AM1142" s="52"/>
      <c r="AN1142" s="52"/>
      <c r="AO1142" s="52"/>
      <c r="AP1142" s="52"/>
      <c r="AQ1142" s="52"/>
    </row>
    <row r="1143" spans="1:43">
      <c r="A1143" s="150"/>
      <c r="B1143" s="477"/>
      <c r="C1143" s="125"/>
      <c r="D1143" s="478"/>
      <c r="E1143" s="478"/>
      <c r="F1143" s="52"/>
      <c r="G1143" s="52"/>
      <c r="H1143" s="52"/>
      <c r="I1143" s="52"/>
      <c r="J1143" s="52"/>
      <c r="K1143" s="52"/>
      <c r="L1143" s="52"/>
      <c r="M1143" s="52"/>
      <c r="N1143" s="52"/>
      <c r="O1143" s="52"/>
      <c r="P1143" s="52"/>
      <c r="Q1143" s="52"/>
      <c r="R1143" s="52"/>
      <c r="S1143" s="52"/>
      <c r="T1143" s="52"/>
      <c r="U1143" s="52"/>
      <c r="V1143" s="52"/>
      <c r="W1143" s="52"/>
      <c r="X1143" s="52"/>
      <c r="Y1143" s="52"/>
      <c r="Z1143" s="52"/>
      <c r="AA1143" s="52"/>
      <c r="AB1143" s="52"/>
      <c r="AC1143" s="52"/>
      <c r="AD1143" s="52"/>
      <c r="AE1143" s="52"/>
      <c r="AF1143" s="52"/>
      <c r="AG1143" s="52"/>
      <c r="AH1143" s="52"/>
      <c r="AI1143" s="52"/>
      <c r="AJ1143" s="52"/>
      <c r="AK1143" s="52"/>
      <c r="AL1143" s="52"/>
      <c r="AM1143" s="52"/>
      <c r="AN1143" s="52"/>
      <c r="AO1143" s="52"/>
      <c r="AP1143" s="52"/>
      <c r="AQ1143" s="52"/>
    </row>
    <row r="1144" spans="1:43">
      <c r="A1144" s="150"/>
      <c r="B1144" s="477"/>
      <c r="C1144" s="125"/>
      <c r="D1144" s="478"/>
      <c r="E1144" s="478"/>
      <c r="F1144" s="52"/>
      <c r="G1144" s="52"/>
      <c r="H1144" s="52"/>
      <c r="I1144" s="52"/>
      <c r="J1144" s="52"/>
      <c r="K1144" s="52"/>
      <c r="L1144" s="52"/>
      <c r="M1144" s="52"/>
      <c r="N1144" s="52"/>
      <c r="O1144" s="52"/>
      <c r="P1144" s="52"/>
      <c r="Q1144" s="52"/>
      <c r="R1144" s="52"/>
      <c r="S1144" s="52"/>
      <c r="T1144" s="52"/>
      <c r="U1144" s="52"/>
      <c r="V1144" s="52"/>
      <c r="W1144" s="52"/>
      <c r="X1144" s="52"/>
      <c r="Y1144" s="52"/>
      <c r="Z1144" s="52"/>
      <c r="AA1144" s="52"/>
      <c r="AB1144" s="52"/>
      <c r="AC1144" s="52"/>
      <c r="AD1144" s="52"/>
      <c r="AE1144" s="52"/>
      <c r="AF1144" s="52"/>
      <c r="AG1144" s="52"/>
      <c r="AH1144" s="52"/>
      <c r="AI1144" s="52"/>
      <c r="AJ1144" s="52"/>
      <c r="AK1144" s="52"/>
      <c r="AL1144" s="52"/>
      <c r="AM1144" s="52"/>
      <c r="AN1144" s="52"/>
      <c r="AO1144" s="52"/>
      <c r="AP1144" s="52"/>
      <c r="AQ1144" s="52"/>
    </row>
    <row r="1145" spans="1:43">
      <c r="A1145" s="150"/>
      <c r="B1145" s="477"/>
      <c r="C1145" s="125"/>
      <c r="D1145" s="478"/>
      <c r="E1145" s="478"/>
      <c r="F1145" s="52"/>
      <c r="G1145" s="52"/>
      <c r="H1145" s="52"/>
      <c r="I1145" s="52"/>
      <c r="J1145" s="52"/>
      <c r="K1145" s="52"/>
      <c r="L1145" s="52"/>
      <c r="M1145" s="52"/>
      <c r="N1145" s="52"/>
      <c r="O1145" s="52"/>
      <c r="P1145" s="52"/>
      <c r="Q1145" s="52"/>
      <c r="R1145" s="52"/>
      <c r="S1145" s="52"/>
      <c r="T1145" s="52"/>
      <c r="U1145" s="52"/>
      <c r="V1145" s="52"/>
      <c r="W1145" s="52"/>
      <c r="X1145" s="52"/>
      <c r="Y1145" s="52"/>
      <c r="Z1145" s="52"/>
      <c r="AA1145" s="52"/>
      <c r="AB1145" s="52"/>
      <c r="AC1145" s="52"/>
      <c r="AD1145" s="52"/>
      <c r="AE1145" s="52"/>
      <c r="AF1145" s="52"/>
      <c r="AG1145" s="52"/>
      <c r="AH1145" s="52"/>
      <c r="AI1145" s="52"/>
      <c r="AJ1145" s="52"/>
      <c r="AK1145" s="52"/>
      <c r="AL1145" s="52"/>
      <c r="AM1145" s="52"/>
      <c r="AN1145" s="52"/>
      <c r="AO1145" s="52"/>
      <c r="AP1145" s="52"/>
      <c r="AQ1145" s="52"/>
    </row>
    <row r="1146" spans="1:43">
      <c r="A1146" s="150"/>
      <c r="B1146" s="477"/>
      <c r="C1146" s="125"/>
      <c r="D1146" s="478"/>
      <c r="E1146" s="478"/>
      <c r="F1146" s="52"/>
      <c r="G1146" s="52"/>
      <c r="H1146" s="52"/>
      <c r="I1146" s="52"/>
      <c r="J1146" s="52"/>
      <c r="K1146" s="52"/>
      <c r="L1146" s="52"/>
      <c r="M1146" s="52"/>
      <c r="N1146" s="52"/>
      <c r="O1146" s="52"/>
      <c r="P1146" s="52"/>
      <c r="Q1146" s="52"/>
      <c r="R1146" s="52"/>
      <c r="S1146" s="52"/>
      <c r="T1146" s="52"/>
      <c r="U1146" s="52"/>
      <c r="V1146" s="52"/>
      <c r="W1146" s="52"/>
      <c r="X1146" s="52"/>
      <c r="Y1146" s="52"/>
      <c r="Z1146" s="52"/>
      <c r="AA1146" s="52"/>
      <c r="AB1146" s="52"/>
      <c r="AC1146" s="52"/>
      <c r="AD1146" s="52"/>
      <c r="AE1146" s="52"/>
      <c r="AF1146" s="52"/>
      <c r="AG1146" s="52"/>
      <c r="AH1146" s="52"/>
      <c r="AI1146" s="52"/>
      <c r="AJ1146" s="52"/>
      <c r="AK1146" s="52"/>
      <c r="AL1146" s="52"/>
      <c r="AM1146" s="52"/>
      <c r="AN1146" s="52"/>
      <c r="AO1146" s="52"/>
      <c r="AP1146" s="52"/>
      <c r="AQ1146" s="52"/>
    </row>
    <row r="1147" spans="1:43">
      <c r="A1147" s="150"/>
      <c r="B1147" s="477"/>
      <c r="C1147" s="125"/>
      <c r="D1147" s="478"/>
      <c r="E1147" s="478"/>
      <c r="F1147" s="52"/>
      <c r="G1147" s="52"/>
      <c r="H1147" s="52"/>
      <c r="I1147" s="52"/>
      <c r="J1147" s="52"/>
      <c r="K1147" s="52"/>
      <c r="L1147" s="52"/>
      <c r="M1147" s="52"/>
      <c r="N1147" s="52"/>
      <c r="O1147" s="52"/>
      <c r="P1147" s="52"/>
      <c r="Q1147" s="52"/>
      <c r="R1147" s="52"/>
      <c r="S1147" s="52"/>
      <c r="T1147" s="52"/>
      <c r="U1147" s="52"/>
      <c r="V1147" s="52"/>
      <c r="W1147" s="52"/>
      <c r="X1147" s="52"/>
      <c r="Y1147" s="52"/>
      <c r="Z1147" s="52"/>
      <c r="AA1147" s="52"/>
      <c r="AB1147" s="52"/>
      <c r="AC1147" s="52"/>
      <c r="AD1147" s="52"/>
      <c r="AE1147" s="52"/>
      <c r="AF1147" s="52"/>
      <c r="AG1147" s="52"/>
      <c r="AH1147" s="52"/>
      <c r="AI1147" s="52"/>
      <c r="AJ1147" s="52"/>
      <c r="AK1147" s="52"/>
      <c r="AL1147" s="52"/>
      <c r="AM1147" s="52"/>
      <c r="AN1147" s="52"/>
      <c r="AO1147" s="52"/>
      <c r="AP1147" s="52"/>
      <c r="AQ1147" s="52"/>
    </row>
    <row r="1148" spans="1:43">
      <c r="A1148" s="150"/>
      <c r="B1148" s="477"/>
      <c r="C1148" s="125"/>
      <c r="D1148" s="478"/>
      <c r="E1148" s="478"/>
      <c r="F1148" s="52"/>
      <c r="G1148" s="52"/>
      <c r="H1148" s="52"/>
      <c r="I1148" s="52"/>
      <c r="J1148" s="52"/>
      <c r="K1148" s="52"/>
      <c r="L1148" s="52"/>
      <c r="M1148" s="52"/>
      <c r="N1148" s="52"/>
      <c r="O1148" s="52"/>
      <c r="P1148" s="52"/>
      <c r="Q1148" s="52"/>
      <c r="R1148" s="52"/>
      <c r="S1148" s="52"/>
      <c r="T1148" s="52"/>
      <c r="U1148" s="52"/>
      <c r="V1148" s="52"/>
      <c r="W1148" s="52"/>
      <c r="X1148" s="52"/>
      <c r="Y1148" s="52"/>
      <c r="Z1148" s="52"/>
      <c r="AA1148" s="52"/>
      <c r="AB1148" s="52"/>
      <c r="AC1148" s="52"/>
      <c r="AD1148" s="52"/>
      <c r="AE1148" s="52"/>
      <c r="AF1148" s="52"/>
      <c r="AG1148" s="52"/>
      <c r="AH1148" s="52"/>
      <c r="AI1148" s="52"/>
      <c r="AJ1148" s="52"/>
      <c r="AK1148" s="52"/>
      <c r="AL1148" s="52"/>
      <c r="AM1148" s="52"/>
      <c r="AN1148" s="52"/>
      <c r="AO1148" s="52"/>
      <c r="AP1148" s="52"/>
      <c r="AQ1148" s="52"/>
    </row>
    <row r="1149" spans="1:43">
      <c r="A1149" s="150"/>
      <c r="B1149" s="477"/>
      <c r="C1149" s="125"/>
      <c r="D1149" s="478"/>
      <c r="E1149" s="478"/>
      <c r="F1149" s="52"/>
      <c r="G1149" s="52"/>
      <c r="H1149" s="52"/>
      <c r="I1149" s="52"/>
      <c r="J1149" s="52"/>
      <c r="K1149" s="52"/>
      <c r="L1149" s="52"/>
      <c r="M1149" s="52"/>
      <c r="N1149" s="52"/>
      <c r="O1149" s="52"/>
      <c r="P1149" s="52"/>
      <c r="Q1149" s="52"/>
      <c r="R1149" s="52"/>
      <c r="S1149" s="52"/>
      <c r="T1149" s="52"/>
      <c r="U1149" s="52"/>
      <c r="V1149" s="52"/>
      <c r="W1149" s="52"/>
      <c r="X1149" s="52"/>
      <c r="Y1149" s="52"/>
      <c r="Z1149" s="52"/>
      <c r="AA1149" s="52"/>
      <c r="AB1149" s="52"/>
      <c r="AC1149" s="52"/>
      <c r="AD1149" s="52"/>
      <c r="AE1149" s="52"/>
      <c r="AF1149" s="52"/>
      <c r="AG1149" s="52"/>
      <c r="AH1149" s="52"/>
      <c r="AI1149" s="52"/>
      <c r="AJ1149" s="52"/>
      <c r="AK1149" s="52"/>
      <c r="AL1149" s="52"/>
      <c r="AM1149" s="52"/>
      <c r="AN1149" s="52"/>
      <c r="AO1149" s="52"/>
      <c r="AP1149" s="52"/>
      <c r="AQ1149" s="52"/>
    </row>
    <row r="1150" spans="1:43">
      <c r="A1150" s="150"/>
      <c r="B1150" s="477"/>
      <c r="C1150" s="125"/>
      <c r="D1150" s="478"/>
      <c r="E1150" s="478"/>
      <c r="F1150" s="52"/>
      <c r="G1150" s="52"/>
      <c r="H1150" s="52"/>
      <c r="I1150" s="52"/>
      <c r="J1150" s="52"/>
      <c r="K1150" s="52"/>
      <c r="L1150" s="52"/>
      <c r="M1150" s="52"/>
      <c r="N1150" s="52"/>
      <c r="O1150" s="52"/>
      <c r="P1150" s="52"/>
      <c r="Q1150" s="52"/>
      <c r="R1150" s="52"/>
      <c r="S1150" s="52"/>
      <c r="T1150" s="52"/>
      <c r="U1150" s="52"/>
      <c r="V1150" s="52"/>
      <c r="W1150" s="52"/>
      <c r="X1150" s="52"/>
      <c r="Y1150" s="52"/>
      <c r="Z1150" s="52"/>
      <c r="AA1150" s="52"/>
      <c r="AB1150" s="52"/>
      <c r="AC1150" s="52"/>
      <c r="AD1150" s="52"/>
      <c r="AE1150" s="52"/>
      <c r="AF1150" s="52"/>
      <c r="AG1150" s="52"/>
      <c r="AH1150" s="52"/>
      <c r="AI1150" s="52"/>
      <c r="AJ1150" s="52"/>
      <c r="AK1150" s="52"/>
      <c r="AL1150" s="52"/>
      <c r="AM1150" s="52"/>
      <c r="AN1150" s="52"/>
      <c r="AO1150" s="52"/>
      <c r="AP1150" s="52"/>
      <c r="AQ1150" s="52"/>
    </row>
    <row r="1151" spans="1:43">
      <c r="A1151" s="150"/>
      <c r="B1151" s="477"/>
      <c r="C1151" s="125"/>
      <c r="D1151" s="478"/>
      <c r="E1151" s="478"/>
      <c r="F1151" s="52"/>
      <c r="G1151" s="52"/>
      <c r="H1151" s="52"/>
      <c r="I1151" s="52"/>
      <c r="J1151" s="52"/>
      <c r="K1151" s="52"/>
      <c r="L1151" s="52"/>
      <c r="M1151" s="52"/>
      <c r="N1151" s="52"/>
      <c r="O1151" s="52"/>
      <c r="P1151" s="52"/>
      <c r="Q1151" s="52"/>
      <c r="R1151" s="52"/>
      <c r="S1151" s="52"/>
      <c r="T1151" s="52"/>
      <c r="U1151" s="52"/>
      <c r="V1151" s="52"/>
      <c r="W1151" s="52"/>
      <c r="X1151" s="52"/>
      <c r="Y1151" s="52"/>
      <c r="Z1151" s="52"/>
      <c r="AA1151" s="52"/>
      <c r="AB1151" s="52"/>
      <c r="AC1151" s="52"/>
      <c r="AD1151" s="52"/>
      <c r="AE1151" s="52"/>
      <c r="AF1151" s="52"/>
      <c r="AG1151" s="52"/>
      <c r="AH1151" s="52"/>
      <c r="AI1151" s="52"/>
      <c r="AJ1151" s="52"/>
      <c r="AK1151" s="52"/>
      <c r="AL1151" s="52"/>
      <c r="AM1151" s="52"/>
      <c r="AN1151" s="52"/>
      <c r="AO1151" s="52"/>
      <c r="AP1151" s="52"/>
      <c r="AQ1151" s="52"/>
    </row>
    <row r="1152" spans="1:43">
      <c r="A1152" s="150"/>
      <c r="B1152" s="477"/>
      <c r="C1152" s="125"/>
      <c r="D1152" s="478"/>
      <c r="E1152" s="478"/>
      <c r="F1152" s="52"/>
      <c r="G1152" s="52"/>
      <c r="H1152" s="52"/>
      <c r="I1152" s="52"/>
      <c r="J1152" s="52"/>
      <c r="K1152" s="52"/>
      <c r="L1152" s="52"/>
      <c r="M1152" s="52"/>
      <c r="N1152" s="52"/>
      <c r="O1152" s="52"/>
      <c r="P1152" s="52"/>
      <c r="Q1152" s="52"/>
      <c r="R1152" s="52"/>
      <c r="S1152" s="52"/>
      <c r="T1152" s="52"/>
      <c r="U1152" s="52"/>
      <c r="V1152" s="52"/>
      <c r="W1152" s="52"/>
      <c r="X1152" s="52"/>
      <c r="Y1152" s="52"/>
      <c r="Z1152" s="52"/>
      <c r="AA1152" s="52"/>
      <c r="AB1152" s="52"/>
      <c r="AC1152" s="52"/>
      <c r="AD1152" s="52"/>
      <c r="AE1152" s="52"/>
      <c r="AF1152" s="52"/>
      <c r="AG1152" s="52"/>
      <c r="AH1152" s="52"/>
      <c r="AI1152" s="52"/>
      <c r="AJ1152" s="52"/>
      <c r="AK1152" s="52"/>
      <c r="AL1152" s="52"/>
      <c r="AM1152" s="52"/>
      <c r="AN1152" s="52"/>
      <c r="AO1152" s="52"/>
      <c r="AP1152" s="52"/>
      <c r="AQ1152" s="52"/>
    </row>
    <row r="1153" spans="1:43">
      <c r="A1153" s="150"/>
      <c r="B1153" s="477"/>
      <c r="C1153" s="125"/>
      <c r="D1153" s="478"/>
      <c r="E1153" s="478"/>
      <c r="F1153" s="52"/>
      <c r="G1153" s="52"/>
      <c r="H1153" s="52"/>
      <c r="I1153" s="52"/>
      <c r="J1153" s="52"/>
      <c r="K1153" s="52"/>
      <c r="L1153" s="52"/>
      <c r="M1153" s="52"/>
      <c r="N1153" s="52"/>
      <c r="O1153" s="52"/>
      <c r="P1153" s="52"/>
      <c r="Q1153" s="52"/>
      <c r="R1153" s="52"/>
      <c r="S1153" s="52"/>
      <c r="T1153" s="52"/>
      <c r="U1153" s="52"/>
      <c r="V1153" s="52"/>
      <c r="W1153" s="52"/>
      <c r="X1153" s="52"/>
      <c r="Y1153" s="52"/>
      <c r="Z1153" s="52"/>
      <c r="AA1153" s="52"/>
      <c r="AB1153" s="52"/>
      <c r="AC1153" s="52"/>
      <c r="AD1153" s="52"/>
      <c r="AE1153" s="52"/>
      <c r="AF1153" s="52"/>
      <c r="AG1153" s="52"/>
      <c r="AH1153" s="52"/>
      <c r="AI1153" s="52"/>
      <c r="AJ1153" s="52"/>
      <c r="AK1153" s="52"/>
      <c r="AL1153" s="52"/>
      <c r="AM1153" s="52"/>
      <c r="AN1153" s="52"/>
      <c r="AO1153" s="52"/>
      <c r="AP1153" s="52"/>
      <c r="AQ1153" s="52"/>
    </row>
    <row r="1154" spans="1:43">
      <c r="A1154" s="150"/>
      <c r="B1154" s="477"/>
      <c r="C1154" s="125"/>
      <c r="D1154" s="478"/>
      <c r="E1154" s="478"/>
      <c r="F1154" s="52"/>
      <c r="G1154" s="52"/>
      <c r="H1154" s="52"/>
      <c r="I1154" s="52"/>
      <c r="J1154" s="52"/>
      <c r="K1154" s="52"/>
      <c r="L1154" s="52"/>
      <c r="M1154" s="52"/>
      <c r="N1154" s="52"/>
      <c r="O1154" s="52"/>
      <c r="P1154" s="52"/>
      <c r="Q1154" s="52"/>
      <c r="R1154" s="52"/>
      <c r="S1154" s="52"/>
      <c r="T1154" s="52"/>
      <c r="U1154" s="52"/>
      <c r="V1154" s="52"/>
      <c r="W1154" s="52"/>
      <c r="X1154" s="52"/>
      <c r="Y1154" s="52"/>
      <c r="Z1154" s="52"/>
      <c r="AA1154" s="52"/>
      <c r="AB1154" s="52"/>
      <c r="AC1154" s="52"/>
      <c r="AD1154" s="52"/>
      <c r="AE1154" s="52"/>
      <c r="AF1154" s="52"/>
      <c r="AG1154" s="52"/>
      <c r="AH1154" s="52"/>
      <c r="AI1154" s="52"/>
      <c r="AJ1154" s="52"/>
      <c r="AK1154" s="52"/>
      <c r="AL1154" s="52"/>
      <c r="AM1154" s="52"/>
      <c r="AN1154" s="52"/>
      <c r="AO1154" s="52"/>
      <c r="AP1154" s="52"/>
      <c r="AQ1154" s="52"/>
    </row>
    <row r="1155" spans="1:43">
      <c r="A1155" s="150"/>
      <c r="B1155" s="477"/>
      <c r="C1155" s="125"/>
      <c r="D1155" s="478"/>
      <c r="E1155" s="478"/>
      <c r="F1155" s="52"/>
      <c r="G1155" s="52"/>
      <c r="H1155" s="52"/>
      <c r="I1155" s="52"/>
      <c r="J1155" s="52"/>
      <c r="K1155" s="52"/>
      <c r="L1155" s="52"/>
      <c r="M1155" s="52"/>
      <c r="N1155" s="52"/>
      <c r="O1155" s="52"/>
      <c r="P1155" s="52"/>
      <c r="Q1155" s="52"/>
      <c r="R1155" s="52"/>
      <c r="S1155" s="52"/>
      <c r="T1155" s="52"/>
      <c r="U1155" s="52"/>
      <c r="V1155" s="52"/>
      <c r="W1155" s="52"/>
      <c r="X1155" s="52"/>
      <c r="Y1155" s="52"/>
      <c r="Z1155" s="52"/>
      <c r="AA1155" s="52"/>
      <c r="AB1155" s="52"/>
      <c r="AC1155" s="52"/>
      <c r="AD1155" s="52"/>
      <c r="AE1155" s="52"/>
      <c r="AF1155" s="52"/>
      <c r="AG1155" s="52"/>
      <c r="AH1155" s="52"/>
      <c r="AI1155" s="52"/>
      <c r="AJ1155" s="52"/>
      <c r="AK1155" s="52"/>
      <c r="AL1155" s="52"/>
      <c r="AM1155" s="52"/>
      <c r="AN1155" s="52"/>
      <c r="AO1155" s="52"/>
      <c r="AP1155" s="52"/>
      <c r="AQ1155" s="52"/>
    </row>
    <row r="1156" spans="1:43">
      <c r="A1156" s="150"/>
      <c r="B1156" s="477"/>
      <c r="C1156" s="125"/>
      <c r="D1156" s="478"/>
      <c r="E1156" s="478"/>
      <c r="F1156" s="52"/>
      <c r="G1156" s="52"/>
      <c r="H1156" s="52"/>
      <c r="I1156" s="52"/>
      <c r="J1156" s="52"/>
      <c r="K1156" s="52"/>
      <c r="L1156" s="52"/>
      <c r="M1156" s="52"/>
      <c r="N1156" s="52"/>
      <c r="O1156" s="52"/>
      <c r="P1156" s="52"/>
      <c r="Q1156" s="52"/>
      <c r="R1156" s="52"/>
      <c r="S1156" s="52"/>
      <c r="T1156" s="52"/>
      <c r="U1156" s="52"/>
      <c r="V1156" s="52"/>
      <c r="W1156" s="52"/>
      <c r="X1156" s="52"/>
      <c r="Y1156" s="52"/>
      <c r="Z1156" s="52"/>
      <c r="AA1156" s="52"/>
      <c r="AB1156" s="52"/>
      <c r="AC1156" s="52"/>
      <c r="AD1156" s="52"/>
      <c r="AE1156" s="52"/>
      <c r="AF1156" s="52"/>
      <c r="AG1156" s="52"/>
      <c r="AH1156" s="52"/>
      <c r="AI1156" s="52"/>
      <c r="AJ1156" s="52"/>
      <c r="AK1156" s="52"/>
      <c r="AL1156" s="52"/>
      <c r="AM1156" s="52"/>
      <c r="AN1156" s="52"/>
      <c r="AO1156" s="52"/>
      <c r="AP1156" s="52"/>
      <c r="AQ1156" s="52"/>
    </row>
    <row r="1157" spans="1:43">
      <c r="A1157" s="150"/>
      <c r="B1157" s="477"/>
      <c r="C1157" s="125"/>
      <c r="D1157" s="478"/>
      <c r="E1157" s="478"/>
      <c r="F1157" s="52"/>
      <c r="G1157" s="52"/>
      <c r="H1157" s="52"/>
      <c r="I1157" s="52"/>
      <c r="J1157" s="52"/>
      <c r="K1157" s="52"/>
      <c r="L1157" s="52"/>
      <c r="M1157" s="52"/>
      <c r="N1157" s="52"/>
      <c r="O1157" s="52"/>
      <c r="P1157" s="52"/>
      <c r="Q1157" s="52"/>
      <c r="R1157" s="52"/>
      <c r="S1157" s="52"/>
      <c r="T1157" s="52"/>
      <c r="U1157" s="52"/>
      <c r="V1157" s="52"/>
      <c r="W1157" s="52"/>
      <c r="X1157" s="52"/>
      <c r="Y1157" s="52"/>
      <c r="Z1157" s="52"/>
      <c r="AA1157" s="52"/>
      <c r="AB1157" s="52"/>
      <c r="AC1157" s="52"/>
      <c r="AD1157" s="52"/>
      <c r="AE1157" s="52"/>
      <c r="AF1157" s="52"/>
      <c r="AG1157" s="52"/>
      <c r="AH1157" s="52"/>
      <c r="AI1157" s="52"/>
      <c r="AJ1157" s="52"/>
      <c r="AK1157" s="52"/>
      <c r="AL1157" s="52"/>
      <c r="AM1157" s="52"/>
      <c r="AN1157" s="52"/>
      <c r="AO1157" s="52"/>
      <c r="AP1157" s="52"/>
      <c r="AQ1157" s="52"/>
    </row>
    <row r="1158" spans="1:43">
      <c r="A1158" s="150"/>
      <c r="B1158" s="477"/>
      <c r="C1158" s="125"/>
      <c r="D1158" s="478"/>
      <c r="E1158" s="478"/>
      <c r="F1158" s="52"/>
      <c r="G1158" s="52"/>
      <c r="H1158" s="52"/>
      <c r="I1158" s="52"/>
      <c r="J1158" s="52"/>
      <c r="K1158" s="52"/>
      <c r="L1158" s="52"/>
      <c r="M1158" s="52"/>
      <c r="N1158" s="52"/>
      <c r="O1158" s="52"/>
      <c r="P1158" s="52"/>
      <c r="Q1158" s="52"/>
      <c r="R1158" s="52"/>
      <c r="S1158" s="52"/>
      <c r="T1158" s="52"/>
      <c r="U1158" s="52"/>
      <c r="V1158" s="52"/>
      <c r="W1158" s="52"/>
      <c r="X1158" s="52"/>
      <c r="Y1158" s="52"/>
      <c r="Z1158" s="52"/>
      <c r="AA1158" s="52"/>
      <c r="AB1158" s="52"/>
      <c r="AC1158" s="52"/>
      <c r="AD1158" s="52"/>
      <c r="AE1158" s="52"/>
      <c r="AF1158" s="52"/>
      <c r="AG1158" s="52"/>
      <c r="AH1158" s="52"/>
      <c r="AI1158" s="52"/>
      <c r="AJ1158" s="52"/>
      <c r="AK1158" s="52"/>
      <c r="AL1158" s="52"/>
      <c r="AM1158" s="52"/>
      <c r="AN1158" s="52"/>
      <c r="AO1158" s="52"/>
      <c r="AP1158" s="52"/>
      <c r="AQ1158" s="52"/>
    </row>
    <row r="1159" spans="1:43">
      <c r="A1159" s="150"/>
      <c r="B1159" s="477"/>
      <c r="C1159" s="125"/>
      <c r="D1159" s="478"/>
      <c r="E1159" s="478"/>
      <c r="F1159" s="52"/>
      <c r="G1159" s="52"/>
      <c r="H1159" s="52"/>
      <c r="I1159" s="52"/>
      <c r="J1159" s="52"/>
      <c r="K1159" s="52"/>
      <c r="L1159" s="52"/>
      <c r="M1159" s="52"/>
      <c r="N1159" s="52"/>
      <c r="O1159" s="52"/>
      <c r="P1159" s="52"/>
      <c r="Q1159" s="52"/>
      <c r="R1159" s="52"/>
      <c r="S1159" s="52"/>
      <c r="T1159" s="52"/>
      <c r="U1159" s="52"/>
      <c r="V1159" s="52"/>
      <c r="W1159" s="52"/>
      <c r="X1159" s="52"/>
      <c r="Y1159" s="52"/>
      <c r="Z1159" s="52"/>
      <c r="AA1159" s="52"/>
      <c r="AB1159" s="52"/>
      <c r="AC1159" s="52"/>
      <c r="AD1159" s="52"/>
      <c r="AE1159" s="52"/>
      <c r="AF1159" s="52"/>
      <c r="AG1159" s="52"/>
      <c r="AH1159" s="52"/>
      <c r="AI1159" s="52"/>
      <c r="AJ1159" s="52"/>
      <c r="AK1159" s="52"/>
      <c r="AL1159" s="52"/>
      <c r="AM1159" s="52"/>
      <c r="AN1159" s="52"/>
      <c r="AO1159" s="52"/>
      <c r="AP1159" s="52"/>
      <c r="AQ1159" s="52"/>
    </row>
    <row r="1160" spans="1:43">
      <c r="A1160" s="150"/>
      <c r="B1160" s="477"/>
      <c r="C1160" s="125"/>
      <c r="D1160" s="478"/>
      <c r="E1160" s="478"/>
      <c r="F1160" s="52"/>
      <c r="G1160" s="52"/>
      <c r="H1160" s="52"/>
      <c r="I1160" s="52"/>
      <c r="J1160" s="52"/>
      <c r="K1160" s="52"/>
      <c r="L1160" s="52"/>
      <c r="M1160" s="52"/>
      <c r="N1160" s="52"/>
      <c r="O1160" s="52"/>
      <c r="P1160" s="52"/>
      <c r="Q1160" s="52"/>
      <c r="R1160" s="52"/>
      <c r="S1160" s="52"/>
      <c r="T1160" s="52"/>
      <c r="U1160" s="52"/>
      <c r="V1160" s="52"/>
      <c r="W1160" s="52"/>
      <c r="X1160" s="52"/>
      <c r="Y1160" s="52"/>
      <c r="Z1160" s="52"/>
      <c r="AA1160" s="52"/>
      <c r="AB1160" s="52"/>
      <c r="AC1160" s="52"/>
      <c r="AD1160" s="52"/>
      <c r="AE1160" s="52"/>
      <c r="AF1160" s="52"/>
      <c r="AG1160" s="52"/>
      <c r="AH1160" s="52"/>
      <c r="AI1160" s="52"/>
      <c r="AJ1160" s="52"/>
      <c r="AK1160" s="52"/>
      <c r="AL1160" s="52"/>
      <c r="AM1160" s="52"/>
      <c r="AN1160" s="52"/>
      <c r="AO1160" s="52"/>
      <c r="AP1160" s="52"/>
      <c r="AQ1160" s="52"/>
    </row>
    <row r="1161" spans="1:43">
      <c r="A1161" s="150"/>
      <c r="B1161" s="477"/>
      <c r="C1161" s="125"/>
      <c r="D1161" s="478"/>
      <c r="E1161" s="478"/>
      <c r="F1161" s="52"/>
      <c r="G1161" s="52"/>
      <c r="H1161" s="52"/>
      <c r="I1161" s="52"/>
      <c r="J1161" s="52"/>
      <c r="K1161" s="52"/>
      <c r="L1161" s="52"/>
      <c r="M1161" s="52"/>
      <c r="N1161" s="52"/>
      <c r="O1161" s="52"/>
      <c r="P1161" s="52"/>
      <c r="Q1161" s="52"/>
      <c r="R1161" s="52"/>
      <c r="S1161" s="52"/>
      <c r="T1161" s="52"/>
      <c r="U1161" s="52"/>
      <c r="V1161" s="52"/>
      <c r="W1161" s="52"/>
      <c r="X1161" s="52"/>
      <c r="Y1161" s="52"/>
      <c r="Z1161" s="52"/>
      <c r="AA1161" s="52"/>
      <c r="AB1161" s="52"/>
      <c r="AC1161" s="52"/>
      <c r="AD1161" s="52"/>
      <c r="AE1161" s="52"/>
      <c r="AF1161" s="52"/>
      <c r="AG1161" s="52"/>
      <c r="AH1161" s="52"/>
      <c r="AI1161" s="52"/>
      <c r="AJ1161" s="52"/>
      <c r="AK1161" s="52"/>
      <c r="AL1161" s="52"/>
      <c r="AM1161" s="52"/>
      <c r="AN1161" s="52"/>
      <c r="AO1161" s="52"/>
      <c r="AP1161" s="52"/>
      <c r="AQ1161" s="52"/>
    </row>
    <row r="1162" spans="1:43">
      <c r="A1162" s="150"/>
      <c r="B1162" s="477"/>
      <c r="C1162" s="125"/>
      <c r="D1162" s="478"/>
      <c r="E1162" s="478"/>
      <c r="F1162" s="52"/>
      <c r="G1162" s="52"/>
      <c r="H1162" s="52"/>
      <c r="I1162" s="52"/>
      <c r="J1162" s="52"/>
      <c r="K1162" s="52"/>
      <c r="L1162" s="52"/>
      <c r="M1162" s="52"/>
      <c r="N1162" s="52"/>
      <c r="O1162" s="52"/>
      <c r="P1162" s="52"/>
      <c r="Q1162" s="52"/>
      <c r="R1162" s="52"/>
      <c r="S1162" s="52"/>
      <c r="T1162" s="52"/>
      <c r="U1162" s="52"/>
      <c r="V1162" s="52"/>
      <c r="W1162" s="52"/>
      <c r="X1162" s="52"/>
      <c r="Y1162" s="52"/>
      <c r="Z1162" s="52"/>
      <c r="AA1162" s="52"/>
      <c r="AB1162" s="52"/>
      <c r="AC1162" s="52"/>
      <c r="AD1162" s="52"/>
      <c r="AE1162" s="52"/>
      <c r="AF1162" s="52"/>
      <c r="AG1162" s="52"/>
      <c r="AH1162" s="52"/>
      <c r="AI1162" s="52"/>
      <c r="AJ1162" s="52"/>
      <c r="AK1162" s="52"/>
      <c r="AL1162" s="52"/>
      <c r="AM1162" s="52"/>
      <c r="AN1162" s="52"/>
      <c r="AO1162" s="52"/>
      <c r="AP1162" s="52"/>
      <c r="AQ1162" s="52"/>
    </row>
    <row r="1163" spans="1:43">
      <c r="A1163" s="150"/>
      <c r="B1163" s="477"/>
      <c r="C1163" s="125"/>
      <c r="D1163" s="478"/>
      <c r="E1163" s="478"/>
      <c r="F1163" s="52"/>
      <c r="G1163" s="52"/>
      <c r="H1163" s="52"/>
      <c r="I1163" s="52"/>
      <c r="J1163" s="52"/>
      <c r="K1163" s="52"/>
      <c r="L1163" s="52"/>
      <c r="M1163" s="52"/>
      <c r="N1163" s="52"/>
      <c r="O1163" s="52"/>
      <c r="P1163" s="52"/>
      <c r="Q1163" s="52"/>
      <c r="R1163" s="52"/>
      <c r="S1163" s="52"/>
      <c r="T1163" s="52"/>
      <c r="U1163" s="52"/>
      <c r="V1163" s="52"/>
      <c r="W1163" s="52"/>
      <c r="X1163" s="52"/>
      <c r="Y1163" s="52"/>
      <c r="Z1163" s="52"/>
      <c r="AA1163" s="52"/>
      <c r="AB1163" s="52"/>
      <c r="AC1163" s="52"/>
      <c r="AD1163" s="52"/>
      <c r="AE1163" s="52"/>
      <c r="AF1163" s="52"/>
      <c r="AG1163" s="52"/>
      <c r="AH1163" s="52"/>
      <c r="AI1163" s="52"/>
      <c r="AJ1163" s="52"/>
      <c r="AK1163" s="52"/>
      <c r="AL1163" s="52"/>
      <c r="AM1163" s="52"/>
      <c r="AN1163" s="52"/>
      <c r="AO1163" s="52"/>
      <c r="AP1163" s="52"/>
      <c r="AQ1163" s="52"/>
    </row>
    <row r="1164" spans="1:43">
      <c r="A1164" s="150"/>
      <c r="B1164" s="477"/>
      <c r="C1164" s="125"/>
      <c r="D1164" s="478"/>
      <c r="E1164" s="478"/>
      <c r="F1164" s="52"/>
      <c r="G1164" s="52"/>
      <c r="H1164" s="52"/>
      <c r="I1164" s="52"/>
      <c r="J1164" s="52"/>
      <c r="K1164" s="52"/>
      <c r="L1164" s="52"/>
      <c r="M1164" s="52"/>
      <c r="N1164" s="52"/>
      <c r="O1164" s="52"/>
      <c r="P1164" s="52"/>
      <c r="Q1164" s="52"/>
      <c r="R1164" s="52"/>
      <c r="S1164" s="52"/>
      <c r="T1164" s="52"/>
      <c r="U1164" s="52"/>
      <c r="V1164" s="52"/>
      <c r="W1164" s="52"/>
      <c r="X1164" s="52"/>
      <c r="Y1164" s="52"/>
      <c r="Z1164" s="52"/>
      <c r="AA1164" s="52"/>
      <c r="AB1164" s="52"/>
      <c r="AC1164" s="52"/>
      <c r="AD1164" s="52"/>
      <c r="AE1164" s="52"/>
      <c r="AF1164" s="52"/>
      <c r="AG1164" s="52"/>
      <c r="AH1164" s="52"/>
      <c r="AI1164" s="52"/>
      <c r="AJ1164" s="52"/>
      <c r="AK1164" s="52"/>
      <c r="AL1164" s="52"/>
      <c r="AM1164" s="52"/>
      <c r="AN1164" s="52"/>
      <c r="AO1164" s="52"/>
      <c r="AP1164" s="52"/>
      <c r="AQ1164" s="52"/>
    </row>
    <row r="1165" spans="1:43">
      <c r="A1165" s="150"/>
      <c r="B1165" s="477"/>
      <c r="C1165" s="125"/>
      <c r="D1165" s="478"/>
      <c r="E1165" s="478"/>
      <c r="F1165" s="52"/>
      <c r="G1165" s="52"/>
      <c r="H1165" s="52"/>
      <c r="I1165" s="52"/>
      <c r="J1165" s="52"/>
      <c r="K1165" s="52"/>
      <c r="L1165" s="52"/>
      <c r="M1165" s="52"/>
      <c r="N1165" s="52"/>
      <c r="O1165" s="52"/>
      <c r="P1165" s="52"/>
      <c r="Q1165" s="52"/>
      <c r="R1165" s="52"/>
      <c r="S1165" s="52"/>
      <c r="T1165" s="52"/>
      <c r="U1165" s="52"/>
      <c r="V1165" s="52"/>
      <c r="W1165" s="52"/>
      <c r="X1165" s="52"/>
      <c r="Y1165" s="52"/>
      <c r="Z1165" s="52"/>
      <c r="AA1165" s="52"/>
      <c r="AB1165" s="52"/>
      <c r="AC1165" s="52"/>
      <c r="AD1165" s="52"/>
      <c r="AE1165" s="52"/>
      <c r="AF1165" s="52"/>
      <c r="AG1165" s="52"/>
      <c r="AH1165" s="52"/>
      <c r="AI1165" s="52"/>
      <c r="AJ1165" s="52"/>
      <c r="AK1165" s="52"/>
      <c r="AL1165" s="52"/>
      <c r="AM1165" s="52"/>
      <c r="AN1165" s="52"/>
      <c r="AO1165" s="52"/>
      <c r="AP1165" s="52"/>
      <c r="AQ1165" s="52"/>
    </row>
    <row r="1166" spans="1:43">
      <c r="A1166" s="150"/>
      <c r="B1166" s="477"/>
      <c r="C1166" s="125"/>
      <c r="D1166" s="478"/>
      <c r="E1166" s="478"/>
      <c r="F1166" s="52"/>
      <c r="G1166" s="52"/>
      <c r="H1166" s="52"/>
      <c r="I1166" s="52"/>
      <c r="J1166" s="52"/>
      <c r="K1166" s="52"/>
      <c r="L1166" s="52"/>
      <c r="M1166" s="52"/>
      <c r="N1166" s="52"/>
      <c r="O1166" s="52"/>
      <c r="P1166" s="52"/>
      <c r="Q1166" s="52"/>
      <c r="R1166" s="52"/>
      <c r="S1166" s="52"/>
      <c r="T1166" s="52"/>
      <c r="U1166" s="52"/>
      <c r="V1166" s="52"/>
      <c r="W1166" s="52"/>
      <c r="X1166" s="52"/>
      <c r="Y1166" s="52"/>
      <c r="Z1166" s="52"/>
      <c r="AA1166" s="52"/>
      <c r="AB1166" s="52"/>
      <c r="AC1166" s="52"/>
      <c r="AD1166" s="52"/>
      <c r="AE1166" s="52"/>
      <c r="AF1166" s="52"/>
      <c r="AG1166" s="52"/>
      <c r="AH1166" s="52"/>
      <c r="AI1166" s="52"/>
      <c r="AJ1166" s="52"/>
      <c r="AK1166" s="52"/>
      <c r="AL1166" s="52"/>
      <c r="AM1166" s="52"/>
      <c r="AN1166" s="52"/>
      <c r="AO1166" s="52"/>
      <c r="AP1166" s="52"/>
      <c r="AQ1166" s="52"/>
    </row>
    <row r="1167" spans="1:43">
      <c r="A1167" s="150"/>
      <c r="B1167" s="477"/>
      <c r="C1167" s="125"/>
      <c r="D1167" s="478"/>
      <c r="E1167" s="478"/>
      <c r="F1167" s="52"/>
      <c r="G1167" s="52"/>
      <c r="H1167" s="52"/>
      <c r="I1167" s="52"/>
      <c r="J1167" s="52"/>
      <c r="K1167" s="52"/>
      <c r="L1167" s="52"/>
      <c r="M1167" s="52"/>
      <c r="N1167" s="52"/>
      <c r="O1167" s="52"/>
      <c r="P1167" s="52"/>
      <c r="Q1167" s="52"/>
      <c r="R1167" s="52"/>
      <c r="S1167" s="52"/>
      <c r="T1167" s="52"/>
      <c r="U1167" s="52"/>
      <c r="V1167" s="52"/>
      <c r="W1167" s="52"/>
      <c r="X1167" s="52"/>
      <c r="Y1167" s="52"/>
      <c r="Z1167" s="52"/>
      <c r="AA1167" s="52"/>
      <c r="AB1167" s="52"/>
      <c r="AC1167" s="52"/>
      <c r="AD1167" s="52"/>
      <c r="AE1167" s="52"/>
      <c r="AF1167" s="52"/>
      <c r="AG1167" s="52"/>
      <c r="AH1167" s="52"/>
      <c r="AI1167" s="52"/>
      <c r="AJ1167" s="52"/>
      <c r="AK1167" s="52"/>
      <c r="AL1167" s="52"/>
      <c r="AM1167" s="52"/>
      <c r="AN1167" s="52"/>
      <c r="AO1167" s="52"/>
      <c r="AP1167" s="52"/>
      <c r="AQ1167" s="52"/>
    </row>
    <row r="1168" spans="1:43">
      <c r="A1168" s="150"/>
      <c r="B1168" s="477"/>
      <c r="C1168" s="125"/>
      <c r="D1168" s="478"/>
      <c r="E1168" s="478"/>
      <c r="F1168" s="52"/>
      <c r="G1168" s="52"/>
      <c r="H1168" s="52"/>
      <c r="I1168" s="52"/>
      <c r="J1168" s="52"/>
      <c r="K1168" s="52"/>
      <c r="L1168" s="52"/>
      <c r="M1168" s="52"/>
      <c r="N1168" s="52"/>
      <c r="O1168" s="52"/>
      <c r="P1168" s="52"/>
      <c r="Q1168" s="52"/>
      <c r="R1168" s="52"/>
      <c r="S1168" s="52"/>
      <c r="T1168" s="52"/>
      <c r="U1168" s="52"/>
      <c r="V1168" s="52"/>
      <c r="W1168" s="52"/>
      <c r="X1168" s="52"/>
      <c r="Y1168" s="52"/>
      <c r="Z1168" s="52"/>
      <c r="AA1168" s="52"/>
      <c r="AB1168" s="52"/>
      <c r="AC1168" s="52"/>
      <c r="AD1168" s="52"/>
      <c r="AE1168" s="52"/>
      <c r="AF1168" s="52"/>
      <c r="AG1168" s="52"/>
      <c r="AH1168" s="52"/>
      <c r="AI1168" s="52"/>
      <c r="AJ1168" s="52"/>
      <c r="AK1168" s="52"/>
      <c r="AL1168" s="52"/>
      <c r="AM1168" s="52"/>
      <c r="AN1168" s="52"/>
      <c r="AO1168" s="52"/>
      <c r="AP1168" s="52"/>
      <c r="AQ1168" s="52"/>
    </row>
    <row r="1169" spans="1:43">
      <c r="A1169" s="150"/>
      <c r="B1169" s="477"/>
      <c r="C1169" s="125"/>
      <c r="D1169" s="478"/>
      <c r="E1169" s="478"/>
      <c r="F1169" s="52"/>
      <c r="G1169" s="52"/>
      <c r="H1169" s="52"/>
      <c r="I1169" s="52"/>
      <c r="J1169" s="52"/>
      <c r="K1169" s="52"/>
      <c r="L1169" s="52"/>
      <c r="M1169" s="52"/>
      <c r="N1169" s="52"/>
      <c r="O1169" s="52"/>
      <c r="P1169" s="52"/>
      <c r="Q1169" s="52"/>
      <c r="R1169" s="52"/>
      <c r="S1169" s="52"/>
      <c r="T1169" s="52"/>
      <c r="U1169" s="52"/>
      <c r="V1169" s="52"/>
      <c r="W1169" s="52"/>
      <c r="X1169" s="52"/>
      <c r="Y1169" s="52"/>
      <c r="Z1169" s="52"/>
      <c r="AA1169" s="52"/>
      <c r="AB1169" s="52"/>
      <c r="AC1169" s="52"/>
      <c r="AD1169" s="52"/>
      <c r="AE1169" s="52"/>
      <c r="AF1169" s="52"/>
      <c r="AG1169" s="52"/>
      <c r="AH1169" s="52"/>
      <c r="AI1169" s="52"/>
      <c r="AJ1169" s="52"/>
      <c r="AK1169" s="52"/>
      <c r="AL1169" s="52"/>
      <c r="AM1169" s="52"/>
      <c r="AN1169" s="52"/>
      <c r="AO1169" s="52"/>
      <c r="AP1169" s="52"/>
      <c r="AQ1169" s="52"/>
    </row>
    <row r="1170" spans="1:43">
      <c r="A1170" s="150"/>
      <c r="B1170" s="477"/>
      <c r="C1170" s="125"/>
      <c r="D1170" s="478"/>
      <c r="E1170" s="478"/>
      <c r="F1170" s="52"/>
      <c r="G1170" s="52"/>
      <c r="H1170" s="52"/>
      <c r="I1170" s="52"/>
      <c r="J1170" s="52"/>
      <c r="K1170" s="52"/>
      <c r="L1170" s="52"/>
      <c r="M1170" s="52"/>
      <c r="N1170" s="52"/>
      <c r="O1170" s="52"/>
      <c r="P1170" s="52"/>
      <c r="Q1170" s="52"/>
      <c r="R1170" s="52"/>
      <c r="S1170" s="52"/>
      <c r="T1170" s="52"/>
      <c r="U1170" s="52"/>
      <c r="V1170" s="52"/>
      <c r="W1170" s="52"/>
      <c r="X1170" s="52"/>
      <c r="Y1170" s="52"/>
      <c r="Z1170" s="52"/>
      <c r="AA1170" s="52"/>
      <c r="AB1170" s="52"/>
      <c r="AC1170" s="52"/>
      <c r="AD1170" s="52"/>
      <c r="AE1170" s="52"/>
      <c r="AF1170" s="52"/>
      <c r="AG1170" s="52"/>
      <c r="AH1170" s="52"/>
      <c r="AI1170" s="52"/>
      <c r="AJ1170" s="52"/>
      <c r="AK1170" s="52"/>
      <c r="AL1170" s="52"/>
      <c r="AM1170" s="52"/>
      <c r="AN1170" s="52"/>
      <c r="AO1170" s="52"/>
      <c r="AP1170" s="52"/>
      <c r="AQ1170" s="52"/>
    </row>
    <row r="1171" spans="1:43">
      <c r="A1171" s="150"/>
      <c r="B1171" s="477"/>
      <c r="C1171" s="125"/>
      <c r="D1171" s="478"/>
      <c r="E1171" s="478"/>
      <c r="F1171" s="52"/>
      <c r="G1171" s="52"/>
      <c r="H1171" s="52"/>
      <c r="I1171" s="52"/>
      <c r="J1171" s="52"/>
      <c r="K1171" s="52"/>
      <c r="L1171" s="52"/>
      <c r="M1171" s="52"/>
      <c r="N1171" s="52"/>
      <c r="O1171" s="52"/>
      <c r="P1171" s="52"/>
      <c r="Q1171" s="52"/>
      <c r="R1171" s="52"/>
      <c r="S1171" s="52"/>
      <c r="T1171" s="52"/>
      <c r="U1171" s="52"/>
      <c r="V1171" s="52"/>
      <c r="W1171" s="52"/>
      <c r="X1171" s="52"/>
      <c r="Y1171" s="52"/>
      <c r="Z1171" s="52"/>
      <c r="AA1171" s="52"/>
      <c r="AB1171" s="52"/>
      <c r="AC1171" s="52"/>
      <c r="AD1171" s="52"/>
      <c r="AE1171" s="52"/>
      <c r="AF1171" s="52"/>
      <c r="AG1171" s="52"/>
      <c r="AH1171" s="52"/>
      <c r="AI1171" s="52"/>
      <c r="AJ1171" s="52"/>
      <c r="AK1171" s="52"/>
      <c r="AL1171" s="52"/>
      <c r="AM1171" s="52"/>
      <c r="AN1171" s="52"/>
      <c r="AO1171" s="52"/>
      <c r="AP1171" s="52"/>
      <c r="AQ1171" s="52"/>
    </row>
    <row r="1172" spans="1:43">
      <c r="A1172" s="150"/>
      <c r="B1172" s="477"/>
      <c r="C1172" s="125"/>
      <c r="D1172" s="478"/>
      <c r="E1172" s="478"/>
      <c r="F1172" s="52"/>
      <c r="G1172" s="52"/>
      <c r="H1172" s="52"/>
      <c r="I1172" s="52"/>
      <c r="J1172" s="52"/>
      <c r="K1172" s="52"/>
      <c r="L1172" s="52"/>
      <c r="M1172" s="52"/>
      <c r="N1172" s="52"/>
      <c r="O1172" s="52"/>
      <c r="P1172" s="52"/>
      <c r="Q1172" s="52"/>
      <c r="R1172" s="52"/>
      <c r="S1172" s="52"/>
      <c r="T1172" s="52"/>
      <c r="U1172" s="52"/>
      <c r="V1172" s="52"/>
      <c r="W1172" s="52"/>
      <c r="X1172" s="52"/>
      <c r="Y1172" s="52"/>
      <c r="Z1172" s="52"/>
      <c r="AA1172" s="52"/>
      <c r="AB1172" s="52"/>
      <c r="AC1172" s="52"/>
      <c r="AD1172" s="52"/>
      <c r="AE1172" s="52"/>
      <c r="AF1172" s="52"/>
      <c r="AG1172" s="52"/>
      <c r="AH1172" s="52"/>
      <c r="AI1172" s="52"/>
      <c r="AJ1172" s="52"/>
      <c r="AK1172" s="52"/>
      <c r="AL1172" s="52"/>
      <c r="AM1172" s="52"/>
      <c r="AN1172" s="52"/>
      <c r="AO1172" s="52"/>
      <c r="AP1172" s="52"/>
      <c r="AQ1172" s="52"/>
    </row>
    <row r="1173" spans="1:43">
      <c r="A1173" s="150"/>
      <c r="B1173" s="477"/>
      <c r="C1173" s="125"/>
      <c r="D1173" s="478"/>
      <c r="E1173" s="478"/>
      <c r="F1173" s="52"/>
      <c r="G1173" s="52"/>
      <c r="H1173" s="52"/>
      <c r="I1173" s="52"/>
      <c r="J1173" s="52"/>
      <c r="K1173" s="52"/>
      <c r="L1173" s="52"/>
      <c r="M1173" s="52"/>
      <c r="N1173" s="52"/>
      <c r="O1173" s="52"/>
      <c r="P1173" s="52"/>
      <c r="Q1173" s="52"/>
      <c r="R1173" s="52"/>
      <c r="S1173" s="52"/>
      <c r="T1173" s="52"/>
      <c r="U1173" s="52"/>
      <c r="V1173" s="52"/>
      <c r="W1173" s="52"/>
      <c r="X1173" s="52"/>
      <c r="Y1173" s="52"/>
      <c r="Z1173" s="52"/>
      <c r="AA1173" s="52"/>
      <c r="AB1173" s="52"/>
      <c r="AC1173" s="52"/>
      <c r="AD1173" s="52"/>
      <c r="AE1173" s="52"/>
      <c r="AF1173" s="52"/>
      <c r="AG1173" s="52"/>
      <c r="AH1173" s="52"/>
      <c r="AI1173" s="52"/>
      <c r="AJ1173" s="52"/>
      <c r="AK1173" s="52"/>
      <c r="AL1173" s="52"/>
      <c r="AM1173" s="52"/>
      <c r="AN1173" s="52"/>
      <c r="AO1173" s="52"/>
      <c r="AP1173" s="52"/>
      <c r="AQ1173" s="52"/>
    </row>
    <row r="1174" spans="1:43">
      <c r="A1174" s="150"/>
      <c r="B1174" s="477"/>
      <c r="C1174" s="125"/>
      <c r="D1174" s="478"/>
      <c r="E1174" s="478"/>
      <c r="F1174" s="52"/>
      <c r="G1174" s="52"/>
      <c r="H1174" s="52"/>
      <c r="I1174" s="52"/>
      <c r="J1174" s="52"/>
      <c r="K1174" s="52"/>
      <c r="L1174" s="52"/>
      <c r="M1174" s="52"/>
      <c r="N1174" s="52"/>
      <c r="O1174" s="52"/>
      <c r="P1174" s="52"/>
      <c r="Q1174" s="52"/>
      <c r="R1174" s="52"/>
      <c r="S1174" s="52"/>
      <c r="T1174" s="52"/>
      <c r="U1174" s="52"/>
      <c r="V1174" s="52"/>
      <c r="W1174" s="52"/>
      <c r="X1174" s="52"/>
      <c r="Y1174" s="52"/>
      <c r="Z1174" s="52"/>
      <c r="AA1174" s="52"/>
      <c r="AB1174" s="52"/>
      <c r="AC1174" s="52"/>
      <c r="AD1174" s="52"/>
      <c r="AE1174" s="52"/>
      <c r="AF1174" s="52"/>
      <c r="AG1174" s="52"/>
      <c r="AH1174" s="52"/>
      <c r="AI1174" s="52"/>
      <c r="AJ1174" s="52"/>
      <c r="AK1174" s="52"/>
      <c r="AL1174" s="52"/>
      <c r="AM1174" s="52"/>
      <c r="AN1174" s="52"/>
      <c r="AO1174" s="52"/>
      <c r="AP1174" s="52"/>
      <c r="AQ1174" s="52"/>
    </row>
    <row r="1175" spans="1:43">
      <c r="A1175" s="150"/>
      <c r="B1175" s="477"/>
      <c r="C1175" s="125"/>
      <c r="D1175" s="478"/>
      <c r="E1175" s="478"/>
      <c r="F1175" s="52"/>
      <c r="G1175" s="52"/>
      <c r="H1175" s="52"/>
      <c r="I1175" s="52"/>
      <c r="J1175" s="52"/>
      <c r="K1175" s="52"/>
      <c r="L1175" s="52"/>
      <c r="M1175" s="52"/>
      <c r="N1175" s="52"/>
      <c r="O1175" s="52"/>
      <c r="P1175" s="52"/>
      <c r="Q1175" s="52"/>
      <c r="R1175" s="52"/>
      <c r="S1175" s="52"/>
      <c r="T1175" s="52"/>
      <c r="U1175" s="52"/>
      <c r="V1175" s="52"/>
      <c r="W1175" s="52"/>
      <c r="X1175" s="52"/>
      <c r="Y1175" s="52"/>
      <c r="Z1175" s="52"/>
      <c r="AA1175" s="52"/>
      <c r="AB1175" s="52"/>
      <c r="AC1175" s="52"/>
      <c r="AD1175" s="52"/>
      <c r="AE1175" s="52"/>
      <c r="AF1175" s="52"/>
      <c r="AG1175" s="52"/>
      <c r="AH1175" s="52"/>
      <c r="AI1175" s="52"/>
      <c r="AJ1175" s="52"/>
      <c r="AK1175" s="52"/>
      <c r="AL1175" s="52"/>
      <c r="AM1175" s="52"/>
      <c r="AN1175" s="52"/>
      <c r="AO1175" s="52"/>
      <c r="AP1175" s="52"/>
      <c r="AQ1175" s="52"/>
    </row>
    <row r="1176" spans="1:43">
      <c r="A1176" s="150"/>
      <c r="B1176" s="477"/>
      <c r="C1176" s="125"/>
      <c r="D1176" s="478"/>
      <c r="E1176" s="478"/>
      <c r="F1176" s="52"/>
      <c r="G1176" s="52"/>
      <c r="H1176" s="52"/>
      <c r="I1176" s="52"/>
      <c r="J1176" s="52"/>
      <c r="K1176" s="52"/>
      <c r="L1176" s="52"/>
      <c r="M1176" s="52"/>
      <c r="N1176" s="52"/>
      <c r="O1176" s="52"/>
      <c r="P1176" s="52"/>
      <c r="Q1176" s="52"/>
      <c r="R1176" s="52"/>
      <c r="S1176" s="52"/>
      <c r="T1176" s="52"/>
      <c r="U1176" s="52"/>
      <c r="V1176" s="52"/>
      <c r="W1176" s="52"/>
      <c r="X1176" s="52"/>
      <c r="Y1176" s="52"/>
      <c r="Z1176" s="52"/>
      <c r="AA1176" s="52"/>
      <c r="AB1176" s="52"/>
      <c r="AC1176" s="52"/>
      <c r="AD1176" s="52"/>
      <c r="AE1176" s="52"/>
      <c r="AF1176" s="52"/>
      <c r="AG1176" s="52"/>
      <c r="AH1176" s="52"/>
      <c r="AI1176" s="52"/>
      <c r="AJ1176" s="52"/>
      <c r="AK1176" s="52"/>
      <c r="AL1176" s="52"/>
      <c r="AM1176" s="52"/>
      <c r="AN1176" s="52"/>
      <c r="AO1176" s="52"/>
      <c r="AP1176" s="52"/>
      <c r="AQ1176" s="52"/>
    </row>
    <row r="1177" spans="1:43">
      <c r="A1177" s="150"/>
      <c r="B1177" s="477"/>
      <c r="C1177" s="125"/>
      <c r="D1177" s="478"/>
      <c r="E1177" s="478"/>
      <c r="F1177" s="52"/>
      <c r="G1177" s="52"/>
      <c r="H1177" s="52"/>
      <c r="I1177" s="52"/>
      <c r="J1177" s="52"/>
      <c r="K1177" s="52"/>
      <c r="L1177" s="52"/>
      <c r="M1177" s="52"/>
      <c r="N1177" s="52"/>
      <c r="O1177" s="52"/>
      <c r="P1177" s="52"/>
      <c r="Q1177" s="52"/>
      <c r="R1177" s="52"/>
      <c r="S1177" s="52"/>
      <c r="T1177" s="52"/>
      <c r="U1177" s="52"/>
      <c r="V1177" s="52"/>
      <c r="W1177" s="52"/>
      <c r="X1177" s="52"/>
      <c r="Y1177" s="52"/>
      <c r="Z1177" s="52"/>
      <c r="AA1177" s="52"/>
      <c r="AB1177" s="52"/>
      <c r="AC1177" s="52"/>
      <c r="AD1177" s="52"/>
      <c r="AE1177" s="52"/>
      <c r="AF1177" s="52"/>
      <c r="AG1177" s="52"/>
      <c r="AH1177" s="52"/>
      <c r="AI1177" s="52"/>
      <c r="AJ1177" s="52"/>
      <c r="AK1177" s="52"/>
      <c r="AL1177" s="52"/>
      <c r="AM1177" s="52"/>
      <c r="AN1177" s="52"/>
      <c r="AO1177" s="52"/>
      <c r="AP1177" s="52"/>
      <c r="AQ1177" s="52"/>
    </row>
    <row r="1178" spans="1:43">
      <c r="A1178" s="150"/>
      <c r="B1178" s="477"/>
      <c r="C1178" s="125"/>
      <c r="D1178" s="478"/>
      <c r="E1178" s="478"/>
      <c r="F1178" s="52"/>
      <c r="G1178" s="52"/>
      <c r="H1178" s="52"/>
      <c r="I1178" s="52"/>
      <c r="J1178" s="52"/>
      <c r="K1178" s="52"/>
      <c r="L1178" s="52"/>
      <c r="M1178" s="52"/>
      <c r="N1178" s="52"/>
      <c r="O1178" s="52"/>
      <c r="P1178" s="52"/>
      <c r="Q1178" s="52"/>
      <c r="R1178" s="52"/>
      <c r="S1178" s="52"/>
      <c r="T1178" s="52"/>
      <c r="U1178" s="52"/>
      <c r="V1178" s="52"/>
      <c r="W1178" s="52"/>
      <c r="X1178" s="52"/>
      <c r="Y1178" s="52"/>
      <c r="Z1178" s="52"/>
      <c r="AA1178" s="52"/>
      <c r="AB1178" s="52"/>
      <c r="AC1178" s="52"/>
      <c r="AD1178" s="52"/>
      <c r="AE1178" s="52"/>
      <c r="AF1178" s="52"/>
      <c r="AG1178" s="52"/>
      <c r="AH1178" s="52"/>
      <c r="AI1178" s="52"/>
      <c r="AJ1178" s="52"/>
      <c r="AK1178" s="52"/>
      <c r="AL1178" s="52"/>
      <c r="AM1178" s="52"/>
      <c r="AN1178" s="52"/>
      <c r="AO1178" s="52"/>
      <c r="AP1178" s="52"/>
      <c r="AQ1178" s="52"/>
    </row>
    <row r="1179" spans="1:43">
      <c r="A1179" s="150"/>
      <c r="B1179" s="477"/>
      <c r="C1179" s="125"/>
      <c r="D1179" s="478"/>
      <c r="E1179" s="478"/>
      <c r="F1179" s="52"/>
      <c r="G1179" s="52"/>
      <c r="H1179" s="52"/>
      <c r="I1179" s="52"/>
      <c r="J1179" s="52"/>
      <c r="K1179" s="52"/>
      <c r="L1179" s="52"/>
      <c r="M1179" s="52"/>
      <c r="N1179" s="52"/>
      <c r="O1179" s="52"/>
      <c r="P1179" s="52"/>
      <c r="Q1179" s="52"/>
      <c r="R1179" s="52"/>
      <c r="S1179" s="52"/>
      <c r="T1179" s="52"/>
      <c r="U1179" s="52"/>
      <c r="V1179" s="52"/>
      <c r="W1179" s="52"/>
      <c r="X1179" s="52"/>
      <c r="Y1179" s="52"/>
      <c r="Z1179" s="52"/>
      <c r="AA1179" s="52"/>
      <c r="AB1179" s="52"/>
      <c r="AC1179" s="52"/>
      <c r="AD1179" s="52"/>
      <c r="AE1179" s="52"/>
      <c r="AF1179" s="52"/>
      <c r="AG1179" s="52"/>
      <c r="AH1179" s="52"/>
      <c r="AI1179" s="52"/>
      <c r="AJ1179" s="52"/>
      <c r="AK1179" s="52"/>
      <c r="AL1179" s="52"/>
      <c r="AM1179" s="52"/>
      <c r="AN1179" s="52"/>
      <c r="AO1179" s="52"/>
      <c r="AP1179" s="52"/>
      <c r="AQ1179" s="52"/>
    </row>
    <row r="1180" spans="1:43">
      <c r="A1180" s="150"/>
      <c r="B1180" s="477"/>
      <c r="C1180" s="125"/>
      <c r="D1180" s="478"/>
      <c r="E1180" s="478"/>
      <c r="F1180" s="52"/>
      <c r="G1180" s="52"/>
      <c r="H1180" s="52"/>
      <c r="I1180" s="52"/>
      <c r="J1180" s="52"/>
      <c r="K1180" s="52"/>
      <c r="L1180" s="52"/>
      <c r="M1180" s="52"/>
      <c r="N1180" s="52"/>
      <c r="O1180" s="52"/>
      <c r="P1180" s="52"/>
      <c r="Q1180" s="52"/>
      <c r="R1180" s="52"/>
      <c r="S1180" s="52"/>
      <c r="T1180" s="52"/>
      <c r="U1180" s="52"/>
      <c r="V1180" s="52"/>
      <c r="W1180" s="52"/>
      <c r="X1180" s="52"/>
      <c r="Y1180" s="52"/>
      <c r="Z1180" s="52"/>
      <c r="AA1180" s="52"/>
      <c r="AB1180" s="52"/>
      <c r="AC1180" s="52"/>
      <c r="AD1180" s="52"/>
      <c r="AE1180" s="52"/>
      <c r="AF1180" s="52"/>
      <c r="AG1180" s="52"/>
      <c r="AH1180" s="52"/>
      <c r="AI1180" s="52"/>
      <c r="AJ1180" s="52"/>
      <c r="AK1180" s="52"/>
      <c r="AL1180" s="52"/>
      <c r="AM1180" s="52"/>
      <c r="AN1180" s="52"/>
      <c r="AO1180" s="52"/>
      <c r="AP1180" s="52"/>
      <c r="AQ1180" s="52"/>
    </row>
    <row r="1181" spans="1:43">
      <c r="A1181" s="150"/>
      <c r="B1181" s="477"/>
      <c r="C1181" s="125"/>
      <c r="D1181" s="478"/>
      <c r="E1181" s="478"/>
      <c r="F1181" s="52"/>
      <c r="G1181" s="52"/>
      <c r="H1181" s="52"/>
      <c r="I1181" s="52"/>
      <c r="J1181" s="52"/>
      <c r="K1181" s="52"/>
      <c r="L1181" s="52"/>
      <c r="M1181" s="52"/>
      <c r="N1181" s="52"/>
      <c r="O1181" s="52"/>
      <c r="P1181" s="52"/>
      <c r="Q1181" s="52"/>
      <c r="R1181" s="52"/>
      <c r="S1181" s="52"/>
      <c r="T1181" s="52"/>
      <c r="U1181" s="52"/>
      <c r="V1181" s="52"/>
      <c r="W1181" s="52"/>
      <c r="X1181" s="52"/>
      <c r="Y1181" s="52"/>
      <c r="Z1181" s="52"/>
      <c r="AA1181" s="52"/>
      <c r="AB1181" s="52"/>
      <c r="AC1181" s="52"/>
      <c r="AD1181" s="52"/>
      <c r="AE1181" s="52"/>
      <c r="AF1181" s="52"/>
      <c r="AG1181" s="52"/>
      <c r="AH1181" s="52"/>
      <c r="AI1181" s="52"/>
      <c r="AJ1181" s="52"/>
      <c r="AK1181" s="52"/>
      <c r="AL1181" s="52"/>
      <c r="AM1181" s="52"/>
      <c r="AN1181" s="52"/>
      <c r="AO1181" s="52"/>
      <c r="AP1181" s="52"/>
      <c r="AQ1181" s="52"/>
    </row>
    <row r="1182" spans="1:43">
      <c r="A1182" s="150"/>
      <c r="B1182" s="477"/>
      <c r="C1182" s="125"/>
      <c r="D1182" s="478"/>
      <c r="E1182" s="478"/>
      <c r="F1182" s="52"/>
      <c r="G1182" s="52"/>
      <c r="H1182" s="52"/>
      <c r="I1182" s="52"/>
      <c r="J1182" s="52"/>
      <c r="K1182" s="52"/>
      <c r="L1182" s="52"/>
      <c r="M1182" s="52"/>
      <c r="N1182" s="52"/>
      <c r="O1182" s="52"/>
      <c r="P1182" s="52"/>
      <c r="Q1182" s="52"/>
      <c r="R1182" s="52"/>
      <c r="S1182" s="52"/>
      <c r="T1182" s="52"/>
      <c r="U1182" s="52"/>
      <c r="V1182" s="52"/>
      <c r="W1182" s="52"/>
      <c r="X1182" s="52"/>
      <c r="Y1182" s="52"/>
      <c r="Z1182" s="52"/>
      <c r="AA1182" s="52"/>
      <c r="AB1182" s="52"/>
      <c r="AC1182" s="52"/>
      <c r="AD1182" s="52"/>
      <c r="AE1182" s="52"/>
      <c r="AF1182" s="52"/>
      <c r="AG1182" s="52"/>
      <c r="AH1182" s="52"/>
      <c r="AI1182" s="52"/>
      <c r="AJ1182" s="52"/>
      <c r="AK1182" s="52"/>
      <c r="AL1182" s="52"/>
      <c r="AM1182" s="52"/>
      <c r="AN1182" s="52"/>
      <c r="AO1182" s="52"/>
      <c r="AP1182" s="52"/>
      <c r="AQ1182" s="52"/>
    </row>
    <row r="1183" spans="1:43">
      <c r="A1183" s="150"/>
      <c r="B1183" s="477"/>
      <c r="C1183" s="125"/>
      <c r="D1183" s="478"/>
      <c r="E1183" s="478"/>
      <c r="F1183" s="52"/>
      <c r="G1183" s="52"/>
      <c r="H1183" s="52"/>
      <c r="I1183" s="52"/>
      <c r="J1183" s="52"/>
      <c r="K1183" s="52"/>
      <c r="L1183" s="52"/>
      <c r="M1183" s="52"/>
      <c r="N1183" s="52"/>
      <c r="O1183" s="52"/>
      <c r="P1183" s="52"/>
      <c r="Q1183" s="52"/>
      <c r="R1183" s="52"/>
      <c r="S1183" s="52"/>
      <c r="T1183" s="52"/>
      <c r="U1183" s="52"/>
      <c r="V1183" s="52"/>
      <c r="W1183" s="52"/>
      <c r="X1183" s="52"/>
      <c r="Y1183" s="52"/>
      <c r="Z1183" s="52"/>
      <c r="AA1183" s="52"/>
      <c r="AB1183" s="52"/>
      <c r="AC1183" s="52"/>
      <c r="AD1183" s="52"/>
      <c r="AE1183" s="52"/>
      <c r="AF1183" s="52"/>
      <c r="AG1183" s="52"/>
      <c r="AH1183" s="52"/>
      <c r="AI1183" s="52"/>
      <c r="AJ1183" s="52"/>
      <c r="AK1183" s="52"/>
      <c r="AL1183" s="52"/>
      <c r="AM1183" s="52"/>
      <c r="AN1183" s="52"/>
      <c r="AO1183" s="52"/>
      <c r="AP1183" s="52"/>
      <c r="AQ1183" s="52"/>
    </row>
    <row r="1184" spans="1:43">
      <c r="A1184" s="150"/>
      <c r="B1184" s="477"/>
      <c r="C1184" s="125"/>
      <c r="D1184" s="478"/>
      <c r="E1184" s="478"/>
      <c r="F1184" s="52"/>
      <c r="G1184" s="52"/>
      <c r="H1184" s="52"/>
      <c r="I1184" s="52"/>
      <c r="J1184" s="52"/>
      <c r="K1184" s="52"/>
      <c r="L1184" s="52"/>
      <c r="M1184" s="52"/>
      <c r="N1184" s="52"/>
      <c r="O1184" s="52"/>
      <c r="P1184" s="52"/>
      <c r="Q1184" s="52"/>
      <c r="R1184" s="52"/>
      <c r="S1184" s="52"/>
      <c r="T1184" s="52"/>
      <c r="U1184" s="52"/>
      <c r="V1184" s="52"/>
      <c r="W1184" s="52"/>
      <c r="X1184" s="52"/>
      <c r="Y1184" s="52"/>
      <c r="Z1184" s="52"/>
      <c r="AA1184" s="52"/>
      <c r="AB1184" s="52"/>
      <c r="AC1184" s="52"/>
      <c r="AD1184" s="52"/>
      <c r="AE1184" s="52"/>
      <c r="AF1184" s="52"/>
      <c r="AG1184" s="52"/>
      <c r="AH1184" s="52"/>
      <c r="AI1184" s="52"/>
      <c r="AJ1184" s="52"/>
      <c r="AK1184" s="52"/>
      <c r="AL1184" s="52"/>
      <c r="AM1184" s="52"/>
      <c r="AN1184" s="52"/>
      <c r="AO1184" s="52"/>
      <c r="AP1184" s="52"/>
      <c r="AQ1184" s="52"/>
    </row>
    <row r="1185" spans="1:43">
      <c r="A1185" s="150"/>
      <c r="B1185" s="477"/>
      <c r="C1185" s="125"/>
      <c r="D1185" s="478"/>
      <c r="E1185" s="478"/>
      <c r="F1185" s="52"/>
      <c r="G1185" s="52"/>
      <c r="H1185" s="52"/>
      <c r="I1185" s="52"/>
      <c r="J1185" s="52"/>
      <c r="K1185" s="52"/>
      <c r="L1185" s="52"/>
      <c r="M1185" s="52"/>
      <c r="N1185" s="52"/>
      <c r="O1185" s="52"/>
      <c r="P1185" s="52"/>
      <c r="Q1185" s="52"/>
      <c r="R1185" s="52"/>
      <c r="S1185" s="52"/>
      <c r="T1185" s="52"/>
      <c r="U1185" s="52"/>
      <c r="V1185" s="52"/>
      <c r="W1185" s="52"/>
      <c r="X1185" s="52"/>
      <c r="Y1185" s="52"/>
      <c r="Z1185" s="52"/>
      <c r="AA1185" s="52"/>
      <c r="AB1185" s="52"/>
      <c r="AC1185" s="52"/>
      <c r="AD1185" s="52"/>
      <c r="AE1185" s="52"/>
      <c r="AF1185" s="52"/>
      <c r="AG1185" s="52"/>
      <c r="AH1185" s="52"/>
      <c r="AI1185" s="52"/>
      <c r="AJ1185" s="52"/>
      <c r="AK1185" s="52"/>
      <c r="AL1185" s="52"/>
      <c r="AM1185" s="52"/>
      <c r="AN1185" s="52"/>
      <c r="AO1185" s="52"/>
      <c r="AP1185" s="52"/>
      <c r="AQ1185" s="52"/>
    </row>
    <row r="1186" spans="1:43">
      <c r="A1186" s="150"/>
      <c r="B1186" s="477"/>
      <c r="C1186" s="125"/>
      <c r="D1186" s="478"/>
      <c r="E1186" s="478"/>
      <c r="F1186" s="52"/>
      <c r="G1186" s="52"/>
      <c r="H1186" s="52"/>
      <c r="I1186" s="52"/>
      <c r="J1186" s="52"/>
      <c r="K1186" s="52"/>
      <c r="L1186" s="52"/>
      <c r="M1186" s="52"/>
      <c r="N1186" s="52"/>
      <c r="O1186" s="52"/>
      <c r="P1186" s="52"/>
      <c r="Q1186" s="52"/>
      <c r="R1186" s="52"/>
      <c r="S1186" s="52"/>
      <c r="T1186" s="52"/>
      <c r="U1186" s="52"/>
      <c r="V1186" s="52"/>
      <c r="W1186" s="52"/>
      <c r="X1186" s="52"/>
      <c r="Y1186" s="52"/>
      <c r="Z1186" s="52"/>
      <c r="AA1186" s="52"/>
      <c r="AB1186" s="52"/>
      <c r="AC1186" s="52"/>
      <c r="AD1186" s="52"/>
      <c r="AE1186" s="52"/>
      <c r="AF1186" s="52"/>
      <c r="AG1186" s="52"/>
      <c r="AH1186" s="52"/>
      <c r="AI1186" s="52"/>
      <c r="AJ1186" s="52"/>
      <c r="AK1186" s="52"/>
      <c r="AL1186" s="52"/>
      <c r="AM1186" s="52"/>
      <c r="AN1186" s="52"/>
      <c r="AO1186" s="52"/>
      <c r="AP1186" s="52"/>
      <c r="AQ1186" s="52"/>
    </row>
    <row r="1187" spans="1:43">
      <c r="A1187" s="150"/>
      <c r="B1187" s="477"/>
      <c r="C1187" s="125"/>
      <c r="D1187" s="478"/>
      <c r="E1187" s="478"/>
      <c r="F1187" s="52"/>
      <c r="G1187" s="52"/>
      <c r="H1187" s="52"/>
      <c r="I1187" s="52"/>
      <c r="J1187" s="52"/>
      <c r="K1187" s="52"/>
      <c r="L1187" s="52"/>
      <c r="M1187" s="52"/>
      <c r="N1187" s="52"/>
      <c r="O1187" s="52"/>
      <c r="P1187" s="52"/>
      <c r="Q1187" s="52"/>
      <c r="R1187" s="52"/>
      <c r="S1187" s="52"/>
      <c r="T1187" s="52"/>
      <c r="U1187" s="52"/>
      <c r="V1187" s="52"/>
      <c r="W1187" s="52"/>
      <c r="X1187" s="52"/>
      <c r="Y1187" s="52"/>
      <c r="Z1187" s="52"/>
      <c r="AA1187" s="52"/>
      <c r="AB1187" s="52"/>
      <c r="AC1187" s="52"/>
      <c r="AD1187" s="52"/>
      <c r="AE1187" s="52"/>
      <c r="AF1187" s="52"/>
      <c r="AG1187" s="52"/>
      <c r="AH1187" s="52"/>
      <c r="AI1187" s="52"/>
      <c r="AJ1187" s="52"/>
      <c r="AK1187" s="52"/>
      <c r="AL1187" s="52"/>
      <c r="AM1187" s="52"/>
      <c r="AN1187" s="52"/>
      <c r="AO1187" s="52"/>
      <c r="AP1187" s="52"/>
      <c r="AQ1187" s="52"/>
    </row>
    <row r="1188" spans="1:43">
      <c r="A1188" s="150"/>
      <c r="B1188" s="477"/>
      <c r="C1188" s="125"/>
      <c r="D1188" s="478"/>
      <c r="E1188" s="478"/>
      <c r="F1188" s="52"/>
      <c r="G1188" s="52"/>
      <c r="H1188" s="52"/>
      <c r="I1188" s="52"/>
      <c r="J1188" s="52"/>
      <c r="K1188" s="52"/>
      <c r="L1188" s="52"/>
      <c r="M1188" s="52"/>
      <c r="N1188" s="52"/>
      <c r="O1188" s="52"/>
      <c r="P1188" s="52"/>
      <c r="Q1188" s="52"/>
      <c r="R1188" s="52"/>
      <c r="S1188" s="52"/>
      <c r="T1188" s="52"/>
      <c r="U1188" s="52"/>
      <c r="V1188" s="52"/>
      <c r="W1188" s="52"/>
      <c r="X1188" s="52"/>
      <c r="Y1188" s="52"/>
      <c r="Z1188" s="52"/>
      <c r="AA1188" s="52"/>
      <c r="AB1188" s="52"/>
      <c r="AC1188" s="52"/>
      <c r="AD1188" s="52"/>
      <c r="AE1188" s="52"/>
      <c r="AF1188" s="52"/>
      <c r="AG1188" s="52"/>
      <c r="AH1188" s="52"/>
      <c r="AI1188" s="52"/>
      <c r="AJ1188" s="52"/>
      <c r="AK1188" s="52"/>
      <c r="AL1188" s="52"/>
      <c r="AM1188" s="52"/>
      <c r="AN1188" s="52"/>
      <c r="AO1188" s="52"/>
      <c r="AP1188" s="52"/>
      <c r="AQ1188" s="52"/>
    </row>
    <row r="1189" spans="1:43">
      <c r="A1189" s="150"/>
      <c r="B1189" s="477"/>
      <c r="C1189" s="125"/>
      <c r="D1189" s="478"/>
      <c r="E1189" s="478"/>
      <c r="F1189" s="52"/>
      <c r="G1189" s="52"/>
      <c r="H1189" s="52"/>
      <c r="I1189" s="52"/>
      <c r="J1189" s="52"/>
      <c r="K1189" s="52"/>
      <c r="L1189" s="52"/>
      <c r="M1189" s="52"/>
      <c r="N1189" s="52"/>
      <c r="O1189" s="52"/>
      <c r="P1189" s="52"/>
      <c r="Q1189" s="52"/>
      <c r="R1189" s="52"/>
      <c r="S1189" s="52"/>
      <c r="T1189" s="52"/>
      <c r="U1189" s="52"/>
      <c r="V1189" s="52"/>
      <c r="W1189" s="52"/>
      <c r="X1189" s="52"/>
      <c r="Y1189" s="52"/>
      <c r="Z1189" s="52"/>
      <c r="AA1189" s="52"/>
      <c r="AB1189" s="52"/>
      <c r="AC1189" s="52"/>
      <c r="AD1189" s="52"/>
      <c r="AE1189" s="52"/>
      <c r="AF1189" s="52"/>
      <c r="AG1189" s="52"/>
      <c r="AH1189" s="52"/>
      <c r="AI1189" s="52"/>
      <c r="AJ1189" s="52"/>
      <c r="AK1189" s="52"/>
      <c r="AL1189" s="52"/>
      <c r="AM1189" s="52"/>
      <c r="AN1189" s="52"/>
      <c r="AO1189" s="52"/>
      <c r="AP1189" s="52"/>
      <c r="AQ1189" s="52"/>
    </row>
    <row r="1190" spans="1:43">
      <c r="A1190" s="150"/>
      <c r="B1190" s="477"/>
      <c r="C1190" s="125"/>
      <c r="D1190" s="478"/>
      <c r="E1190" s="478"/>
      <c r="F1190" s="52"/>
      <c r="G1190" s="52"/>
      <c r="H1190" s="52"/>
      <c r="I1190" s="52"/>
      <c r="J1190" s="52"/>
      <c r="K1190" s="52"/>
      <c r="L1190" s="52"/>
      <c r="M1190" s="52"/>
      <c r="N1190" s="52"/>
      <c r="O1190" s="52"/>
      <c r="P1190" s="52"/>
      <c r="Q1190" s="52"/>
      <c r="R1190" s="52"/>
      <c r="S1190" s="52"/>
      <c r="T1190" s="52"/>
      <c r="U1190" s="52"/>
      <c r="V1190" s="52"/>
      <c r="W1190" s="52"/>
      <c r="X1190" s="52"/>
      <c r="Y1190" s="52"/>
      <c r="Z1190" s="52"/>
      <c r="AA1190" s="52"/>
      <c r="AB1190" s="52"/>
      <c r="AC1190" s="52"/>
      <c r="AD1190" s="52"/>
      <c r="AE1190" s="52"/>
      <c r="AF1190" s="52"/>
      <c r="AG1190" s="52"/>
      <c r="AH1190" s="52"/>
      <c r="AI1190" s="52"/>
      <c r="AJ1190" s="52"/>
      <c r="AK1190" s="52"/>
      <c r="AL1190" s="52"/>
      <c r="AM1190" s="52"/>
      <c r="AN1190" s="52"/>
      <c r="AO1190" s="52"/>
      <c r="AP1190" s="52"/>
      <c r="AQ1190" s="52"/>
    </row>
    <row r="1191" spans="1:43">
      <c r="A1191" s="150"/>
      <c r="B1191" s="477"/>
      <c r="C1191" s="125"/>
      <c r="D1191" s="478"/>
      <c r="E1191" s="478"/>
      <c r="F1191" s="52"/>
      <c r="G1191" s="52"/>
      <c r="H1191" s="52"/>
      <c r="I1191" s="52"/>
      <c r="J1191" s="52"/>
      <c r="K1191" s="52"/>
      <c r="L1191" s="52"/>
      <c r="M1191" s="52"/>
      <c r="N1191" s="52"/>
      <c r="O1191" s="52"/>
      <c r="P1191" s="52"/>
      <c r="Q1191" s="52"/>
      <c r="R1191" s="52"/>
      <c r="S1191" s="52"/>
      <c r="T1191" s="52"/>
      <c r="U1191" s="52"/>
      <c r="V1191" s="52"/>
      <c r="W1191" s="52"/>
      <c r="X1191" s="52"/>
      <c r="Y1191" s="52"/>
      <c r="Z1191" s="52"/>
      <c r="AA1191" s="52"/>
      <c r="AB1191" s="52"/>
      <c r="AC1191" s="52"/>
      <c r="AD1191" s="52"/>
      <c r="AE1191" s="52"/>
      <c r="AF1191" s="52"/>
      <c r="AG1191" s="52"/>
      <c r="AH1191" s="52"/>
      <c r="AI1191" s="52"/>
      <c r="AJ1191" s="52"/>
      <c r="AK1191" s="52"/>
      <c r="AL1191" s="52"/>
      <c r="AM1191" s="52"/>
      <c r="AN1191" s="52"/>
      <c r="AO1191" s="52"/>
      <c r="AP1191" s="52"/>
      <c r="AQ1191" s="52"/>
    </row>
    <row r="1192" spans="1:43">
      <c r="A1192" s="150"/>
      <c r="B1192" s="477"/>
      <c r="C1192" s="125"/>
      <c r="D1192" s="478"/>
      <c r="E1192" s="478"/>
      <c r="F1192" s="52"/>
      <c r="G1192" s="52"/>
      <c r="H1192" s="52"/>
      <c r="I1192" s="52"/>
      <c r="J1192" s="52"/>
      <c r="K1192" s="52"/>
      <c r="L1192" s="52"/>
      <c r="M1192" s="52"/>
      <c r="N1192" s="52"/>
      <c r="O1192" s="52"/>
      <c r="P1192" s="52"/>
      <c r="Q1192" s="52"/>
      <c r="R1192" s="52"/>
      <c r="S1192" s="52"/>
      <c r="T1192" s="52"/>
      <c r="U1192" s="52"/>
      <c r="V1192" s="52"/>
      <c r="W1192" s="52"/>
      <c r="X1192" s="52"/>
      <c r="Y1192" s="52"/>
      <c r="Z1192" s="52"/>
      <c r="AA1192" s="52"/>
      <c r="AB1192" s="52"/>
      <c r="AC1192" s="52"/>
      <c r="AD1192" s="52"/>
      <c r="AE1192" s="52"/>
      <c r="AF1192" s="52"/>
      <c r="AG1192" s="52"/>
      <c r="AH1192" s="52"/>
      <c r="AI1192" s="52"/>
      <c r="AJ1192" s="52"/>
      <c r="AK1192" s="52"/>
      <c r="AL1192" s="52"/>
      <c r="AM1192" s="52"/>
      <c r="AN1192" s="52"/>
      <c r="AO1192" s="52"/>
      <c r="AP1192" s="52"/>
      <c r="AQ1192" s="52"/>
    </row>
    <row r="1193" spans="1:43">
      <c r="A1193" s="150"/>
      <c r="B1193" s="477"/>
      <c r="C1193" s="125"/>
      <c r="D1193" s="478"/>
      <c r="E1193" s="478"/>
      <c r="F1193" s="52"/>
      <c r="G1193" s="52"/>
      <c r="H1193" s="52"/>
      <c r="I1193" s="52"/>
      <c r="J1193" s="52"/>
      <c r="K1193" s="52"/>
      <c r="L1193" s="52"/>
      <c r="M1193" s="52"/>
      <c r="N1193" s="52"/>
      <c r="O1193" s="52"/>
      <c r="P1193" s="52"/>
      <c r="Q1193" s="52"/>
      <c r="R1193" s="52"/>
      <c r="S1193" s="52"/>
      <c r="T1193" s="52"/>
      <c r="U1193" s="52"/>
      <c r="V1193" s="52"/>
      <c r="W1193" s="52"/>
      <c r="X1193" s="52"/>
      <c r="Y1193" s="52"/>
      <c r="Z1193" s="52"/>
      <c r="AA1193" s="52"/>
      <c r="AB1193" s="52"/>
      <c r="AC1193" s="52"/>
      <c r="AD1193" s="52"/>
      <c r="AE1193" s="52"/>
      <c r="AF1193" s="52"/>
      <c r="AG1193" s="52"/>
      <c r="AH1193" s="52"/>
      <c r="AI1193" s="52"/>
      <c r="AJ1193" s="52"/>
      <c r="AK1193" s="52"/>
      <c r="AL1193" s="52"/>
      <c r="AM1193" s="52"/>
      <c r="AN1193" s="52"/>
      <c r="AO1193" s="52"/>
      <c r="AP1193" s="52"/>
      <c r="AQ1193" s="52"/>
    </row>
    <row r="1194" spans="1:43">
      <c r="A1194" s="150"/>
      <c r="B1194" s="477"/>
      <c r="C1194" s="125"/>
      <c r="D1194" s="478"/>
      <c r="E1194" s="478"/>
      <c r="F1194" s="52"/>
      <c r="G1194" s="52"/>
      <c r="H1194" s="52"/>
      <c r="I1194" s="52"/>
      <c r="J1194" s="52"/>
      <c r="K1194" s="52"/>
      <c r="L1194" s="52"/>
      <c r="M1194" s="52"/>
      <c r="N1194" s="52"/>
      <c r="O1194" s="52"/>
      <c r="P1194" s="52"/>
      <c r="Q1194" s="52"/>
      <c r="R1194" s="52"/>
      <c r="S1194" s="52"/>
      <c r="T1194" s="52"/>
      <c r="U1194" s="52"/>
      <c r="V1194" s="52"/>
      <c r="W1194" s="52"/>
      <c r="X1194" s="52"/>
      <c r="Y1194" s="52"/>
      <c r="Z1194" s="52"/>
      <c r="AA1194" s="52"/>
      <c r="AB1194" s="52"/>
      <c r="AC1194" s="52"/>
      <c r="AD1194" s="52"/>
      <c r="AE1194" s="52"/>
      <c r="AF1194" s="52"/>
      <c r="AG1194" s="52"/>
      <c r="AH1194" s="52"/>
      <c r="AI1194" s="52"/>
      <c r="AJ1194" s="52"/>
      <c r="AK1194" s="52"/>
      <c r="AL1194" s="52"/>
      <c r="AM1194" s="52"/>
      <c r="AN1194" s="52"/>
      <c r="AO1194" s="52"/>
      <c r="AP1194" s="52"/>
      <c r="AQ1194" s="52"/>
    </row>
    <row r="1195" spans="1:43">
      <c r="A1195" s="150"/>
      <c r="B1195" s="477"/>
      <c r="C1195" s="125"/>
      <c r="D1195" s="478"/>
      <c r="E1195" s="478"/>
      <c r="F1195" s="52"/>
      <c r="G1195" s="52"/>
      <c r="H1195" s="52"/>
      <c r="I1195" s="52"/>
      <c r="J1195" s="52"/>
      <c r="K1195" s="52"/>
      <c r="L1195" s="52"/>
      <c r="M1195" s="52"/>
      <c r="N1195" s="52"/>
      <c r="O1195" s="52"/>
      <c r="P1195" s="52"/>
      <c r="Q1195" s="52"/>
      <c r="R1195" s="52"/>
      <c r="S1195" s="52"/>
      <c r="T1195" s="52"/>
      <c r="U1195" s="52"/>
      <c r="V1195" s="52"/>
      <c r="W1195" s="52"/>
      <c r="X1195" s="52"/>
      <c r="Y1195" s="52"/>
      <c r="Z1195" s="52"/>
      <c r="AA1195" s="52"/>
      <c r="AB1195" s="52"/>
      <c r="AC1195" s="52"/>
      <c r="AD1195" s="52"/>
      <c r="AE1195" s="52"/>
      <c r="AF1195" s="52"/>
      <c r="AG1195" s="52"/>
      <c r="AH1195" s="52"/>
      <c r="AI1195" s="52"/>
      <c r="AJ1195" s="52"/>
      <c r="AK1195" s="52"/>
      <c r="AL1195" s="52"/>
      <c r="AM1195" s="52"/>
      <c r="AN1195" s="52"/>
      <c r="AO1195" s="52"/>
      <c r="AP1195" s="52"/>
      <c r="AQ1195" s="52"/>
    </row>
    <row r="1196" spans="1:43">
      <c r="A1196" s="150"/>
      <c r="B1196" s="477"/>
      <c r="C1196" s="125"/>
      <c r="D1196" s="478"/>
      <c r="E1196" s="478"/>
      <c r="F1196" s="52"/>
      <c r="G1196" s="52"/>
      <c r="H1196" s="52"/>
      <c r="I1196" s="52"/>
      <c r="J1196" s="52"/>
      <c r="K1196" s="52"/>
      <c r="L1196" s="52"/>
      <c r="M1196" s="52"/>
      <c r="N1196" s="52"/>
      <c r="O1196" s="52"/>
      <c r="P1196" s="52"/>
      <c r="Q1196" s="52"/>
      <c r="R1196" s="52"/>
      <c r="S1196" s="52"/>
      <c r="T1196" s="52"/>
      <c r="U1196" s="52"/>
      <c r="V1196" s="52"/>
      <c r="W1196" s="52"/>
      <c r="X1196" s="52"/>
      <c r="Y1196" s="52"/>
      <c r="Z1196" s="52"/>
      <c r="AA1196" s="52"/>
      <c r="AB1196" s="52"/>
      <c r="AC1196" s="52"/>
      <c r="AD1196" s="52"/>
      <c r="AE1196" s="52"/>
      <c r="AF1196" s="52"/>
      <c r="AG1196" s="52"/>
      <c r="AH1196" s="52"/>
      <c r="AI1196" s="52"/>
      <c r="AJ1196" s="52"/>
      <c r="AK1196" s="52"/>
      <c r="AL1196" s="52"/>
      <c r="AM1196" s="52"/>
      <c r="AN1196" s="52"/>
      <c r="AO1196" s="52"/>
      <c r="AP1196" s="52"/>
      <c r="AQ1196" s="52"/>
    </row>
    <row r="1197" spans="1:43">
      <c r="A1197" s="150"/>
      <c r="B1197" s="477"/>
      <c r="C1197" s="125"/>
      <c r="D1197" s="478"/>
      <c r="E1197" s="478"/>
      <c r="F1197" s="52"/>
      <c r="G1197" s="52"/>
      <c r="H1197" s="52"/>
      <c r="I1197" s="52"/>
      <c r="J1197" s="52"/>
      <c r="K1197" s="52"/>
      <c r="L1197" s="52"/>
      <c r="M1197" s="52"/>
      <c r="N1197" s="52"/>
      <c r="O1197" s="52"/>
      <c r="P1197" s="52"/>
      <c r="Q1197" s="52"/>
      <c r="R1197" s="52"/>
      <c r="S1197" s="52"/>
      <c r="T1197" s="52"/>
      <c r="U1197" s="52"/>
      <c r="V1197" s="52"/>
      <c r="W1197" s="52"/>
      <c r="X1197" s="52"/>
      <c r="Y1197" s="52"/>
      <c r="Z1197" s="52"/>
      <c r="AA1197" s="52"/>
      <c r="AB1197" s="52"/>
      <c r="AC1197" s="52"/>
      <c r="AD1197" s="52"/>
      <c r="AE1197" s="52"/>
      <c r="AF1197" s="52"/>
      <c r="AG1197" s="52"/>
      <c r="AH1197" s="52"/>
      <c r="AI1197" s="52"/>
      <c r="AJ1197" s="52"/>
      <c r="AK1197" s="52"/>
      <c r="AL1197" s="52"/>
      <c r="AM1197" s="52"/>
      <c r="AN1197" s="52"/>
      <c r="AO1197" s="52"/>
      <c r="AP1197" s="52"/>
      <c r="AQ1197" s="52"/>
    </row>
    <row r="1198" spans="1:43">
      <c r="A1198" s="150"/>
      <c r="B1198" s="477"/>
      <c r="C1198" s="125"/>
      <c r="D1198" s="478"/>
      <c r="E1198" s="478"/>
      <c r="F1198" s="52"/>
      <c r="G1198" s="52"/>
      <c r="H1198" s="52"/>
      <c r="I1198" s="52"/>
      <c r="J1198" s="52"/>
      <c r="K1198" s="52"/>
      <c r="L1198" s="52"/>
      <c r="M1198" s="52"/>
      <c r="N1198" s="52"/>
      <c r="O1198" s="52"/>
      <c r="P1198" s="52"/>
      <c r="Q1198" s="52"/>
      <c r="R1198" s="52"/>
      <c r="S1198" s="52"/>
      <c r="T1198" s="52"/>
      <c r="U1198" s="52"/>
      <c r="V1198" s="52"/>
      <c r="W1198" s="52"/>
      <c r="X1198" s="52"/>
      <c r="Y1198" s="52"/>
      <c r="Z1198" s="52"/>
      <c r="AA1198" s="52"/>
      <c r="AB1198" s="52"/>
      <c r="AC1198" s="52"/>
      <c r="AD1198" s="52"/>
      <c r="AE1198" s="52"/>
      <c r="AF1198" s="52"/>
      <c r="AG1198" s="52"/>
      <c r="AH1198" s="52"/>
      <c r="AI1198" s="52"/>
      <c r="AJ1198" s="52"/>
      <c r="AK1198" s="52"/>
      <c r="AL1198" s="52"/>
      <c r="AM1198" s="52"/>
      <c r="AN1198" s="52"/>
      <c r="AO1198" s="52"/>
      <c r="AP1198" s="52"/>
      <c r="AQ1198" s="52"/>
    </row>
    <row r="1199" spans="1:43">
      <c r="A1199" s="150"/>
      <c r="B1199" s="477"/>
      <c r="C1199" s="125"/>
      <c r="D1199" s="478"/>
      <c r="E1199" s="478"/>
      <c r="F1199" s="52"/>
      <c r="G1199" s="52"/>
      <c r="H1199" s="52"/>
      <c r="I1199" s="52"/>
      <c r="J1199" s="52"/>
      <c r="K1199" s="52"/>
      <c r="L1199" s="52"/>
      <c r="M1199" s="52"/>
      <c r="N1199" s="52"/>
      <c r="O1199" s="52"/>
      <c r="P1199" s="52"/>
      <c r="Q1199" s="52"/>
      <c r="R1199" s="52"/>
      <c r="S1199" s="52"/>
      <c r="T1199" s="52"/>
      <c r="U1199" s="52"/>
      <c r="V1199" s="52"/>
      <c r="W1199" s="52"/>
      <c r="X1199" s="52"/>
      <c r="Y1199" s="52"/>
      <c r="Z1199" s="52"/>
      <c r="AA1199" s="52"/>
      <c r="AB1199" s="52"/>
      <c r="AC1199" s="52"/>
      <c r="AD1199" s="52"/>
      <c r="AE1199" s="52"/>
      <c r="AF1199" s="52"/>
      <c r="AG1199" s="52"/>
      <c r="AH1199" s="52"/>
      <c r="AI1199" s="52"/>
      <c r="AJ1199" s="52"/>
      <c r="AK1199" s="52"/>
      <c r="AL1199" s="52"/>
      <c r="AM1199" s="52"/>
      <c r="AN1199" s="52"/>
      <c r="AO1199" s="52"/>
      <c r="AP1199" s="52"/>
      <c r="AQ1199" s="52"/>
    </row>
    <row r="1200" spans="1:43">
      <c r="A1200" s="150"/>
      <c r="B1200" s="477"/>
      <c r="C1200" s="125"/>
      <c r="D1200" s="478"/>
      <c r="E1200" s="478"/>
      <c r="F1200" s="52"/>
      <c r="G1200" s="52"/>
      <c r="H1200" s="52"/>
      <c r="I1200" s="52"/>
      <c r="J1200" s="52"/>
      <c r="K1200" s="52"/>
      <c r="L1200" s="52"/>
      <c r="M1200" s="52"/>
      <c r="N1200" s="52"/>
      <c r="O1200" s="52"/>
      <c r="P1200" s="52"/>
      <c r="Q1200" s="52"/>
      <c r="R1200" s="52"/>
      <c r="S1200" s="52"/>
      <c r="T1200" s="52"/>
      <c r="U1200" s="52"/>
      <c r="V1200" s="52"/>
      <c r="W1200" s="52"/>
      <c r="X1200" s="52"/>
      <c r="Y1200" s="52"/>
      <c r="Z1200" s="52"/>
      <c r="AA1200" s="52"/>
      <c r="AB1200" s="52"/>
      <c r="AC1200" s="52"/>
      <c r="AD1200" s="52"/>
      <c r="AE1200" s="52"/>
      <c r="AF1200" s="52"/>
      <c r="AG1200" s="52"/>
      <c r="AH1200" s="52"/>
      <c r="AI1200" s="52"/>
      <c r="AJ1200" s="52"/>
      <c r="AK1200" s="52"/>
      <c r="AL1200" s="52"/>
      <c r="AM1200" s="52"/>
      <c r="AN1200" s="52"/>
      <c r="AO1200" s="52"/>
      <c r="AP1200" s="52"/>
      <c r="AQ1200" s="52"/>
    </row>
    <row r="1201" spans="1:43">
      <c r="A1201" s="150"/>
      <c r="B1201" s="477"/>
      <c r="C1201" s="125"/>
      <c r="D1201" s="478"/>
      <c r="E1201" s="478"/>
      <c r="F1201" s="52"/>
      <c r="G1201" s="52"/>
      <c r="H1201" s="52"/>
      <c r="I1201" s="52"/>
      <c r="J1201" s="52"/>
      <c r="K1201" s="52"/>
      <c r="L1201" s="52"/>
      <c r="M1201" s="52"/>
      <c r="N1201" s="52"/>
      <c r="O1201" s="52"/>
      <c r="P1201" s="52"/>
      <c r="Q1201" s="52"/>
      <c r="R1201" s="52"/>
      <c r="S1201" s="52"/>
      <c r="T1201" s="52"/>
      <c r="U1201" s="52"/>
      <c r="V1201" s="52"/>
      <c r="W1201" s="52"/>
      <c r="X1201" s="52"/>
      <c r="Y1201" s="52"/>
      <c r="Z1201" s="52"/>
      <c r="AA1201" s="52"/>
      <c r="AB1201" s="52"/>
      <c r="AC1201" s="52"/>
      <c r="AD1201" s="52"/>
      <c r="AE1201" s="52"/>
      <c r="AF1201" s="52"/>
      <c r="AG1201" s="52"/>
      <c r="AH1201" s="52"/>
      <c r="AI1201" s="52"/>
      <c r="AJ1201" s="52"/>
      <c r="AK1201" s="52"/>
      <c r="AL1201" s="52"/>
      <c r="AM1201" s="52"/>
      <c r="AN1201" s="52"/>
      <c r="AO1201" s="52"/>
      <c r="AP1201" s="52"/>
      <c r="AQ1201" s="52"/>
    </row>
    <row r="1202" spans="1:43">
      <c r="A1202" s="150"/>
      <c r="B1202" s="477"/>
      <c r="C1202" s="125"/>
      <c r="D1202" s="478"/>
      <c r="E1202" s="478"/>
      <c r="F1202" s="52"/>
      <c r="G1202" s="52"/>
      <c r="H1202" s="52"/>
      <c r="I1202" s="52"/>
      <c r="J1202" s="52"/>
      <c r="K1202" s="52"/>
      <c r="L1202" s="52"/>
      <c r="M1202" s="52"/>
      <c r="N1202" s="52"/>
      <c r="O1202" s="52"/>
      <c r="P1202" s="52"/>
      <c r="Q1202" s="52"/>
      <c r="R1202" s="52"/>
      <c r="S1202" s="52"/>
      <c r="T1202" s="52"/>
      <c r="U1202" s="52"/>
      <c r="V1202" s="52"/>
      <c r="W1202" s="52"/>
      <c r="X1202" s="52"/>
      <c r="Y1202" s="52"/>
      <c r="Z1202" s="52"/>
      <c r="AA1202" s="52"/>
      <c r="AB1202" s="52"/>
      <c r="AC1202" s="52"/>
      <c r="AD1202" s="52"/>
      <c r="AE1202" s="52"/>
      <c r="AF1202" s="52"/>
      <c r="AG1202" s="52"/>
      <c r="AH1202" s="52"/>
      <c r="AI1202" s="52"/>
      <c r="AJ1202" s="52"/>
      <c r="AK1202" s="52"/>
      <c r="AL1202" s="52"/>
      <c r="AM1202" s="52"/>
      <c r="AN1202" s="52"/>
      <c r="AO1202" s="52"/>
      <c r="AP1202" s="52"/>
      <c r="AQ1202" s="52"/>
    </row>
    <row r="1203" spans="1:43">
      <c r="A1203" s="150"/>
      <c r="B1203" s="477"/>
      <c r="C1203" s="125"/>
      <c r="D1203" s="478"/>
      <c r="E1203" s="478"/>
      <c r="F1203" s="52"/>
      <c r="G1203" s="52"/>
      <c r="H1203" s="52"/>
      <c r="I1203" s="52"/>
      <c r="J1203" s="52"/>
      <c r="K1203" s="52"/>
      <c r="L1203" s="52"/>
      <c r="M1203" s="52"/>
      <c r="N1203" s="52"/>
      <c r="O1203" s="52"/>
      <c r="P1203" s="52"/>
      <c r="Q1203" s="52"/>
      <c r="R1203" s="52"/>
      <c r="S1203" s="52"/>
      <c r="T1203" s="52"/>
      <c r="U1203" s="52"/>
      <c r="V1203" s="52"/>
      <c r="W1203" s="52"/>
      <c r="X1203" s="52"/>
      <c r="Y1203" s="52"/>
      <c r="Z1203" s="52"/>
      <c r="AA1203" s="52"/>
      <c r="AB1203" s="52"/>
      <c r="AC1203" s="52"/>
      <c r="AD1203" s="52"/>
      <c r="AE1203" s="52"/>
      <c r="AF1203" s="52"/>
      <c r="AG1203" s="52"/>
      <c r="AH1203" s="52"/>
      <c r="AI1203" s="52"/>
      <c r="AJ1203" s="52"/>
      <c r="AK1203" s="52"/>
      <c r="AL1203" s="52"/>
      <c r="AM1203" s="52"/>
      <c r="AN1203" s="52"/>
      <c r="AO1203" s="52"/>
      <c r="AP1203" s="52"/>
      <c r="AQ1203" s="52"/>
    </row>
    <row r="1204" spans="1:43">
      <c r="A1204" s="150"/>
      <c r="B1204" s="477"/>
      <c r="C1204" s="125"/>
      <c r="D1204" s="478"/>
      <c r="E1204" s="478"/>
      <c r="F1204" s="52"/>
      <c r="G1204" s="52"/>
      <c r="H1204" s="52"/>
      <c r="I1204" s="52"/>
      <c r="J1204" s="52"/>
      <c r="K1204" s="52"/>
      <c r="L1204" s="52"/>
      <c r="M1204" s="52"/>
      <c r="N1204" s="52"/>
      <c r="O1204" s="52"/>
      <c r="P1204" s="52"/>
      <c r="Q1204" s="52"/>
      <c r="R1204" s="52"/>
      <c r="S1204" s="52"/>
      <c r="T1204" s="52"/>
      <c r="U1204" s="52"/>
      <c r="V1204" s="52"/>
      <c r="W1204" s="52"/>
      <c r="X1204" s="52"/>
      <c r="Y1204" s="52"/>
      <c r="Z1204" s="52"/>
      <c r="AA1204" s="52"/>
      <c r="AB1204" s="52"/>
      <c r="AC1204" s="52"/>
      <c r="AD1204" s="52"/>
      <c r="AE1204" s="52"/>
      <c r="AF1204" s="52"/>
      <c r="AG1204" s="52"/>
      <c r="AH1204" s="52"/>
      <c r="AI1204" s="52"/>
      <c r="AJ1204" s="52"/>
      <c r="AK1204" s="52"/>
      <c r="AL1204" s="52"/>
      <c r="AM1204" s="52"/>
      <c r="AN1204" s="52"/>
      <c r="AO1204" s="52"/>
      <c r="AP1204" s="52"/>
      <c r="AQ1204" s="52"/>
    </row>
    <row r="1205" spans="1:43">
      <c r="A1205" s="150"/>
      <c r="B1205" s="477"/>
      <c r="C1205" s="125"/>
      <c r="D1205" s="478"/>
      <c r="E1205" s="478"/>
      <c r="F1205" s="52"/>
      <c r="G1205" s="52"/>
      <c r="H1205" s="52"/>
      <c r="I1205" s="52"/>
      <c r="J1205" s="52"/>
      <c r="K1205" s="52"/>
      <c r="L1205" s="52"/>
      <c r="M1205" s="52"/>
      <c r="N1205" s="52"/>
      <c r="O1205" s="52"/>
      <c r="P1205" s="52"/>
      <c r="Q1205" s="52"/>
      <c r="R1205" s="52"/>
      <c r="S1205" s="52"/>
      <c r="T1205" s="52"/>
      <c r="U1205" s="52"/>
      <c r="V1205" s="52"/>
      <c r="W1205" s="52"/>
      <c r="X1205" s="52"/>
      <c r="Y1205" s="52"/>
      <c r="Z1205" s="52"/>
      <c r="AA1205" s="52"/>
      <c r="AB1205" s="52"/>
      <c r="AC1205" s="52"/>
      <c r="AD1205" s="52"/>
      <c r="AE1205" s="52"/>
      <c r="AF1205" s="52"/>
      <c r="AG1205" s="52"/>
      <c r="AH1205" s="52"/>
      <c r="AI1205" s="52"/>
      <c r="AJ1205" s="52"/>
      <c r="AK1205" s="52"/>
      <c r="AL1205" s="52"/>
      <c r="AM1205" s="52"/>
      <c r="AN1205" s="52"/>
      <c r="AO1205" s="52"/>
      <c r="AP1205" s="52"/>
      <c r="AQ1205" s="52"/>
    </row>
    <row r="1206" spans="1:43">
      <c r="A1206" s="150"/>
      <c r="B1206" s="477"/>
      <c r="C1206" s="125"/>
      <c r="D1206" s="478"/>
      <c r="E1206" s="478"/>
      <c r="F1206" s="52"/>
      <c r="G1206" s="52"/>
      <c r="H1206" s="52"/>
      <c r="I1206" s="52"/>
      <c r="J1206" s="52"/>
      <c r="K1206" s="52"/>
      <c r="L1206" s="52"/>
      <c r="M1206" s="52"/>
      <c r="N1206" s="52"/>
      <c r="O1206" s="52"/>
      <c r="P1206" s="52"/>
      <c r="Q1206" s="52"/>
      <c r="R1206" s="52"/>
      <c r="S1206" s="52"/>
      <c r="T1206" s="52"/>
      <c r="U1206" s="52"/>
      <c r="V1206" s="52"/>
      <c r="W1206" s="52"/>
      <c r="X1206" s="52"/>
      <c r="Y1206" s="52"/>
      <c r="Z1206" s="52"/>
      <c r="AA1206" s="52"/>
      <c r="AB1206" s="52"/>
      <c r="AC1206" s="52"/>
      <c r="AD1206" s="52"/>
      <c r="AE1206" s="52"/>
      <c r="AF1206" s="52"/>
      <c r="AG1206" s="52"/>
      <c r="AH1206" s="52"/>
      <c r="AI1206" s="52"/>
      <c r="AJ1206" s="52"/>
      <c r="AK1206" s="52"/>
      <c r="AL1206" s="52"/>
      <c r="AM1206" s="52"/>
      <c r="AN1206" s="52"/>
      <c r="AO1206" s="52"/>
      <c r="AP1206" s="52"/>
      <c r="AQ1206" s="52"/>
    </row>
    <row r="1207" spans="1:43">
      <c r="A1207" s="150"/>
      <c r="B1207" s="477"/>
      <c r="C1207" s="125"/>
      <c r="D1207" s="478"/>
      <c r="E1207" s="478"/>
      <c r="F1207" s="52"/>
      <c r="G1207" s="52"/>
      <c r="H1207" s="52"/>
      <c r="I1207" s="52"/>
      <c r="J1207" s="52"/>
      <c r="K1207" s="52"/>
      <c r="L1207" s="52"/>
      <c r="M1207" s="52"/>
      <c r="N1207" s="52"/>
      <c r="O1207" s="52"/>
      <c r="P1207" s="52"/>
      <c r="Q1207" s="52"/>
      <c r="R1207" s="52"/>
      <c r="S1207" s="52"/>
      <c r="T1207" s="52"/>
      <c r="U1207" s="52"/>
      <c r="V1207" s="52"/>
      <c r="W1207" s="52"/>
      <c r="X1207" s="52"/>
      <c r="Y1207" s="52"/>
      <c r="Z1207" s="52"/>
      <c r="AA1207" s="52"/>
      <c r="AB1207" s="52"/>
      <c r="AC1207" s="52"/>
      <c r="AD1207" s="52"/>
      <c r="AE1207" s="52"/>
      <c r="AF1207" s="52"/>
      <c r="AG1207" s="52"/>
      <c r="AH1207" s="52"/>
      <c r="AI1207" s="52"/>
      <c r="AJ1207" s="52"/>
      <c r="AK1207" s="52"/>
      <c r="AL1207" s="52"/>
      <c r="AM1207" s="52"/>
      <c r="AN1207" s="52"/>
      <c r="AO1207" s="52"/>
      <c r="AP1207" s="52"/>
      <c r="AQ1207" s="52"/>
    </row>
    <row r="1208" spans="1:43">
      <c r="A1208" s="150"/>
      <c r="B1208" s="477"/>
      <c r="C1208" s="125"/>
      <c r="D1208" s="478"/>
      <c r="E1208" s="478"/>
      <c r="F1208" s="52"/>
      <c r="G1208" s="52"/>
      <c r="H1208" s="52"/>
      <c r="I1208" s="52"/>
      <c r="J1208" s="52"/>
      <c r="K1208" s="52"/>
      <c r="L1208" s="52"/>
      <c r="M1208" s="52"/>
      <c r="N1208" s="52"/>
      <c r="O1208" s="52"/>
      <c r="P1208" s="52"/>
      <c r="Q1208" s="52"/>
      <c r="R1208" s="52"/>
      <c r="S1208" s="52"/>
      <c r="T1208" s="52"/>
      <c r="U1208" s="52"/>
      <c r="V1208" s="52"/>
      <c r="W1208" s="52"/>
      <c r="X1208" s="52"/>
      <c r="Y1208" s="52"/>
      <c r="Z1208" s="52"/>
      <c r="AA1208" s="52"/>
      <c r="AB1208" s="52"/>
      <c r="AC1208" s="52"/>
      <c r="AD1208" s="52"/>
      <c r="AE1208" s="52"/>
      <c r="AF1208" s="52"/>
      <c r="AG1208" s="52"/>
      <c r="AH1208" s="52"/>
      <c r="AI1208" s="52"/>
      <c r="AJ1208" s="52"/>
      <c r="AK1208" s="52"/>
      <c r="AL1208" s="52"/>
      <c r="AM1208" s="52"/>
      <c r="AN1208" s="52"/>
      <c r="AO1208" s="52"/>
      <c r="AP1208" s="52"/>
      <c r="AQ1208" s="52"/>
    </row>
    <row r="1209" spans="1:43">
      <c r="A1209" s="150"/>
      <c r="B1209" s="477"/>
      <c r="C1209" s="125"/>
      <c r="D1209" s="478"/>
      <c r="E1209" s="478"/>
      <c r="F1209" s="52"/>
      <c r="G1209" s="52"/>
      <c r="H1209" s="52"/>
      <c r="I1209" s="52"/>
      <c r="J1209" s="52"/>
      <c r="K1209" s="52"/>
      <c r="L1209" s="52"/>
      <c r="M1209" s="52"/>
      <c r="N1209" s="52"/>
      <c r="O1209" s="52"/>
      <c r="P1209" s="52"/>
      <c r="Q1209" s="52"/>
      <c r="R1209" s="52"/>
      <c r="S1209" s="52"/>
      <c r="T1209" s="52"/>
      <c r="U1209" s="52"/>
      <c r="V1209" s="52"/>
      <c r="W1209" s="52"/>
      <c r="X1209" s="52"/>
      <c r="Y1209" s="52"/>
      <c r="Z1209" s="52"/>
      <c r="AA1209" s="52"/>
      <c r="AB1209" s="52"/>
      <c r="AC1209" s="52"/>
      <c r="AD1209" s="52"/>
      <c r="AE1209" s="52"/>
      <c r="AF1209" s="52"/>
      <c r="AG1209" s="52"/>
      <c r="AH1209" s="52"/>
      <c r="AI1209" s="52"/>
      <c r="AJ1209" s="52"/>
      <c r="AK1209" s="52"/>
      <c r="AL1209" s="52"/>
      <c r="AM1209" s="52"/>
      <c r="AN1209" s="52"/>
      <c r="AO1209" s="52"/>
      <c r="AP1209" s="52"/>
      <c r="AQ1209" s="52"/>
    </row>
    <row r="1210" spans="1:43">
      <c r="A1210" s="150"/>
      <c r="B1210" s="477"/>
      <c r="C1210" s="125"/>
      <c r="D1210" s="478"/>
      <c r="E1210" s="478"/>
      <c r="F1210" s="52"/>
      <c r="G1210" s="52"/>
      <c r="H1210" s="52"/>
      <c r="I1210" s="52"/>
      <c r="J1210" s="52"/>
      <c r="K1210" s="52"/>
      <c r="L1210" s="52"/>
      <c r="M1210" s="52"/>
      <c r="N1210" s="52"/>
      <c r="O1210" s="52"/>
      <c r="P1210" s="52"/>
      <c r="Q1210" s="52"/>
      <c r="R1210" s="52"/>
      <c r="S1210" s="52"/>
      <c r="T1210" s="52"/>
      <c r="U1210" s="52"/>
      <c r="V1210" s="52"/>
      <c r="W1210" s="52"/>
      <c r="X1210" s="52"/>
      <c r="Y1210" s="52"/>
      <c r="Z1210" s="52"/>
      <c r="AA1210" s="52"/>
      <c r="AB1210" s="52"/>
      <c r="AC1210" s="52"/>
      <c r="AD1210" s="52"/>
      <c r="AE1210" s="52"/>
      <c r="AF1210" s="52"/>
      <c r="AG1210" s="52"/>
      <c r="AH1210" s="52"/>
      <c r="AI1210" s="52"/>
      <c r="AJ1210" s="52"/>
      <c r="AK1210" s="52"/>
      <c r="AL1210" s="52"/>
      <c r="AM1210" s="52"/>
      <c r="AN1210" s="52"/>
      <c r="AO1210" s="52"/>
      <c r="AP1210" s="52"/>
      <c r="AQ1210" s="52"/>
    </row>
    <row r="1211" spans="1:43">
      <c r="A1211" s="150"/>
      <c r="B1211" s="477"/>
      <c r="C1211" s="125"/>
      <c r="D1211" s="478"/>
      <c r="E1211" s="478"/>
      <c r="F1211" s="52"/>
      <c r="G1211" s="52"/>
      <c r="H1211" s="52"/>
      <c r="I1211" s="52"/>
      <c r="J1211" s="52"/>
      <c r="K1211" s="52"/>
      <c r="L1211" s="52"/>
      <c r="M1211" s="52"/>
      <c r="N1211" s="52"/>
      <c r="O1211" s="52"/>
      <c r="P1211" s="52"/>
      <c r="Q1211" s="52"/>
      <c r="R1211" s="52"/>
      <c r="S1211" s="52"/>
      <c r="T1211" s="52"/>
      <c r="U1211" s="52"/>
      <c r="V1211" s="52"/>
      <c r="W1211" s="52"/>
      <c r="X1211" s="52"/>
      <c r="Y1211" s="52"/>
      <c r="Z1211" s="52"/>
      <c r="AA1211" s="52"/>
      <c r="AB1211" s="52"/>
      <c r="AC1211" s="52"/>
      <c r="AD1211" s="52"/>
      <c r="AE1211" s="52"/>
      <c r="AF1211" s="52"/>
      <c r="AG1211" s="52"/>
      <c r="AH1211" s="52"/>
      <c r="AI1211" s="52"/>
      <c r="AJ1211" s="52"/>
      <c r="AK1211" s="52"/>
      <c r="AL1211" s="52"/>
      <c r="AM1211" s="52"/>
      <c r="AN1211" s="52"/>
      <c r="AO1211" s="52"/>
      <c r="AP1211" s="52"/>
      <c r="AQ1211" s="52"/>
    </row>
    <row r="1212" spans="1:43">
      <c r="A1212" s="150"/>
      <c r="B1212" s="477"/>
      <c r="C1212" s="125"/>
      <c r="D1212" s="478"/>
      <c r="E1212" s="478"/>
      <c r="F1212" s="52"/>
      <c r="G1212" s="52"/>
      <c r="H1212" s="52"/>
      <c r="I1212" s="52"/>
      <c r="J1212" s="52"/>
      <c r="K1212" s="52"/>
      <c r="L1212" s="52"/>
      <c r="M1212" s="52"/>
      <c r="N1212" s="52"/>
      <c r="O1212" s="52"/>
      <c r="P1212" s="52"/>
      <c r="Q1212" s="52"/>
      <c r="R1212" s="52"/>
      <c r="S1212" s="52"/>
      <c r="T1212" s="52"/>
      <c r="U1212" s="52"/>
      <c r="V1212" s="52"/>
      <c r="W1212" s="52"/>
      <c r="X1212" s="52"/>
      <c r="Y1212" s="52"/>
      <c r="Z1212" s="52"/>
      <c r="AA1212" s="52"/>
      <c r="AB1212" s="52"/>
      <c r="AC1212" s="52"/>
      <c r="AD1212" s="52"/>
      <c r="AE1212" s="52"/>
      <c r="AF1212" s="52"/>
      <c r="AG1212" s="52"/>
      <c r="AH1212" s="52"/>
      <c r="AI1212" s="52"/>
      <c r="AJ1212" s="52"/>
      <c r="AK1212" s="52"/>
      <c r="AL1212" s="52"/>
      <c r="AM1212" s="52"/>
      <c r="AN1212" s="52"/>
      <c r="AO1212" s="52"/>
      <c r="AP1212" s="52"/>
      <c r="AQ1212" s="52"/>
    </row>
    <row r="1213" spans="1:43">
      <c r="A1213" s="150"/>
      <c r="B1213" s="477"/>
      <c r="C1213" s="125"/>
      <c r="D1213" s="478"/>
      <c r="E1213" s="478"/>
      <c r="F1213" s="52"/>
      <c r="G1213" s="52"/>
      <c r="H1213" s="52"/>
      <c r="I1213" s="52"/>
      <c r="J1213" s="52"/>
      <c r="K1213" s="52"/>
      <c r="L1213" s="52"/>
      <c r="M1213" s="52"/>
      <c r="N1213" s="52"/>
      <c r="O1213" s="52"/>
      <c r="P1213" s="52"/>
      <c r="Q1213" s="52"/>
      <c r="R1213" s="52"/>
      <c r="S1213" s="52"/>
      <c r="T1213" s="52"/>
      <c r="U1213" s="52"/>
      <c r="V1213" s="52"/>
      <c r="W1213" s="52"/>
      <c r="X1213" s="52"/>
      <c r="Y1213" s="52"/>
      <c r="Z1213" s="52"/>
      <c r="AA1213" s="52"/>
      <c r="AB1213" s="52"/>
      <c r="AC1213" s="52"/>
      <c r="AD1213" s="52"/>
      <c r="AE1213" s="52"/>
      <c r="AF1213" s="52"/>
      <c r="AG1213" s="52"/>
      <c r="AH1213" s="52"/>
      <c r="AI1213" s="52"/>
      <c r="AJ1213" s="52"/>
      <c r="AK1213" s="52"/>
      <c r="AL1213" s="52"/>
      <c r="AM1213" s="52"/>
      <c r="AN1213" s="52"/>
      <c r="AO1213" s="52"/>
      <c r="AP1213" s="52"/>
      <c r="AQ1213" s="52"/>
    </row>
    <row r="1214" spans="1:43">
      <c r="A1214" s="150"/>
      <c r="B1214" s="477"/>
      <c r="C1214" s="125"/>
      <c r="D1214" s="478"/>
      <c r="E1214" s="478"/>
      <c r="F1214" s="52"/>
      <c r="G1214" s="52"/>
      <c r="H1214" s="52"/>
      <c r="I1214" s="52"/>
      <c r="J1214" s="52"/>
      <c r="K1214" s="52"/>
      <c r="L1214" s="52"/>
      <c r="M1214" s="52"/>
      <c r="N1214" s="52"/>
      <c r="O1214" s="52"/>
      <c r="P1214" s="52"/>
      <c r="Q1214" s="52"/>
      <c r="R1214" s="52"/>
      <c r="S1214" s="52"/>
      <c r="T1214" s="52"/>
      <c r="U1214" s="52"/>
      <c r="V1214" s="52"/>
      <c r="W1214" s="52"/>
      <c r="X1214" s="52"/>
      <c r="Y1214" s="52"/>
      <c r="Z1214" s="52"/>
      <c r="AA1214" s="52"/>
      <c r="AB1214" s="52"/>
      <c r="AC1214" s="52"/>
      <c r="AD1214" s="52"/>
      <c r="AE1214" s="52"/>
      <c r="AF1214" s="52"/>
      <c r="AG1214" s="52"/>
      <c r="AH1214" s="52"/>
      <c r="AI1214" s="52"/>
      <c r="AJ1214" s="52"/>
      <c r="AK1214" s="52"/>
      <c r="AL1214" s="52"/>
      <c r="AM1214" s="52"/>
      <c r="AN1214" s="52"/>
      <c r="AO1214" s="52"/>
      <c r="AP1214" s="52"/>
      <c r="AQ1214" s="52"/>
    </row>
    <row r="1215" spans="1:43">
      <c r="A1215" s="150"/>
      <c r="B1215" s="477"/>
      <c r="C1215" s="125"/>
      <c r="D1215" s="478"/>
      <c r="E1215" s="478"/>
      <c r="F1215" s="52"/>
      <c r="G1215" s="52"/>
      <c r="H1215" s="52"/>
      <c r="I1215" s="52"/>
      <c r="J1215" s="52"/>
      <c r="K1215" s="52"/>
      <c r="L1215" s="52"/>
      <c r="M1215" s="52"/>
      <c r="N1215" s="52"/>
      <c r="O1215" s="52"/>
      <c r="P1215" s="52"/>
      <c r="Q1215" s="52"/>
      <c r="R1215" s="52"/>
      <c r="S1215" s="52"/>
      <c r="T1215" s="52"/>
      <c r="U1215" s="52"/>
      <c r="V1215" s="52"/>
      <c r="W1215" s="52"/>
      <c r="X1215" s="52"/>
      <c r="Y1215" s="52"/>
      <c r="Z1215" s="52"/>
      <c r="AA1215" s="52"/>
      <c r="AB1215" s="52"/>
      <c r="AC1215" s="52"/>
      <c r="AD1215" s="52"/>
      <c r="AE1215" s="52"/>
      <c r="AF1215" s="52"/>
      <c r="AG1215" s="52"/>
      <c r="AH1215" s="52"/>
      <c r="AI1215" s="52"/>
      <c r="AJ1215" s="52"/>
      <c r="AK1215" s="52"/>
      <c r="AL1215" s="52"/>
      <c r="AM1215" s="52"/>
      <c r="AN1215" s="52"/>
      <c r="AO1215" s="52"/>
      <c r="AP1215" s="52"/>
      <c r="AQ1215" s="52"/>
    </row>
    <row r="1216" spans="1:43">
      <c r="A1216" s="150"/>
      <c r="B1216" s="477"/>
      <c r="C1216" s="125"/>
      <c r="D1216" s="478"/>
      <c r="E1216" s="478"/>
      <c r="F1216" s="52"/>
      <c r="G1216" s="52"/>
      <c r="H1216" s="52"/>
      <c r="I1216" s="52"/>
      <c r="J1216" s="52"/>
      <c r="K1216" s="52"/>
      <c r="L1216" s="52"/>
      <c r="M1216" s="52"/>
      <c r="N1216" s="52"/>
      <c r="O1216" s="52"/>
      <c r="P1216" s="52"/>
      <c r="Q1216" s="52"/>
      <c r="R1216" s="52"/>
      <c r="S1216" s="52"/>
      <c r="T1216" s="52"/>
      <c r="U1216" s="52"/>
      <c r="V1216" s="52"/>
      <c r="W1216" s="52"/>
      <c r="X1216" s="52"/>
      <c r="Y1216" s="52"/>
      <c r="Z1216" s="52"/>
      <c r="AA1216" s="52"/>
      <c r="AB1216" s="52"/>
      <c r="AC1216" s="52"/>
      <c r="AD1216" s="52"/>
      <c r="AE1216" s="52"/>
      <c r="AF1216" s="52"/>
      <c r="AG1216" s="52"/>
      <c r="AH1216" s="52"/>
      <c r="AI1216" s="52"/>
      <c r="AJ1216" s="52"/>
      <c r="AK1216" s="52"/>
      <c r="AL1216" s="52"/>
      <c r="AM1216" s="52"/>
      <c r="AN1216" s="52"/>
      <c r="AO1216" s="52"/>
      <c r="AP1216" s="52"/>
      <c r="AQ1216" s="52"/>
    </row>
    <row r="1217" spans="1:43">
      <c r="A1217" s="150"/>
      <c r="B1217" s="477"/>
      <c r="C1217" s="125"/>
      <c r="D1217" s="478"/>
      <c r="E1217" s="478"/>
      <c r="F1217" s="52"/>
      <c r="G1217" s="52"/>
      <c r="H1217" s="52"/>
      <c r="I1217" s="52"/>
      <c r="J1217" s="52"/>
      <c r="K1217" s="52"/>
      <c r="L1217" s="52"/>
      <c r="M1217" s="52"/>
      <c r="N1217" s="52"/>
      <c r="O1217" s="52"/>
      <c r="P1217" s="52"/>
      <c r="Q1217" s="52"/>
      <c r="R1217" s="52"/>
      <c r="S1217" s="52"/>
      <c r="T1217" s="52"/>
      <c r="U1217" s="52"/>
      <c r="V1217" s="52"/>
      <c r="W1217" s="52"/>
      <c r="X1217" s="52"/>
      <c r="Y1217" s="52"/>
      <c r="Z1217" s="52"/>
      <c r="AA1217" s="52"/>
      <c r="AB1217" s="52"/>
      <c r="AC1217" s="52"/>
      <c r="AD1217" s="52"/>
      <c r="AE1217" s="52"/>
      <c r="AF1217" s="52"/>
      <c r="AG1217" s="52"/>
      <c r="AH1217" s="52"/>
      <c r="AI1217" s="52"/>
      <c r="AJ1217" s="52"/>
      <c r="AK1217" s="52"/>
      <c r="AL1217" s="52"/>
      <c r="AM1217" s="52"/>
      <c r="AN1217" s="52"/>
      <c r="AO1217" s="52"/>
      <c r="AP1217" s="52"/>
      <c r="AQ1217" s="52"/>
    </row>
    <row r="1218" spans="1:43">
      <c r="A1218" s="150"/>
      <c r="B1218" s="477"/>
      <c r="C1218" s="125"/>
      <c r="D1218" s="478"/>
      <c r="E1218" s="478"/>
      <c r="F1218" s="52"/>
      <c r="G1218" s="52"/>
      <c r="H1218" s="52"/>
      <c r="I1218" s="52"/>
      <c r="J1218" s="52"/>
      <c r="K1218" s="52"/>
      <c r="L1218" s="52"/>
      <c r="M1218" s="52"/>
      <c r="N1218" s="52"/>
      <c r="O1218" s="52"/>
      <c r="P1218" s="52"/>
      <c r="Q1218" s="52"/>
      <c r="R1218" s="52"/>
      <c r="S1218" s="52"/>
      <c r="T1218" s="52"/>
      <c r="U1218" s="52"/>
      <c r="V1218" s="52"/>
      <c r="W1218" s="52"/>
      <c r="X1218" s="52"/>
      <c r="Y1218" s="52"/>
      <c r="Z1218" s="52"/>
      <c r="AA1218" s="52"/>
      <c r="AB1218" s="52"/>
      <c r="AC1218" s="52"/>
      <c r="AD1218" s="52"/>
      <c r="AE1218" s="52"/>
      <c r="AF1218" s="52"/>
      <c r="AG1218" s="52"/>
      <c r="AH1218" s="52"/>
      <c r="AI1218" s="52"/>
      <c r="AJ1218" s="52"/>
      <c r="AK1218" s="52"/>
      <c r="AL1218" s="52"/>
      <c r="AM1218" s="52"/>
      <c r="AN1218" s="52"/>
      <c r="AO1218" s="52"/>
      <c r="AP1218" s="52"/>
      <c r="AQ1218" s="52"/>
    </row>
    <row r="1219" spans="1:43">
      <c r="A1219" s="150"/>
      <c r="B1219" s="477"/>
      <c r="C1219" s="125"/>
      <c r="D1219" s="478"/>
      <c r="E1219" s="478"/>
      <c r="F1219" s="52"/>
      <c r="G1219" s="52"/>
      <c r="H1219" s="52"/>
      <c r="I1219" s="52"/>
      <c r="J1219" s="52"/>
      <c r="K1219" s="52"/>
      <c r="L1219" s="52"/>
      <c r="M1219" s="52"/>
      <c r="N1219" s="52"/>
      <c r="O1219" s="52"/>
      <c r="P1219" s="52"/>
      <c r="Q1219" s="52"/>
      <c r="R1219" s="52"/>
      <c r="S1219" s="52"/>
      <c r="T1219" s="52"/>
      <c r="U1219" s="52"/>
      <c r="V1219" s="52"/>
      <c r="W1219" s="52"/>
      <c r="X1219" s="52"/>
      <c r="Y1219" s="52"/>
      <c r="Z1219" s="52"/>
      <c r="AA1219" s="52"/>
      <c r="AB1219" s="52"/>
      <c r="AC1219" s="52"/>
      <c r="AD1219" s="52"/>
      <c r="AE1219" s="52"/>
      <c r="AF1219" s="52"/>
      <c r="AG1219" s="52"/>
      <c r="AH1219" s="52"/>
      <c r="AI1219" s="52"/>
      <c r="AJ1219" s="52"/>
      <c r="AK1219" s="52"/>
      <c r="AL1219" s="52"/>
      <c r="AM1219" s="52"/>
      <c r="AN1219" s="52"/>
      <c r="AO1219" s="52"/>
      <c r="AP1219" s="52"/>
      <c r="AQ1219" s="52"/>
    </row>
    <row r="1220" spans="1:43">
      <c r="A1220" s="150"/>
      <c r="B1220" s="477"/>
      <c r="C1220" s="125"/>
      <c r="D1220" s="478"/>
      <c r="E1220" s="478"/>
      <c r="F1220" s="52"/>
      <c r="G1220" s="52"/>
      <c r="H1220" s="52"/>
      <c r="I1220" s="52"/>
      <c r="J1220" s="52"/>
      <c r="K1220" s="52"/>
      <c r="L1220" s="52"/>
      <c r="M1220" s="52"/>
      <c r="N1220" s="52"/>
      <c r="O1220" s="52"/>
      <c r="P1220" s="52"/>
      <c r="Q1220" s="52"/>
      <c r="R1220" s="52"/>
      <c r="S1220" s="52"/>
      <c r="T1220" s="52"/>
      <c r="U1220" s="52"/>
      <c r="V1220" s="52"/>
      <c r="W1220" s="52"/>
      <c r="X1220" s="52"/>
      <c r="Y1220" s="52"/>
      <c r="Z1220" s="52"/>
      <c r="AA1220" s="52"/>
      <c r="AB1220" s="52"/>
      <c r="AC1220" s="52"/>
      <c r="AD1220" s="52"/>
      <c r="AE1220" s="52"/>
      <c r="AF1220" s="52"/>
      <c r="AG1220" s="52"/>
      <c r="AH1220" s="52"/>
      <c r="AI1220" s="52"/>
      <c r="AJ1220" s="52"/>
      <c r="AK1220" s="52"/>
      <c r="AL1220" s="52"/>
      <c r="AM1220" s="52"/>
      <c r="AN1220" s="52"/>
      <c r="AO1220" s="52"/>
      <c r="AP1220" s="52"/>
      <c r="AQ1220" s="52"/>
    </row>
    <row r="1221" spans="1:43">
      <c r="A1221" s="150"/>
      <c r="B1221" s="477"/>
      <c r="C1221" s="125"/>
      <c r="D1221" s="478"/>
      <c r="E1221" s="478"/>
      <c r="F1221" s="52"/>
      <c r="G1221" s="52"/>
      <c r="H1221" s="52"/>
      <c r="I1221" s="52"/>
      <c r="J1221" s="52"/>
      <c r="K1221" s="52"/>
      <c r="L1221" s="52"/>
      <c r="M1221" s="52"/>
      <c r="N1221" s="52"/>
      <c r="O1221" s="52"/>
      <c r="P1221" s="52"/>
      <c r="Q1221" s="52"/>
      <c r="R1221" s="52"/>
      <c r="S1221" s="52"/>
      <c r="T1221" s="52"/>
      <c r="U1221" s="52"/>
      <c r="V1221" s="52"/>
      <c r="W1221" s="52"/>
      <c r="X1221" s="52"/>
      <c r="Y1221" s="52"/>
      <c r="Z1221" s="52"/>
      <c r="AA1221" s="52"/>
      <c r="AB1221" s="52"/>
      <c r="AC1221" s="52"/>
      <c r="AD1221" s="52"/>
      <c r="AE1221" s="52"/>
      <c r="AF1221" s="52"/>
      <c r="AG1221" s="52"/>
      <c r="AH1221" s="52"/>
      <c r="AI1221" s="52"/>
      <c r="AJ1221" s="52"/>
      <c r="AK1221" s="52"/>
      <c r="AL1221" s="52"/>
      <c r="AM1221" s="52"/>
      <c r="AN1221" s="52"/>
      <c r="AO1221" s="52"/>
      <c r="AP1221" s="52"/>
      <c r="AQ1221" s="52"/>
    </row>
    <row r="1222" spans="1:43">
      <c r="A1222" s="150"/>
      <c r="B1222" s="477"/>
      <c r="C1222" s="125"/>
      <c r="D1222" s="478"/>
      <c r="E1222" s="478"/>
      <c r="F1222" s="52"/>
      <c r="G1222" s="52"/>
      <c r="H1222" s="52"/>
      <c r="I1222" s="52"/>
      <c r="J1222" s="52"/>
      <c r="K1222" s="52"/>
      <c r="L1222" s="52"/>
      <c r="M1222" s="52"/>
      <c r="N1222" s="52"/>
      <c r="O1222" s="52"/>
      <c r="P1222" s="52"/>
      <c r="Q1222" s="52"/>
      <c r="R1222" s="52"/>
      <c r="S1222" s="52"/>
      <c r="T1222" s="52"/>
      <c r="U1222" s="52"/>
      <c r="V1222" s="52"/>
      <c r="W1222" s="52"/>
      <c r="X1222" s="52"/>
      <c r="Y1222" s="52"/>
      <c r="Z1222" s="52"/>
      <c r="AA1222" s="52"/>
      <c r="AB1222" s="52"/>
      <c r="AC1222" s="52"/>
      <c r="AD1222" s="52"/>
      <c r="AE1222" s="52"/>
      <c r="AF1222" s="52"/>
      <c r="AG1222" s="52"/>
      <c r="AH1222" s="52"/>
      <c r="AI1222" s="52"/>
      <c r="AJ1222" s="52"/>
      <c r="AK1222" s="52"/>
      <c r="AL1222" s="52"/>
      <c r="AM1222" s="52"/>
      <c r="AN1222" s="52"/>
      <c r="AO1222" s="52"/>
      <c r="AP1222" s="52"/>
      <c r="AQ1222" s="52"/>
    </row>
    <row r="1223" spans="1:43">
      <c r="A1223" s="150"/>
      <c r="B1223" s="477"/>
      <c r="C1223" s="125"/>
      <c r="D1223" s="478"/>
      <c r="E1223" s="478"/>
      <c r="F1223" s="52"/>
      <c r="G1223" s="52"/>
      <c r="H1223" s="52"/>
      <c r="I1223" s="52"/>
      <c r="J1223" s="52"/>
      <c r="K1223" s="52"/>
      <c r="L1223" s="52"/>
      <c r="M1223" s="52"/>
      <c r="N1223" s="52"/>
      <c r="O1223" s="52"/>
      <c r="P1223" s="52"/>
      <c r="Q1223" s="52"/>
      <c r="R1223" s="52"/>
      <c r="S1223" s="52"/>
      <c r="T1223" s="52"/>
      <c r="U1223" s="52"/>
      <c r="V1223" s="52"/>
      <c r="W1223" s="52"/>
      <c r="X1223" s="52"/>
      <c r="Y1223" s="52"/>
      <c r="Z1223" s="52"/>
      <c r="AA1223" s="52"/>
      <c r="AB1223" s="52"/>
      <c r="AC1223" s="52"/>
      <c r="AD1223" s="52"/>
      <c r="AE1223" s="52"/>
      <c r="AF1223" s="52"/>
      <c r="AG1223" s="52"/>
      <c r="AH1223" s="52"/>
      <c r="AI1223" s="52"/>
      <c r="AJ1223" s="52"/>
      <c r="AK1223" s="52"/>
      <c r="AL1223" s="52"/>
      <c r="AM1223" s="52"/>
      <c r="AN1223" s="52"/>
      <c r="AO1223" s="52"/>
      <c r="AP1223" s="52"/>
      <c r="AQ1223" s="52"/>
    </row>
    <row r="1224" spans="1:43">
      <c r="A1224" s="150"/>
      <c r="B1224" s="477"/>
      <c r="C1224" s="125"/>
      <c r="D1224" s="478"/>
      <c r="E1224" s="478"/>
      <c r="F1224" s="52"/>
      <c r="G1224" s="52"/>
      <c r="H1224" s="52"/>
      <c r="I1224" s="52"/>
      <c r="J1224" s="52"/>
      <c r="K1224" s="52"/>
      <c r="L1224" s="52"/>
      <c r="M1224" s="52"/>
      <c r="N1224" s="52"/>
      <c r="O1224" s="52"/>
      <c r="P1224" s="52"/>
      <c r="Q1224" s="52"/>
      <c r="R1224" s="52"/>
      <c r="S1224" s="52"/>
      <c r="T1224" s="52"/>
      <c r="U1224" s="52"/>
      <c r="V1224" s="52"/>
      <c r="W1224" s="52"/>
      <c r="X1224" s="52"/>
      <c r="Y1224" s="52"/>
      <c r="Z1224" s="52"/>
      <c r="AA1224" s="52"/>
      <c r="AB1224" s="52"/>
      <c r="AC1224" s="52"/>
      <c r="AD1224" s="52"/>
      <c r="AE1224" s="52"/>
      <c r="AF1224" s="52"/>
      <c r="AG1224" s="52"/>
      <c r="AH1224" s="52"/>
      <c r="AI1224" s="52"/>
      <c r="AJ1224" s="52"/>
      <c r="AK1224" s="52"/>
      <c r="AL1224" s="52"/>
      <c r="AM1224" s="52"/>
      <c r="AN1224" s="52"/>
      <c r="AO1224" s="52"/>
      <c r="AP1224" s="52"/>
      <c r="AQ1224" s="52"/>
    </row>
    <row r="1225" spans="1:43">
      <c r="A1225" s="150"/>
      <c r="B1225" s="477"/>
      <c r="C1225" s="125"/>
      <c r="D1225" s="478"/>
      <c r="E1225" s="478"/>
      <c r="F1225" s="52"/>
      <c r="G1225" s="52"/>
      <c r="H1225" s="52"/>
      <c r="I1225" s="52"/>
      <c r="J1225" s="52"/>
      <c r="K1225" s="52"/>
      <c r="L1225" s="52"/>
      <c r="M1225" s="52"/>
      <c r="N1225" s="52"/>
      <c r="O1225" s="52"/>
      <c r="P1225" s="52"/>
      <c r="Q1225" s="52"/>
      <c r="R1225" s="52"/>
      <c r="S1225" s="52"/>
      <c r="T1225" s="52"/>
      <c r="U1225" s="52"/>
      <c r="V1225" s="52"/>
      <c r="W1225" s="52"/>
      <c r="X1225" s="52"/>
      <c r="Y1225" s="52"/>
      <c r="Z1225" s="52"/>
      <c r="AA1225" s="52"/>
      <c r="AB1225" s="52"/>
      <c r="AC1225" s="52"/>
      <c r="AD1225" s="52"/>
      <c r="AE1225" s="52"/>
      <c r="AF1225" s="52"/>
      <c r="AG1225" s="52"/>
      <c r="AH1225" s="52"/>
      <c r="AI1225" s="52"/>
      <c r="AJ1225" s="52"/>
      <c r="AK1225" s="52"/>
      <c r="AL1225" s="52"/>
      <c r="AM1225" s="52"/>
      <c r="AN1225" s="52"/>
      <c r="AO1225" s="52"/>
      <c r="AP1225" s="52"/>
      <c r="AQ1225" s="52"/>
    </row>
    <row r="1226" spans="1:43">
      <c r="A1226" s="150"/>
      <c r="B1226" s="477"/>
      <c r="C1226" s="125"/>
      <c r="D1226" s="478"/>
      <c r="E1226" s="478"/>
      <c r="F1226" s="52"/>
      <c r="G1226" s="52"/>
      <c r="H1226" s="52"/>
      <c r="I1226" s="52"/>
      <c r="J1226" s="52"/>
      <c r="K1226" s="52"/>
      <c r="L1226" s="52"/>
      <c r="M1226" s="52"/>
      <c r="N1226" s="52"/>
      <c r="O1226" s="52"/>
      <c r="P1226" s="52"/>
      <c r="Q1226" s="52"/>
      <c r="R1226" s="52"/>
      <c r="S1226" s="52"/>
      <c r="T1226" s="52"/>
      <c r="U1226" s="52"/>
      <c r="V1226" s="52"/>
      <c r="W1226" s="52"/>
      <c r="X1226" s="52"/>
      <c r="Y1226" s="52"/>
      <c r="Z1226" s="52"/>
      <c r="AA1226" s="52"/>
      <c r="AB1226" s="52"/>
      <c r="AC1226" s="52"/>
      <c r="AD1226" s="52"/>
      <c r="AE1226" s="52"/>
      <c r="AF1226" s="52"/>
      <c r="AG1226" s="52"/>
      <c r="AH1226" s="52"/>
      <c r="AI1226" s="52"/>
      <c r="AJ1226" s="52"/>
      <c r="AK1226" s="52"/>
      <c r="AL1226" s="52"/>
      <c r="AM1226" s="52"/>
      <c r="AN1226" s="52"/>
      <c r="AO1226" s="52"/>
      <c r="AP1226" s="52"/>
      <c r="AQ1226" s="52"/>
    </row>
    <row r="1227" spans="1:43">
      <c r="A1227" s="150"/>
      <c r="B1227" s="477"/>
      <c r="C1227" s="125"/>
      <c r="D1227" s="478"/>
      <c r="E1227" s="478"/>
      <c r="F1227" s="52"/>
      <c r="G1227" s="52"/>
      <c r="H1227" s="52"/>
      <c r="I1227" s="52"/>
      <c r="J1227" s="52"/>
      <c r="K1227" s="52"/>
      <c r="L1227" s="52"/>
      <c r="M1227" s="52"/>
      <c r="N1227" s="52"/>
      <c r="O1227" s="52"/>
      <c r="P1227" s="52"/>
      <c r="Q1227" s="52"/>
      <c r="R1227" s="52"/>
      <c r="S1227" s="52"/>
      <c r="T1227" s="52"/>
      <c r="U1227" s="52"/>
      <c r="V1227" s="52"/>
      <c r="W1227" s="52"/>
      <c r="X1227" s="52"/>
      <c r="Y1227" s="52"/>
      <c r="Z1227" s="52"/>
      <c r="AA1227" s="52"/>
      <c r="AB1227" s="52"/>
      <c r="AC1227" s="52"/>
      <c r="AD1227" s="52"/>
      <c r="AE1227" s="52"/>
      <c r="AF1227" s="52"/>
      <c r="AG1227" s="52"/>
      <c r="AH1227" s="52"/>
      <c r="AI1227" s="52"/>
      <c r="AJ1227" s="52"/>
      <c r="AK1227" s="52"/>
      <c r="AL1227" s="52"/>
      <c r="AM1227" s="52"/>
      <c r="AN1227" s="52"/>
      <c r="AO1227" s="52"/>
      <c r="AP1227" s="52"/>
      <c r="AQ1227" s="52"/>
    </row>
    <row r="1228" spans="1:43">
      <c r="A1228" s="150"/>
      <c r="B1228" s="477"/>
      <c r="C1228" s="125"/>
      <c r="D1228" s="478"/>
      <c r="E1228" s="478"/>
      <c r="F1228" s="52"/>
      <c r="G1228" s="52"/>
      <c r="H1228" s="52"/>
      <c r="I1228" s="52"/>
      <c r="J1228" s="52"/>
      <c r="K1228" s="52"/>
      <c r="L1228" s="52"/>
      <c r="M1228" s="52"/>
      <c r="N1228" s="52"/>
      <c r="O1228" s="52"/>
      <c r="P1228" s="52"/>
      <c r="Q1228" s="52"/>
      <c r="R1228" s="52"/>
      <c r="S1228" s="52"/>
      <c r="T1228" s="52"/>
      <c r="U1228" s="52"/>
      <c r="V1228" s="52"/>
      <c r="W1228" s="52"/>
      <c r="X1228" s="52"/>
      <c r="Y1228" s="52"/>
      <c r="Z1228" s="52"/>
      <c r="AA1228" s="52"/>
      <c r="AB1228" s="52"/>
      <c r="AC1228" s="52"/>
      <c r="AD1228" s="52"/>
      <c r="AE1228" s="52"/>
      <c r="AF1228" s="52"/>
      <c r="AG1228" s="52"/>
      <c r="AH1228" s="52"/>
      <c r="AI1228" s="52"/>
      <c r="AJ1228" s="52"/>
      <c r="AK1228" s="52"/>
      <c r="AL1228" s="52"/>
      <c r="AM1228" s="52"/>
      <c r="AN1228" s="52"/>
      <c r="AO1228" s="52"/>
      <c r="AP1228" s="52"/>
      <c r="AQ1228" s="52"/>
    </row>
    <row r="1229" spans="1:43">
      <c r="A1229" s="150"/>
      <c r="B1229" s="477"/>
      <c r="C1229" s="125"/>
      <c r="D1229" s="478"/>
      <c r="E1229" s="478"/>
      <c r="F1229" s="52"/>
      <c r="G1229" s="52"/>
      <c r="H1229" s="52"/>
      <c r="I1229" s="52"/>
      <c r="J1229" s="52"/>
      <c r="K1229" s="52"/>
      <c r="L1229" s="52"/>
      <c r="M1229" s="52"/>
      <c r="N1229" s="52"/>
      <c r="O1229" s="52"/>
      <c r="P1229" s="52"/>
      <c r="Q1229" s="52"/>
      <c r="R1229" s="52"/>
      <c r="S1229" s="52"/>
      <c r="T1229" s="52"/>
      <c r="U1229" s="52"/>
      <c r="V1229" s="52"/>
      <c r="W1229" s="52"/>
      <c r="X1229" s="52"/>
      <c r="Y1229" s="52"/>
      <c r="Z1229" s="52"/>
      <c r="AA1229" s="52"/>
      <c r="AB1229" s="52"/>
      <c r="AC1229" s="52"/>
      <c r="AD1229" s="52"/>
      <c r="AE1229" s="52"/>
      <c r="AF1229" s="52"/>
      <c r="AG1229" s="52"/>
      <c r="AH1229" s="52"/>
      <c r="AI1229" s="52"/>
      <c r="AJ1229" s="52"/>
      <c r="AK1229" s="52"/>
      <c r="AL1229" s="52"/>
      <c r="AM1229" s="52"/>
      <c r="AN1229" s="52"/>
      <c r="AO1229" s="52"/>
      <c r="AP1229" s="52"/>
      <c r="AQ1229" s="52"/>
    </row>
    <row r="1230" spans="1:43">
      <c r="A1230" s="150"/>
      <c r="B1230" s="477"/>
      <c r="C1230" s="125"/>
      <c r="D1230" s="478"/>
      <c r="E1230" s="478"/>
      <c r="F1230" s="52"/>
      <c r="G1230" s="52"/>
      <c r="H1230" s="52"/>
      <c r="I1230" s="52"/>
      <c r="J1230" s="52"/>
      <c r="K1230" s="52"/>
      <c r="L1230" s="52"/>
      <c r="M1230" s="52"/>
      <c r="N1230" s="52"/>
      <c r="O1230" s="52"/>
      <c r="P1230" s="52"/>
      <c r="Q1230" s="52"/>
      <c r="R1230" s="52"/>
      <c r="S1230" s="52"/>
      <c r="T1230" s="52"/>
      <c r="U1230" s="52"/>
      <c r="V1230" s="52"/>
      <c r="W1230" s="52"/>
      <c r="X1230" s="52"/>
      <c r="Y1230" s="52"/>
      <c r="Z1230" s="52"/>
      <c r="AA1230" s="52"/>
      <c r="AB1230" s="52"/>
      <c r="AC1230" s="52"/>
      <c r="AD1230" s="52"/>
      <c r="AE1230" s="52"/>
      <c r="AF1230" s="52"/>
      <c r="AG1230" s="52"/>
      <c r="AH1230" s="52"/>
      <c r="AI1230" s="52"/>
      <c r="AJ1230" s="52"/>
      <c r="AK1230" s="52"/>
      <c r="AL1230" s="52"/>
      <c r="AM1230" s="52"/>
      <c r="AN1230" s="52"/>
      <c r="AO1230" s="52"/>
      <c r="AP1230" s="52"/>
      <c r="AQ1230" s="52"/>
    </row>
    <row r="1231" spans="1:43">
      <c r="A1231" s="150"/>
      <c r="B1231" s="477"/>
      <c r="C1231" s="125"/>
      <c r="D1231" s="478"/>
      <c r="E1231" s="478"/>
      <c r="F1231" s="52"/>
      <c r="G1231" s="52"/>
      <c r="H1231" s="52"/>
      <c r="I1231" s="52"/>
      <c r="J1231" s="52"/>
      <c r="K1231" s="52"/>
      <c r="L1231" s="52"/>
      <c r="M1231" s="52"/>
      <c r="N1231" s="52"/>
      <c r="O1231" s="52"/>
      <c r="P1231" s="52"/>
      <c r="Q1231" s="52"/>
      <c r="R1231" s="52"/>
      <c r="S1231" s="52"/>
      <c r="T1231" s="52"/>
      <c r="U1231" s="52"/>
      <c r="V1231" s="52"/>
      <c r="W1231" s="52"/>
      <c r="X1231" s="52"/>
      <c r="Y1231" s="52"/>
      <c r="Z1231" s="52"/>
      <c r="AA1231" s="52"/>
      <c r="AB1231" s="52"/>
      <c r="AC1231" s="52"/>
      <c r="AD1231" s="52"/>
      <c r="AE1231" s="52"/>
      <c r="AF1231" s="52"/>
      <c r="AG1231" s="52"/>
      <c r="AH1231" s="52"/>
      <c r="AI1231" s="52"/>
      <c r="AJ1231" s="52"/>
      <c r="AK1231" s="52"/>
      <c r="AL1231" s="52"/>
      <c r="AM1231" s="52"/>
      <c r="AN1231" s="52"/>
      <c r="AO1231" s="52"/>
      <c r="AP1231" s="52"/>
      <c r="AQ1231" s="52"/>
    </row>
    <row r="1232" spans="1:43">
      <c r="A1232" s="150"/>
      <c r="B1232" s="477"/>
      <c r="C1232" s="125"/>
      <c r="D1232" s="478"/>
      <c r="E1232" s="478"/>
      <c r="F1232" s="52"/>
      <c r="G1232" s="52"/>
      <c r="H1232" s="52"/>
      <c r="I1232" s="52"/>
      <c r="J1232" s="52"/>
      <c r="K1232" s="52"/>
      <c r="L1232" s="52"/>
      <c r="M1232" s="52"/>
      <c r="N1232" s="52"/>
      <c r="O1232" s="52"/>
      <c r="P1232" s="52"/>
      <c r="Q1232" s="52"/>
      <c r="R1232" s="52"/>
      <c r="S1232" s="52"/>
      <c r="T1232" s="52"/>
      <c r="U1232" s="52"/>
      <c r="V1232" s="52"/>
      <c r="W1232" s="52"/>
      <c r="X1232" s="52"/>
      <c r="Y1232" s="52"/>
      <c r="Z1232" s="52"/>
      <c r="AA1232" s="52"/>
      <c r="AB1232" s="52"/>
      <c r="AC1232" s="52"/>
      <c r="AD1232" s="52"/>
      <c r="AE1232" s="52"/>
      <c r="AF1232" s="52"/>
      <c r="AG1232" s="52"/>
      <c r="AH1232" s="52"/>
      <c r="AI1232" s="52"/>
      <c r="AJ1232" s="52"/>
      <c r="AK1232" s="52"/>
      <c r="AL1232" s="52"/>
      <c r="AM1232" s="52"/>
      <c r="AN1232" s="52"/>
      <c r="AO1232" s="52"/>
      <c r="AP1232" s="52"/>
      <c r="AQ1232" s="52"/>
    </row>
    <row r="1233" spans="1:43">
      <c r="A1233" s="150"/>
      <c r="B1233" s="477"/>
      <c r="C1233" s="125"/>
      <c r="D1233" s="478"/>
      <c r="E1233" s="478"/>
      <c r="F1233" s="52"/>
      <c r="G1233" s="52"/>
      <c r="H1233" s="52"/>
      <c r="I1233" s="52"/>
      <c r="J1233" s="52"/>
      <c r="K1233" s="52"/>
      <c r="L1233" s="52"/>
      <c r="M1233" s="52"/>
      <c r="N1233" s="52"/>
      <c r="O1233" s="52"/>
      <c r="P1233" s="52"/>
      <c r="Q1233" s="52"/>
      <c r="R1233" s="52"/>
      <c r="S1233" s="52"/>
      <c r="T1233" s="52"/>
      <c r="U1233" s="52"/>
      <c r="V1233" s="52"/>
      <c r="W1233" s="52"/>
      <c r="X1233" s="52"/>
      <c r="Y1233" s="52"/>
      <c r="Z1233" s="52"/>
      <c r="AA1233" s="52"/>
      <c r="AB1233" s="52"/>
      <c r="AC1233" s="52"/>
      <c r="AD1233" s="52"/>
      <c r="AE1233" s="52"/>
      <c r="AF1233" s="52"/>
      <c r="AG1233" s="52"/>
      <c r="AH1233" s="52"/>
      <c r="AI1233" s="52"/>
      <c r="AJ1233" s="52"/>
      <c r="AK1233" s="52"/>
      <c r="AL1233" s="52"/>
      <c r="AM1233" s="52"/>
      <c r="AN1233" s="52"/>
      <c r="AO1233" s="52"/>
      <c r="AP1233" s="52"/>
      <c r="AQ1233" s="52"/>
    </row>
    <row r="1234" spans="1:43">
      <c r="A1234" s="150"/>
      <c r="B1234" s="477"/>
      <c r="C1234" s="125"/>
      <c r="D1234" s="478"/>
      <c r="E1234" s="478"/>
      <c r="F1234" s="52"/>
      <c r="G1234" s="52"/>
      <c r="H1234" s="52"/>
      <c r="I1234" s="52"/>
      <c r="J1234" s="52"/>
      <c r="K1234" s="52"/>
      <c r="L1234" s="52"/>
      <c r="M1234" s="52"/>
      <c r="N1234" s="52"/>
      <c r="O1234" s="52"/>
      <c r="P1234" s="52"/>
      <c r="Q1234" s="52"/>
      <c r="R1234" s="52"/>
      <c r="S1234" s="52"/>
      <c r="T1234" s="52"/>
      <c r="U1234" s="52"/>
      <c r="V1234" s="52"/>
      <c r="W1234" s="52"/>
      <c r="X1234" s="52"/>
      <c r="Y1234" s="52"/>
      <c r="Z1234" s="52"/>
      <c r="AA1234" s="52"/>
      <c r="AB1234" s="52"/>
      <c r="AC1234" s="52"/>
      <c r="AD1234" s="52"/>
      <c r="AE1234" s="52"/>
      <c r="AF1234" s="52"/>
      <c r="AG1234" s="52"/>
      <c r="AH1234" s="52"/>
      <c r="AI1234" s="52"/>
      <c r="AJ1234" s="52"/>
      <c r="AK1234" s="52"/>
      <c r="AL1234" s="52"/>
      <c r="AM1234" s="52"/>
      <c r="AN1234" s="52"/>
      <c r="AO1234" s="52"/>
      <c r="AP1234" s="52"/>
      <c r="AQ1234" s="52"/>
    </row>
    <row r="1235" spans="1:43">
      <c r="A1235" s="150"/>
      <c r="B1235" s="477"/>
      <c r="C1235" s="125"/>
      <c r="D1235" s="478"/>
      <c r="E1235" s="478"/>
      <c r="F1235" s="52"/>
      <c r="G1235" s="52"/>
      <c r="H1235" s="52"/>
      <c r="I1235" s="52"/>
      <c r="J1235" s="52"/>
      <c r="K1235" s="52"/>
      <c r="L1235" s="52"/>
      <c r="M1235" s="52"/>
      <c r="N1235" s="52"/>
      <c r="O1235" s="52"/>
      <c r="P1235" s="52"/>
      <c r="Q1235" s="52"/>
      <c r="R1235" s="52"/>
      <c r="S1235" s="52"/>
      <c r="T1235" s="52"/>
      <c r="U1235" s="52"/>
      <c r="V1235" s="52"/>
      <c r="W1235" s="52"/>
      <c r="X1235" s="52"/>
      <c r="Y1235" s="52"/>
      <c r="Z1235" s="52"/>
      <c r="AA1235" s="52"/>
      <c r="AB1235" s="52"/>
      <c r="AC1235" s="52"/>
      <c r="AD1235" s="52"/>
      <c r="AE1235" s="52"/>
      <c r="AF1235" s="52"/>
      <c r="AG1235" s="52"/>
      <c r="AH1235" s="52"/>
      <c r="AI1235" s="52"/>
      <c r="AJ1235" s="52"/>
      <c r="AK1235" s="52"/>
      <c r="AL1235" s="52"/>
      <c r="AM1235" s="52"/>
      <c r="AN1235" s="52"/>
      <c r="AO1235" s="52"/>
      <c r="AP1235" s="52"/>
      <c r="AQ1235" s="52"/>
    </row>
    <row r="1236" spans="1:43">
      <c r="A1236" s="150"/>
      <c r="B1236" s="477"/>
      <c r="C1236" s="125"/>
      <c r="D1236" s="478"/>
      <c r="E1236" s="478"/>
      <c r="F1236" s="52"/>
      <c r="G1236" s="52"/>
      <c r="H1236" s="52"/>
      <c r="I1236" s="52"/>
      <c r="J1236" s="52"/>
      <c r="K1236" s="52"/>
      <c r="L1236" s="52"/>
      <c r="M1236" s="52"/>
      <c r="N1236" s="52"/>
      <c r="O1236" s="52"/>
      <c r="P1236" s="52"/>
      <c r="Q1236" s="52"/>
      <c r="R1236" s="52"/>
      <c r="S1236" s="52"/>
      <c r="T1236" s="52"/>
      <c r="U1236" s="52"/>
      <c r="V1236" s="52"/>
      <c r="W1236" s="52"/>
      <c r="X1236" s="52"/>
      <c r="Y1236" s="52"/>
      <c r="Z1236" s="52"/>
      <c r="AA1236" s="52"/>
      <c r="AB1236" s="52"/>
      <c r="AC1236" s="52"/>
      <c r="AD1236" s="52"/>
      <c r="AE1236" s="52"/>
      <c r="AF1236" s="52"/>
      <c r="AG1236" s="52"/>
      <c r="AH1236" s="52"/>
      <c r="AI1236" s="52"/>
      <c r="AJ1236" s="52"/>
      <c r="AK1236" s="52"/>
      <c r="AL1236" s="52"/>
      <c r="AM1236" s="52"/>
      <c r="AN1236" s="52"/>
      <c r="AO1236" s="52"/>
      <c r="AP1236" s="52"/>
      <c r="AQ1236" s="52"/>
    </row>
    <row r="1237" spans="1:43">
      <c r="A1237" s="150"/>
      <c r="B1237" s="477"/>
      <c r="C1237" s="125"/>
      <c r="D1237" s="478"/>
      <c r="E1237" s="478"/>
      <c r="F1237" s="52"/>
      <c r="G1237" s="52"/>
      <c r="H1237" s="52"/>
      <c r="I1237" s="52"/>
      <c r="J1237" s="52"/>
      <c r="K1237" s="52"/>
      <c r="L1237" s="52"/>
      <c r="M1237" s="52"/>
      <c r="N1237" s="52"/>
      <c r="O1237" s="52"/>
      <c r="P1237" s="52"/>
      <c r="Q1237" s="52"/>
      <c r="R1237" s="52"/>
      <c r="S1237" s="52"/>
      <c r="T1237" s="52"/>
      <c r="U1237" s="52"/>
      <c r="V1237" s="52"/>
      <c r="W1237" s="52"/>
      <c r="X1237" s="52"/>
      <c r="Y1237" s="52"/>
      <c r="Z1237" s="52"/>
      <c r="AA1237" s="52"/>
      <c r="AB1237" s="52"/>
      <c r="AC1237" s="52"/>
      <c r="AD1237" s="52"/>
      <c r="AE1237" s="52"/>
      <c r="AF1237" s="52"/>
      <c r="AG1237" s="52"/>
      <c r="AH1237" s="52"/>
      <c r="AI1237" s="52"/>
      <c r="AJ1237" s="52"/>
      <c r="AK1237" s="52"/>
      <c r="AL1237" s="52"/>
      <c r="AM1237" s="52"/>
      <c r="AN1237" s="52"/>
      <c r="AO1237" s="52"/>
      <c r="AP1237" s="52"/>
      <c r="AQ1237" s="52"/>
    </row>
    <row r="1238" spans="1:43">
      <c r="A1238" s="150"/>
      <c r="B1238" s="477"/>
      <c r="C1238" s="125"/>
      <c r="D1238" s="478"/>
      <c r="E1238" s="478"/>
      <c r="F1238" s="52"/>
      <c r="G1238" s="52"/>
      <c r="H1238" s="52"/>
      <c r="I1238" s="52"/>
      <c r="J1238" s="52"/>
      <c r="K1238" s="52"/>
      <c r="L1238" s="52"/>
      <c r="M1238" s="52"/>
      <c r="N1238" s="52"/>
      <c r="O1238" s="52"/>
      <c r="P1238" s="52"/>
      <c r="Q1238" s="52"/>
      <c r="R1238" s="52"/>
      <c r="S1238" s="52"/>
      <c r="T1238" s="52"/>
      <c r="U1238" s="52"/>
      <c r="V1238" s="52"/>
      <c r="W1238" s="52"/>
      <c r="X1238" s="52"/>
      <c r="Y1238" s="52"/>
      <c r="Z1238" s="52"/>
      <c r="AA1238" s="52"/>
      <c r="AB1238" s="52"/>
      <c r="AC1238" s="52"/>
      <c r="AD1238" s="52"/>
      <c r="AE1238" s="52"/>
      <c r="AF1238" s="52"/>
      <c r="AG1238" s="52"/>
      <c r="AH1238" s="52"/>
      <c r="AI1238" s="52"/>
      <c r="AJ1238" s="52"/>
      <c r="AK1238" s="52"/>
      <c r="AL1238" s="52"/>
      <c r="AM1238" s="52"/>
      <c r="AN1238" s="52"/>
      <c r="AO1238" s="52"/>
      <c r="AP1238" s="52"/>
      <c r="AQ1238" s="52"/>
    </row>
    <row r="1239" spans="1:43">
      <c r="A1239" s="150"/>
      <c r="B1239" s="477"/>
      <c r="C1239" s="125"/>
      <c r="D1239" s="478"/>
      <c r="E1239" s="478"/>
      <c r="F1239" s="52"/>
      <c r="G1239" s="52"/>
      <c r="H1239" s="52"/>
      <c r="I1239" s="52"/>
      <c r="J1239" s="52"/>
      <c r="K1239" s="52"/>
      <c r="L1239" s="52"/>
      <c r="M1239" s="52"/>
      <c r="N1239" s="52"/>
      <c r="O1239" s="52"/>
      <c r="P1239" s="52"/>
      <c r="Q1239" s="52"/>
      <c r="R1239" s="52"/>
      <c r="S1239" s="52"/>
      <c r="T1239" s="52"/>
      <c r="U1239" s="52"/>
      <c r="V1239" s="52"/>
      <c r="W1239" s="52"/>
      <c r="X1239" s="52"/>
      <c r="Y1239" s="52"/>
      <c r="Z1239" s="52"/>
      <c r="AA1239" s="52"/>
      <c r="AB1239" s="52"/>
      <c r="AC1239" s="52"/>
      <c r="AD1239" s="52"/>
      <c r="AE1239" s="52"/>
      <c r="AF1239" s="52"/>
      <c r="AG1239" s="52"/>
      <c r="AH1239" s="52"/>
      <c r="AI1239" s="52"/>
      <c r="AJ1239" s="52"/>
      <c r="AK1239" s="52"/>
      <c r="AL1239" s="52"/>
      <c r="AM1239" s="52"/>
      <c r="AN1239" s="52"/>
      <c r="AO1239" s="52"/>
      <c r="AP1239" s="52"/>
      <c r="AQ1239" s="52"/>
    </row>
    <row r="1240" spans="1:43">
      <c r="A1240" s="150"/>
      <c r="B1240" s="125"/>
      <c r="C1240" s="125"/>
      <c r="D1240" s="125"/>
      <c r="E1240" s="125"/>
      <c r="F1240" s="52"/>
      <c r="G1240" s="52"/>
      <c r="H1240" s="52"/>
      <c r="I1240" s="52"/>
      <c r="J1240" s="52"/>
      <c r="K1240" s="52"/>
      <c r="L1240" s="52"/>
      <c r="M1240" s="52"/>
      <c r="N1240" s="52"/>
      <c r="O1240" s="52"/>
      <c r="P1240" s="52"/>
      <c r="Q1240" s="52"/>
      <c r="R1240" s="52"/>
      <c r="S1240" s="52"/>
      <c r="T1240" s="52"/>
      <c r="U1240" s="52"/>
      <c r="V1240" s="52"/>
      <c r="W1240" s="52"/>
      <c r="X1240" s="52"/>
      <c r="Y1240" s="52"/>
      <c r="Z1240" s="52"/>
      <c r="AA1240" s="52"/>
      <c r="AB1240" s="52"/>
      <c r="AC1240" s="52"/>
      <c r="AD1240" s="52"/>
      <c r="AE1240" s="52"/>
      <c r="AF1240" s="52"/>
      <c r="AG1240" s="52"/>
      <c r="AH1240" s="52"/>
      <c r="AI1240" s="52"/>
      <c r="AJ1240" s="52"/>
      <c r="AK1240" s="52"/>
      <c r="AL1240" s="52"/>
      <c r="AM1240" s="52"/>
      <c r="AN1240" s="52"/>
      <c r="AO1240" s="52"/>
      <c r="AP1240" s="52"/>
      <c r="AQ1240" s="52"/>
    </row>
    <row r="1241" spans="1:43">
      <c r="A1241" s="150"/>
      <c r="B1241" s="125"/>
      <c r="C1241" s="125"/>
      <c r="D1241" s="125"/>
      <c r="E1241" s="125"/>
      <c r="F1241" s="52"/>
      <c r="G1241" s="52"/>
      <c r="H1241" s="52"/>
      <c r="I1241" s="52"/>
      <c r="J1241" s="52"/>
      <c r="K1241" s="52"/>
      <c r="L1241" s="52"/>
      <c r="M1241" s="52"/>
      <c r="N1241" s="52"/>
      <c r="O1241" s="52"/>
      <c r="P1241" s="52"/>
      <c r="Q1241" s="52"/>
      <c r="R1241" s="52"/>
      <c r="S1241" s="52"/>
      <c r="T1241" s="52"/>
      <c r="U1241" s="52"/>
      <c r="V1241" s="52"/>
      <c r="W1241" s="52"/>
      <c r="X1241" s="52"/>
      <c r="Y1241" s="52"/>
      <c r="Z1241" s="52"/>
      <c r="AA1241" s="52"/>
      <c r="AB1241" s="52"/>
      <c r="AC1241" s="52"/>
      <c r="AD1241" s="52"/>
      <c r="AE1241" s="52"/>
      <c r="AF1241" s="52"/>
      <c r="AG1241" s="52"/>
      <c r="AH1241" s="52"/>
      <c r="AI1241" s="52"/>
      <c r="AJ1241" s="52"/>
      <c r="AK1241" s="52"/>
      <c r="AL1241" s="52"/>
      <c r="AM1241" s="52"/>
      <c r="AN1241" s="52"/>
      <c r="AO1241" s="52"/>
      <c r="AP1241" s="52"/>
      <c r="AQ1241" s="52"/>
    </row>
    <row r="1242" spans="1:43">
      <c r="A1242" s="150"/>
      <c r="B1242" s="125"/>
      <c r="C1242" s="125"/>
      <c r="D1242" s="125"/>
      <c r="E1242" s="125"/>
      <c r="F1242" s="52"/>
      <c r="G1242" s="52"/>
      <c r="H1242" s="52"/>
      <c r="I1242" s="52"/>
      <c r="J1242" s="52"/>
      <c r="K1242" s="52"/>
      <c r="L1242" s="52"/>
      <c r="M1242" s="52"/>
      <c r="N1242" s="52"/>
      <c r="O1242" s="52"/>
      <c r="P1242" s="52"/>
      <c r="Q1242" s="52"/>
      <c r="R1242" s="52"/>
      <c r="S1242" s="52"/>
      <c r="T1242" s="52"/>
      <c r="U1242" s="52"/>
      <c r="V1242" s="52"/>
      <c r="W1242" s="52"/>
      <c r="X1242" s="52"/>
      <c r="Y1242" s="52"/>
      <c r="Z1242" s="52"/>
      <c r="AA1242" s="52"/>
      <c r="AB1242" s="52"/>
      <c r="AC1242" s="52"/>
      <c r="AD1242" s="52"/>
      <c r="AE1242" s="52"/>
      <c r="AF1242" s="52"/>
      <c r="AG1242" s="52"/>
      <c r="AH1242" s="52"/>
      <c r="AI1242" s="52"/>
      <c r="AJ1242" s="52"/>
      <c r="AK1242" s="52"/>
      <c r="AL1242" s="52"/>
      <c r="AM1242" s="52"/>
      <c r="AN1242" s="52"/>
      <c r="AO1242" s="52"/>
      <c r="AP1242" s="52"/>
      <c r="AQ1242" s="52"/>
    </row>
    <row r="1243" spans="1:43">
      <c r="A1243" s="150"/>
      <c r="B1243" s="125"/>
      <c r="C1243" s="125"/>
      <c r="D1243" s="125"/>
      <c r="E1243" s="125"/>
      <c r="F1243" s="52"/>
      <c r="G1243" s="52"/>
      <c r="H1243" s="52"/>
      <c r="I1243" s="52"/>
      <c r="J1243" s="52"/>
      <c r="K1243" s="52"/>
      <c r="L1243" s="52"/>
      <c r="M1243" s="52"/>
      <c r="N1243" s="52"/>
      <c r="O1243" s="52"/>
      <c r="P1243" s="52"/>
      <c r="Q1243" s="52"/>
      <c r="R1243" s="52"/>
      <c r="S1243" s="52"/>
      <c r="T1243" s="52"/>
      <c r="U1243" s="52"/>
      <c r="V1243" s="52"/>
      <c r="W1243" s="52"/>
      <c r="X1243" s="52"/>
      <c r="Y1243" s="52"/>
      <c r="Z1243" s="52"/>
      <c r="AA1243" s="52"/>
      <c r="AB1243" s="52"/>
      <c r="AC1243" s="52"/>
      <c r="AD1243" s="52"/>
      <c r="AE1243" s="52"/>
      <c r="AF1243" s="52"/>
      <c r="AG1243" s="52"/>
      <c r="AH1243" s="52"/>
      <c r="AI1243" s="52"/>
      <c r="AJ1243" s="52"/>
      <c r="AK1243" s="52"/>
      <c r="AL1243" s="52"/>
      <c r="AM1243" s="52"/>
      <c r="AN1243" s="52"/>
      <c r="AO1243" s="52"/>
      <c r="AP1243" s="52"/>
      <c r="AQ1243" s="52"/>
    </row>
    <row r="1244" spans="1:43">
      <c r="A1244" s="150"/>
      <c r="B1244" s="125"/>
      <c r="C1244" s="125"/>
      <c r="D1244" s="125"/>
      <c r="E1244" s="125"/>
      <c r="F1244" s="52"/>
      <c r="G1244" s="52"/>
      <c r="H1244" s="52"/>
      <c r="I1244" s="52"/>
      <c r="J1244" s="52"/>
      <c r="K1244" s="52"/>
      <c r="L1244" s="52"/>
      <c r="M1244" s="52"/>
      <c r="N1244" s="52"/>
      <c r="O1244" s="52"/>
      <c r="P1244" s="52"/>
      <c r="Q1244" s="52"/>
      <c r="R1244" s="52"/>
      <c r="S1244" s="52"/>
      <c r="T1244" s="52"/>
      <c r="U1244" s="52"/>
      <c r="V1244" s="52"/>
      <c r="W1244" s="52"/>
      <c r="X1244" s="52"/>
      <c r="Y1244" s="52"/>
      <c r="Z1244" s="52"/>
      <c r="AA1244" s="52"/>
      <c r="AB1244" s="52"/>
      <c r="AC1244" s="52"/>
      <c r="AD1244" s="52"/>
      <c r="AE1244" s="52"/>
      <c r="AF1244" s="52"/>
      <c r="AG1244" s="52"/>
      <c r="AH1244" s="52"/>
      <c r="AI1244" s="52"/>
      <c r="AJ1244" s="52"/>
      <c r="AK1244" s="52"/>
      <c r="AL1244" s="52"/>
      <c r="AM1244" s="52"/>
      <c r="AN1244" s="52"/>
      <c r="AO1244" s="52"/>
      <c r="AP1244" s="52"/>
      <c r="AQ1244" s="52"/>
    </row>
    <row r="1245" spans="1:43">
      <c r="A1245" s="150"/>
      <c r="B1245" s="125"/>
      <c r="C1245" s="125"/>
      <c r="D1245" s="125"/>
      <c r="E1245" s="125"/>
      <c r="F1245" s="52"/>
      <c r="G1245" s="52"/>
      <c r="H1245" s="52"/>
      <c r="I1245" s="52"/>
      <c r="J1245" s="52"/>
      <c r="K1245" s="52"/>
      <c r="L1245" s="52"/>
      <c r="M1245" s="52"/>
      <c r="N1245" s="52"/>
      <c r="O1245" s="52"/>
      <c r="P1245" s="52"/>
      <c r="Q1245" s="52"/>
      <c r="R1245" s="52"/>
      <c r="S1245" s="52"/>
      <c r="T1245" s="52"/>
      <c r="U1245" s="52"/>
      <c r="V1245" s="52"/>
      <c r="W1245" s="52"/>
      <c r="X1245" s="52"/>
      <c r="Y1245" s="52"/>
      <c r="Z1245" s="52"/>
      <c r="AA1245" s="52"/>
      <c r="AB1245" s="52"/>
      <c r="AC1245" s="52"/>
      <c r="AD1245" s="52"/>
      <c r="AE1245" s="52"/>
      <c r="AF1245" s="52"/>
      <c r="AG1245" s="52"/>
      <c r="AH1245" s="52"/>
      <c r="AI1245" s="52"/>
      <c r="AJ1245" s="52"/>
      <c r="AK1245" s="52"/>
      <c r="AL1245" s="52"/>
      <c r="AM1245" s="52"/>
      <c r="AN1245" s="52"/>
      <c r="AO1245" s="52"/>
      <c r="AP1245" s="52"/>
      <c r="AQ1245" s="52"/>
    </row>
    <row r="1246" spans="1:43">
      <c r="A1246" s="150"/>
      <c r="B1246" s="125"/>
      <c r="C1246" s="125"/>
      <c r="D1246" s="125"/>
      <c r="E1246" s="125"/>
      <c r="F1246" s="52"/>
      <c r="G1246" s="52"/>
      <c r="H1246" s="52"/>
      <c r="I1246" s="52"/>
      <c r="J1246" s="52"/>
      <c r="K1246" s="52"/>
      <c r="L1246" s="52"/>
      <c r="M1246" s="52"/>
      <c r="N1246" s="52"/>
      <c r="O1246" s="52"/>
      <c r="P1246" s="52"/>
      <c r="Q1246" s="52"/>
      <c r="R1246" s="52"/>
      <c r="S1246" s="52"/>
      <c r="T1246" s="52"/>
      <c r="U1246" s="52"/>
      <c r="V1246" s="52"/>
      <c r="W1246" s="52"/>
      <c r="X1246" s="52"/>
      <c r="Y1246" s="52"/>
      <c r="Z1246" s="52"/>
      <c r="AA1246" s="52"/>
      <c r="AB1246" s="52"/>
      <c r="AC1246" s="52"/>
      <c r="AD1246" s="52"/>
      <c r="AE1246" s="52"/>
      <c r="AF1246" s="52"/>
      <c r="AG1246" s="52"/>
      <c r="AH1246" s="52"/>
      <c r="AI1246" s="52"/>
      <c r="AJ1246" s="52"/>
      <c r="AK1246" s="52"/>
      <c r="AL1246" s="52"/>
      <c r="AM1246" s="52"/>
      <c r="AN1246" s="52"/>
      <c r="AO1246" s="52"/>
      <c r="AP1246" s="52"/>
      <c r="AQ1246" s="52"/>
    </row>
    <row r="1247" spans="1:43">
      <c r="A1247" s="150"/>
      <c r="B1247" s="125"/>
      <c r="C1247" s="125"/>
      <c r="D1247" s="125"/>
      <c r="E1247" s="125"/>
      <c r="F1247" s="52"/>
      <c r="G1247" s="52"/>
      <c r="H1247" s="52"/>
      <c r="I1247" s="52"/>
      <c r="J1247" s="52"/>
      <c r="K1247" s="52"/>
      <c r="L1247" s="52"/>
      <c r="M1247" s="52"/>
      <c r="N1247" s="52"/>
      <c r="O1247" s="52"/>
      <c r="P1247" s="52"/>
      <c r="Q1247" s="52"/>
      <c r="R1247" s="52"/>
      <c r="S1247" s="52"/>
      <c r="T1247" s="52"/>
      <c r="U1247" s="52"/>
      <c r="V1247" s="52"/>
      <c r="W1247" s="52"/>
      <c r="X1247" s="52"/>
      <c r="Y1247" s="52"/>
      <c r="Z1247" s="52"/>
      <c r="AA1247" s="52"/>
      <c r="AB1247" s="52"/>
      <c r="AC1247" s="52"/>
      <c r="AD1247" s="52"/>
      <c r="AE1247" s="52"/>
      <c r="AF1247" s="52"/>
      <c r="AG1247" s="52"/>
      <c r="AH1247" s="52"/>
      <c r="AI1247" s="52"/>
      <c r="AJ1247" s="52"/>
      <c r="AK1247" s="52"/>
      <c r="AL1247" s="52"/>
      <c r="AM1247" s="52"/>
      <c r="AN1247" s="52"/>
      <c r="AO1247" s="52"/>
      <c r="AP1247" s="52"/>
      <c r="AQ1247" s="52"/>
    </row>
    <row r="1248" spans="1:43">
      <c r="A1248" s="150"/>
      <c r="B1248" s="125"/>
      <c r="C1248" s="125"/>
      <c r="D1248" s="125"/>
      <c r="E1248" s="125"/>
      <c r="F1248" s="52"/>
      <c r="G1248" s="52"/>
      <c r="H1248" s="52"/>
      <c r="I1248" s="52"/>
      <c r="J1248" s="52"/>
      <c r="K1248" s="52"/>
      <c r="L1248" s="52"/>
      <c r="M1248" s="52"/>
      <c r="N1248" s="52"/>
      <c r="O1248" s="52"/>
      <c r="P1248" s="52"/>
      <c r="Q1248" s="52"/>
      <c r="R1248" s="52"/>
      <c r="S1248" s="52"/>
      <c r="T1248" s="52"/>
      <c r="U1248" s="52"/>
      <c r="V1248" s="52"/>
      <c r="W1248" s="52"/>
      <c r="X1248" s="52"/>
      <c r="Y1248" s="52"/>
      <c r="Z1248" s="52"/>
      <c r="AA1248" s="52"/>
      <c r="AB1248" s="52"/>
      <c r="AC1248" s="52"/>
      <c r="AD1248" s="52"/>
      <c r="AE1248" s="52"/>
      <c r="AF1248" s="52"/>
      <c r="AG1248" s="52"/>
      <c r="AH1248" s="52"/>
      <c r="AI1248" s="52"/>
      <c r="AJ1248" s="52"/>
      <c r="AK1248" s="52"/>
      <c r="AL1248" s="52"/>
      <c r="AM1248" s="52"/>
      <c r="AN1248" s="52"/>
      <c r="AO1248" s="52"/>
      <c r="AP1248" s="52"/>
      <c r="AQ1248" s="52"/>
    </row>
    <row r="1249" spans="1:43">
      <c r="A1249" s="150"/>
      <c r="B1249" s="125"/>
      <c r="C1249" s="125"/>
      <c r="D1249" s="125"/>
      <c r="E1249" s="125"/>
      <c r="F1249" s="52"/>
      <c r="G1249" s="52"/>
      <c r="H1249" s="52"/>
      <c r="I1249" s="52"/>
      <c r="J1249" s="52"/>
      <c r="K1249" s="52"/>
      <c r="L1249" s="52"/>
      <c r="M1249" s="52"/>
      <c r="N1249" s="52"/>
      <c r="O1249" s="52"/>
      <c r="P1249" s="52"/>
      <c r="Q1249" s="52"/>
      <c r="R1249" s="52"/>
      <c r="S1249" s="52"/>
      <c r="T1249" s="52"/>
      <c r="U1249" s="52"/>
      <c r="V1249" s="52"/>
      <c r="W1249" s="52"/>
      <c r="X1249" s="52"/>
      <c r="Y1249" s="52"/>
      <c r="Z1249" s="52"/>
      <c r="AA1249" s="52"/>
      <c r="AB1249" s="52"/>
      <c r="AC1249" s="52"/>
      <c r="AD1249" s="52"/>
      <c r="AE1249" s="52"/>
      <c r="AF1249" s="52"/>
      <c r="AG1249" s="52"/>
      <c r="AH1249" s="52"/>
      <c r="AI1249" s="52"/>
      <c r="AJ1249" s="52"/>
      <c r="AK1249" s="52"/>
      <c r="AL1249" s="52"/>
      <c r="AM1249" s="52"/>
      <c r="AN1249" s="52"/>
      <c r="AO1249" s="52"/>
      <c r="AP1249" s="52"/>
      <c r="AQ1249" s="52"/>
    </row>
    <row r="1250" spans="1:43">
      <c r="A1250" s="150"/>
      <c r="B1250" s="125"/>
      <c r="C1250" s="125"/>
      <c r="D1250" s="125"/>
      <c r="E1250" s="125"/>
      <c r="F1250" s="52"/>
      <c r="G1250" s="52"/>
      <c r="H1250" s="52"/>
      <c r="I1250" s="52"/>
      <c r="J1250" s="52"/>
      <c r="K1250" s="52"/>
      <c r="L1250" s="52"/>
      <c r="M1250" s="52"/>
      <c r="N1250" s="52"/>
      <c r="O1250" s="52"/>
      <c r="P1250" s="52"/>
      <c r="Q1250" s="52"/>
      <c r="R1250" s="52"/>
      <c r="S1250" s="52"/>
      <c r="T1250" s="52"/>
      <c r="U1250" s="52"/>
      <c r="V1250" s="52"/>
      <c r="W1250" s="52"/>
      <c r="X1250" s="52"/>
      <c r="Y1250" s="52"/>
      <c r="Z1250" s="52"/>
      <c r="AA1250" s="52"/>
      <c r="AB1250" s="52"/>
      <c r="AC1250" s="52"/>
      <c r="AD1250" s="52"/>
      <c r="AE1250" s="52"/>
      <c r="AF1250" s="52"/>
      <c r="AG1250" s="52"/>
      <c r="AH1250" s="52"/>
      <c r="AI1250" s="52"/>
      <c r="AJ1250" s="52"/>
      <c r="AK1250" s="52"/>
      <c r="AL1250" s="52"/>
      <c r="AM1250" s="52"/>
      <c r="AN1250" s="52"/>
      <c r="AO1250" s="52"/>
      <c r="AP1250" s="52"/>
      <c r="AQ1250" s="52"/>
    </row>
    <row r="1251" spans="1:43">
      <c r="A1251" s="150"/>
      <c r="B1251" s="125"/>
      <c r="C1251" s="125"/>
      <c r="D1251" s="125"/>
      <c r="E1251" s="125"/>
      <c r="F1251" s="52"/>
      <c r="G1251" s="52"/>
      <c r="H1251" s="52"/>
      <c r="I1251" s="52"/>
      <c r="J1251" s="52"/>
      <c r="K1251" s="52"/>
      <c r="L1251" s="52"/>
      <c r="M1251" s="52"/>
      <c r="N1251" s="52"/>
      <c r="O1251" s="52"/>
      <c r="P1251" s="52"/>
      <c r="Q1251" s="52"/>
      <c r="R1251" s="52"/>
      <c r="S1251" s="52"/>
      <c r="T1251" s="52"/>
      <c r="U1251" s="52"/>
      <c r="V1251" s="52"/>
      <c r="W1251" s="52"/>
      <c r="X1251" s="52"/>
      <c r="Y1251" s="52"/>
      <c r="Z1251" s="52"/>
      <c r="AA1251" s="52"/>
      <c r="AB1251" s="52"/>
      <c r="AC1251" s="52"/>
      <c r="AD1251" s="52"/>
      <c r="AE1251" s="52"/>
      <c r="AF1251" s="52"/>
      <c r="AG1251" s="52"/>
      <c r="AH1251" s="52"/>
      <c r="AI1251" s="52"/>
      <c r="AJ1251" s="52"/>
      <c r="AK1251" s="52"/>
      <c r="AL1251" s="52"/>
      <c r="AM1251" s="52"/>
      <c r="AN1251" s="52"/>
      <c r="AO1251" s="52"/>
      <c r="AP1251" s="52"/>
      <c r="AQ1251" s="52"/>
    </row>
    <row r="1252" spans="1:43">
      <c r="A1252" s="150"/>
      <c r="B1252" s="125"/>
      <c r="C1252" s="125"/>
      <c r="D1252" s="125"/>
      <c r="E1252" s="125"/>
      <c r="F1252" s="52"/>
      <c r="G1252" s="52"/>
      <c r="H1252" s="52"/>
      <c r="I1252" s="52"/>
      <c r="J1252" s="52"/>
      <c r="K1252" s="52"/>
      <c r="L1252" s="52"/>
      <c r="M1252" s="52"/>
      <c r="N1252" s="52"/>
      <c r="O1252" s="52"/>
      <c r="P1252" s="52"/>
      <c r="Q1252" s="52"/>
      <c r="R1252" s="52"/>
      <c r="S1252" s="52"/>
      <c r="T1252" s="52"/>
      <c r="U1252" s="52"/>
      <c r="V1252" s="52"/>
      <c r="W1252" s="52"/>
      <c r="X1252" s="52"/>
      <c r="Y1252" s="52"/>
      <c r="Z1252" s="52"/>
      <c r="AA1252" s="52"/>
      <c r="AB1252" s="52"/>
      <c r="AC1252" s="52"/>
      <c r="AD1252" s="52"/>
      <c r="AE1252" s="52"/>
      <c r="AF1252" s="52"/>
      <c r="AG1252" s="52"/>
      <c r="AH1252" s="52"/>
      <c r="AI1252" s="52"/>
      <c r="AJ1252" s="52"/>
      <c r="AK1252" s="52"/>
      <c r="AL1252" s="52"/>
      <c r="AM1252" s="52"/>
      <c r="AN1252" s="52"/>
      <c r="AO1252" s="52"/>
      <c r="AP1252" s="52"/>
      <c r="AQ1252" s="52"/>
    </row>
    <row r="1253" spans="1:43">
      <c r="A1253" s="150"/>
      <c r="B1253" s="125"/>
      <c r="C1253" s="125"/>
      <c r="D1253" s="125"/>
      <c r="E1253" s="125"/>
      <c r="F1253" s="52"/>
      <c r="G1253" s="52"/>
      <c r="H1253" s="52"/>
      <c r="I1253" s="52"/>
      <c r="J1253" s="52"/>
      <c r="K1253" s="52"/>
      <c r="L1253" s="52"/>
      <c r="M1253" s="52"/>
      <c r="N1253" s="52"/>
      <c r="O1253" s="52"/>
      <c r="P1253" s="52"/>
      <c r="Q1253" s="52"/>
      <c r="R1253" s="52"/>
      <c r="S1253" s="52"/>
      <c r="T1253" s="52"/>
      <c r="U1253" s="52"/>
      <c r="V1253" s="52"/>
      <c r="W1253" s="52"/>
      <c r="X1253" s="52"/>
      <c r="Y1253" s="52"/>
      <c r="Z1253" s="52"/>
      <c r="AA1253" s="52"/>
      <c r="AB1253" s="52"/>
      <c r="AC1253" s="52"/>
      <c r="AD1253" s="52"/>
      <c r="AE1253" s="52"/>
      <c r="AF1253" s="52"/>
      <c r="AG1253" s="52"/>
      <c r="AH1253" s="52"/>
      <c r="AI1253" s="52"/>
      <c r="AJ1253" s="52"/>
      <c r="AK1253" s="52"/>
      <c r="AL1253" s="52"/>
      <c r="AM1253" s="52"/>
      <c r="AN1253" s="52"/>
      <c r="AO1253" s="52"/>
      <c r="AP1253" s="52"/>
      <c r="AQ1253" s="52"/>
    </row>
    <row r="1254" spans="1:43">
      <c r="A1254" s="150"/>
      <c r="B1254" s="125"/>
      <c r="C1254" s="125"/>
      <c r="D1254" s="125"/>
      <c r="E1254" s="125"/>
      <c r="F1254" s="52"/>
      <c r="G1254" s="52"/>
      <c r="H1254" s="52"/>
      <c r="I1254" s="52"/>
      <c r="J1254" s="52"/>
      <c r="K1254" s="52"/>
      <c r="L1254" s="52"/>
      <c r="M1254" s="52"/>
      <c r="N1254" s="52"/>
      <c r="O1254" s="52"/>
      <c r="P1254" s="52"/>
      <c r="Q1254" s="52"/>
      <c r="R1254" s="52"/>
      <c r="S1254" s="52"/>
      <c r="T1254" s="52"/>
      <c r="U1254" s="52"/>
      <c r="V1254" s="52"/>
      <c r="W1254" s="52"/>
      <c r="X1254" s="52"/>
      <c r="Y1254" s="52"/>
      <c r="Z1254" s="52"/>
      <c r="AA1254" s="52"/>
      <c r="AB1254" s="52"/>
      <c r="AC1254" s="52"/>
      <c r="AD1254" s="52"/>
      <c r="AE1254" s="52"/>
      <c r="AF1254" s="52"/>
      <c r="AG1254" s="52"/>
      <c r="AH1254" s="52"/>
      <c r="AI1254" s="52"/>
      <c r="AJ1254" s="52"/>
      <c r="AK1254" s="52"/>
      <c r="AL1254" s="52"/>
      <c r="AM1254" s="52"/>
      <c r="AN1254" s="52"/>
      <c r="AO1254" s="52"/>
      <c r="AP1254" s="52"/>
      <c r="AQ1254" s="52"/>
    </row>
    <row r="1255" spans="1:43">
      <c r="A1255" s="150"/>
      <c r="B1255" s="125"/>
      <c r="C1255" s="125"/>
      <c r="D1255" s="125"/>
      <c r="E1255" s="125"/>
      <c r="F1255" s="52"/>
      <c r="G1255" s="52"/>
      <c r="H1255" s="52"/>
      <c r="I1255" s="52"/>
      <c r="J1255" s="52"/>
      <c r="K1255" s="52"/>
      <c r="L1255" s="52"/>
      <c r="M1255" s="52"/>
      <c r="N1255" s="52"/>
      <c r="O1255" s="52"/>
      <c r="P1255" s="52"/>
      <c r="Q1255" s="52"/>
      <c r="R1255" s="52"/>
      <c r="S1255" s="52"/>
      <c r="T1255" s="52"/>
      <c r="U1255" s="52"/>
      <c r="V1255" s="52"/>
      <c r="W1255" s="52"/>
      <c r="X1255" s="52"/>
      <c r="Y1255" s="52"/>
      <c r="Z1255" s="52"/>
      <c r="AA1255" s="52"/>
      <c r="AB1255" s="52"/>
      <c r="AC1255" s="52"/>
      <c r="AD1255" s="52"/>
      <c r="AE1255" s="52"/>
      <c r="AF1255" s="52"/>
      <c r="AG1255" s="52"/>
      <c r="AH1255" s="52"/>
      <c r="AI1255" s="52"/>
      <c r="AJ1255" s="52"/>
      <c r="AK1255" s="52"/>
      <c r="AL1255" s="52"/>
      <c r="AM1255" s="52"/>
      <c r="AN1255" s="52"/>
      <c r="AO1255" s="52"/>
      <c r="AP1255" s="52"/>
      <c r="AQ1255" s="52"/>
    </row>
    <row r="1256" spans="1:43">
      <c r="A1256" s="150"/>
      <c r="B1256" s="125"/>
      <c r="C1256" s="125"/>
      <c r="D1256" s="125"/>
      <c r="E1256" s="125"/>
      <c r="F1256" s="52"/>
      <c r="G1256" s="52"/>
      <c r="H1256" s="52"/>
      <c r="I1256" s="52"/>
      <c r="J1256" s="52"/>
      <c r="K1256" s="52"/>
      <c r="L1256" s="52"/>
      <c r="M1256" s="52"/>
      <c r="N1256" s="52"/>
      <c r="O1256" s="52"/>
      <c r="P1256" s="52"/>
      <c r="Q1256" s="52"/>
      <c r="R1256" s="52"/>
      <c r="S1256" s="52"/>
      <c r="T1256" s="52"/>
      <c r="U1256" s="52"/>
      <c r="V1256" s="52"/>
      <c r="W1256" s="52"/>
      <c r="X1256" s="52"/>
      <c r="Y1256" s="52"/>
      <c r="Z1256" s="52"/>
      <c r="AA1256" s="52"/>
      <c r="AB1256" s="52"/>
      <c r="AC1256" s="52"/>
      <c r="AD1256" s="52"/>
      <c r="AE1256" s="52"/>
      <c r="AF1256" s="52"/>
      <c r="AG1256" s="52"/>
      <c r="AH1256" s="52"/>
      <c r="AI1256" s="52"/>
      <c r="AJ1256" s="52"/>
      <c r="AK1256" s="52"/>
      <c r="AL1256" s="52"/>
      <c r="AM1256" s="52"/>
      <c r="AN1256" s="52"/>
      <c r="AO1256" s="52"/>
      <c r="AP1256" s="52"/>
      <c r="AQ1256" s="52"/>
    </row>
    <row r="1257" spans="1:43">
      <c r="A1257" s="150"/>
      <c r="B1257" s="125"/>
      <c r="C1257" s="125"/>
      <c r="D1257" s="125"/>
      <c r="E1257" s="125"/>
      <c r="F1257" s="52"/>
      <c r="G1257" s="52"/>
      <c r="H1257" s="52"/>
      <c r="I1257" s="52"/>
      <c r="J1257" s="52"/>
      <c r="K1257" s="52"/>
      <c r="L1257" s="52"/>
      <c r="M1257" s="52"/>
      <c r="N1257" s="52"/>
      <c r="O1257" s="52"/>
      <c r="P1257" s="52"/>
      <c r="Q1257" s="52"/>
      <c r="R1257" s="52"/>
      <c r="S1257" s="52"/>
      <c r="T1257" s="52"/>
      <c r="U1257" s="52"/>
      <c r="V1257" s="52"/>
      <c r="W1257" s="52"/>
      <c r="X1257" s="52"/>
      <c r="Y1257" s="52"/>
      <c r="Z1257" s="52"/>
      <c r="AA1257" s="52"/>
      <c r="AB1257" s="52"/>
      <c r="AC1257" s="52"/>
      <c r="AD1257" s="52"/>
      <c r="AE1257" s="52"/>
      <c r="AF1257" s="52"/>
      <c r="AG1257" s="52"/>
      <c r="AH1257" s="52"/>
      <c r="AI1257" s="52"/>
      <c r="AJ1257" s="52"/>
      <c r="AK1257" s="52"/>
      <c r="AL1257" s="52"/>
      <c r="AM1257" s="52"/>
      <c r="AN1257" s="52"/>
      <c r="AO1257" s="52"/>
      <c r="AP1257" s="52"/>
      <c r="AQ1257" s="52"/>
    </row>
    <row r="1258" spans="1:43">
      <c r="A1258" s="150"/>
      <c r="B1258" s="125"/>
      <c r="C1258" s="125"/>
      <c r="D1258" s="125"/>
      <c r="E1258" s="125"/>
      <c r="F1258" s="52"/>
      <c r="G1258" s="52"/>
      <c r="H1258" s="52"/>
      <c r="I1258" s="52"/>
      <c r="J1258" s="52"/>
      <c r="K1258" s="52"/>
      <c r="L1258" s="52"/>
      <c r="M1258" s="52"/>
      <c r="N1258" s="52"/>
      <c r="O1258" s="52"/>
      <c r="P1258" s="52"/>
      <c r="Q1258" s="52"/>
      <c r="R1258" s="52"/>
      <c r="S1258" s="52"/>
      <c r="T1258" s="52"/>
      <c r="U1258" s="52"/>
      <c r="V1258" s="52"/>
      <c r="W1258" s="52"/>
      <c r="X1258" s="52"/>
      <c r="Y1258" s="52"/>
      <c r="Z1258" s="52"/>
      <c r="AA1258" s="52"/>
      <c r="AB1258" s="52"/>
      <c r="AC1258" s="52"/>
      <c r="AD1258" s="52"/>
      <c r="AE1258" s="52"/>
      <c r="AF1258" s="52"/>
      <c r="AG1258" s="52"/>
      <c r="AH1258" s="52"/>
      <c r="AI1258" s="52"/>
      <c r="AJ1258" s="52"/>
      <c r="AK1258" s="52"/>
      <c r="AL1258" s="52"/>
      <c r="AM1258" s="52"/>
      <c r="AN1258" s="52"/>
      <c r="AO1258" s="52"/>
      <c r="AP1258" s="52"/>
      <c r="AQ1258" s="52"/>
    </row>
    <row r="1259" spans="1:43">
      <c r="A1259" s="150"/>
      <c r="B1259" s="125"/>
      <c r="C1259" s="125"/>
      <c r="D1259" s="125"/>
      <c r="E1259" s="125"/>
      <c r="F1259" s="52"/>
      <c r="G1259" s="52"/>
      <c r="H1259" s="52"/>
      <c r="I1259" s="52"/>
      <c r="J1259" s="52"/>
      <c r="K1259" s="52"/>
      <c r="L1259" s="52"/>
      <c r="M1259" s="52"/>
      <c r="N1259" s="52"/>
      <c r="O1259" s="52"/>
      <c r="P1259" s="52"/>
      <c r="Q1259" s="52"/>
      <c r="R1259" s="52"/>
      <c r="S1259" s="52"/>
      <c r="T1259" s="52"/>
      <c r="U1259" s="52"/>
      <c r="V1259" s="52"/>
      <c r="W1259" s="52"/>
      <c r="X1259" s="52"/>
      <c r="Y1259" s="52"/>
      <c r="Z1259" s="52"/>
      <c r="AA1259" s="52"/>
      <c r="AB1259" s="52"/>
      <c r="AC1259" s="52"/>
      <c r="AD1259" s="52"/>
      <c r="AE1259" s="52"/>
      <c r="AF1259" s="52"/>
      <c r="AG1259" s="52"/>
      <c r="AH1259" s="52"/>
      <c r="AI1259" s="52"/>
      <c r="AJ1259" s="52"/>
      <c r="AK1259" s="52"/>
      <c r="AL1259" s="52"/>
      <c r="AM1259" s="52"/>
      <c r="AN1259" s="52"/>
      <c r="AO1259" s="52"/>
      <c r="AP1259" s="52"/>
      <c r="AQ1259" s="52"/>
    </row>
    <row r="1260" spans="1:43">
      <c r="A1260" s="150"/>
      <c r="B1260" s="125"/>
      <c r="C1260" s="125"/>
      <c r="D1260" s="125"/>
      <c r="E1260" s="125"/>
      <c r="F1260" s="52"/>
      <c r="G1260" s="52"/>
      <c r="H1260" s="52"/>
      <c r="I1260" s="52"/>
      <c r="J1260" s="52"/>
      <c r="K1260" s="52"/>
      <c r="L1260" s="52"/>
      <c r="M1260" s="52"/>
      <c r="N1260" s="52"/>
      <c r="O1260" s="52"/>
      <c r="P1260" s="52"/>
      <c r="Q1260" s="52"/>
      <c r="R1260" s="52"/>
      <c r="S1260" s="52"/>
      <c r="T1260" s="52"/>
      <c r="U1260" s="52"/>
      <c r="V1260" s="52"/>
      <c r="W1260" s="52"/>
      <c r="X1260" s="52"/>
      <c r="Y1260" s="52"/>
      <c r="Z1260" s="52"/>
      <c r="AA1260" s="52"/>
      <c r="AB1260" s="52"/>
      <c r="AC1260" s="52"/>
      <c r="AD1260" s="52"/>
      <c r="AE1260" s="52"/>
      <c r="AF1260" s="52"/>
      <c r="AG1260" s="52"/>
      <c r="AH1260" s="52"/>
      <c r="AI1260" s="52"/>
      <c r="AJ1260" s="52"/>
      <c r="AK1260" s="52"/>
      <c r="AL1260" s="52"/>
      <c r="AM1260" s="52"/>
      <c r="AN1260" s="52"/>
      <c r="AO1260" s="52"/>
      <c r="AP1260" s="52"/>
      <c r="AQ1260" s="52"/>
    </row>
    <row r="1261" spans="1:43">
      <c r="A1261" s="150"/>
      <c r="B1261" s="125"/>
      <c r="C1261" s="125"/>
      <c r="D1261" s="125"/>
      <c r="E1261" s="125"/>
      <c r="F1261" s="52"/>
      <c r="G1261" s="52"/>
      <c r="H1261" s="52"/>
      <c r="I1261" s="52"/>
      <c r="J1261" s="52"/>
      <c r="K1261" s="52"/>
      <c r="L1261" s="52"/>
      <c r="M1261" s="52"/>
      <c r="N1261" s="52"/>
      <c r="O1261" s="52"/>
      <c r="P1261" s="52"/>
      <c r="Q1261" s="52"/>
      <c r="R1261" s="52"/>
      <c r="S1261" s="52"/>
      <c r="T1261" s="52"/>
      <c r="U1261" s="52"/>
      <c r="V1261" s="52"/>
      <c r="W1261" s="52"/>
      <c r="X1261" s="52"/>
      <c r="Y1261" s="52"/>
      <c r="Z1261" s="52"/>
      <c r="AA1261" s="52"/>
      <c r="AB1261" s="52"/>
      <c r="AC1261" s="52"/>
      <c r="AD1261" s="52"/>
      <c r="AE1261" s="52"/>
      <c r="AF1261" s="52"/>
      <c r="AG1261" s="52"/>
      <c r="AH1261" s="52"/>
      <c r="AI1261" s="52"/>
      <c r="AJ1261" s="52"/>
      <c r="AK1261" s="52"/>
      <c r="AL1261" s="52"/>
      <c r="AM1261" s="52"/>
      <c r="AN1261" s="52"/>
      <c r="AO1261" s="52"/>
      <c r="AP1261" s="52"/>
      <c r="AQ1261" s="52"/>
    </row>
    <row r="1262" spans="1:43">
      <c r="A1262" s="150"/>
      <c r="B1262" s="125"/>
      <c r="C1262" s="125"/>
      <c r="D1262" s="125"/>
      <c r="E1262" s="125"/>
      <c r="F1262" s="52"/>
      <c r="G1262" s="52"/>
      <c r="H1262" s="52"/>
      <c r="I1262" s="52"/>
      <c r="J1262" s="52"/>
      <c r="K1262" s="52"/>
      <c r="L1262" s="52"/>
      <c r="M1262" s="52"/>
      <c r="N1262" s="52"/>
      <c r="O1262" s="52"/>
      <c r="P1262" s="52"/>
      <c r="Q1262" s="52"/>
      <c r="R1262" s="52"/>
      <c r="S1262" s="52"/>
      <c r="T1262" s="52"/>
      <c r="U1262" s="52"/>
      <c r="V1262" s="52"/>
      <c r="W1262" s="52"/>
      <c r="X1262" s="52"/>
      <c r="Y1262" s="52"/>
      <c r="Z1262" s="52"/>
      <c r="AA1262" s="52"/>
      <c r="AB1262" s="52"/>
      <c r="AC1262" s="52"/>
      <c r="AD1262" s="52"/>
      <c r="AE1262" s="52"/>
      <c r="AF1262" s="52"/>
      <c r="AG1262" s="52"/>
      <c r="AH1262" s="52"/>
      <c r="AI1262" s="52"/>
      <c r="AJ1262" s="52"/>
      <c r="AK1262" s="52"/>
      <c r="AL1262" s="52"/>
      <c r="AM1262" s="52"/>
      <c r="AN1262" s="52"/>
      <c r="AO1262" s="52"/>
      <c r="AP1262" s="52"/>
      <c r="AQ1262" s="52"/>
    </row>
    <row r="1263" spans="1:43">
      <c r="A1263" s="150"/>
      <c r="B1263" s="125"/>
      <c r="C1263" s="125"/>
      <c r="D1263" s="125"/>
      <c r="E1263" s="125"/>
      <c r="F1263" s="52"/>
      <c r="G1263" s="52"/>
      <c r="H1263" s="52"/>
      <c r="I1263" s="52"/>
      <c r="J1263" s="52"/>
      <c r="K1263" s="52"/>
      <c r="L1263" s="52"/>
      <c r="M1263" s="52"/>
      <c r="N1263" s="52"/>
      <c r="O1263" s="52"/>
      <c r="P1263" s="52"/>
      <c r="Q1263" s="52"/>
      <c r="R1263" s="52"/>
      <c r="S1263" s="52"/>
      <c r="T1263" s="52"/>
      <c r="U1263" s="52"/>
      <c r="V1263" s="52"/>
      <c r="W1263" s="52"/>
      <c r="X1263" s="52"/>
      <c r="Y1263" s="52"/>
      <c r="Z1263" s="52"/>
      <c r="AA1263" s="52"/>
      <c r="AB1263" s="52"/>
      <c r="AC1263" s="52"/>
      <c r="AD1263" s="52"/>
      <c r="AE1263" s="52"/>
      <c r="AF1263" s="52"/>
      <c r="AG1263" s="52"/>
      <c r="AH1263" s="52"/>
      <c r="AI1263" s="52"/>
      <c r="AJ1263" s="52"/>
      <c r="AK1263" s="52"/>
      <c r="AL1263" s="52"/>
      <c r="AM1263" s="52"/>
      <c r="AN1263" s="52"/>
      <c r="AO1263" s="52"/>
      <c r="AP1263" s="52"/>
      <c r="AQ1263" s="52"/>
    </row>
    <row r="1264" spans="1:43">
      <c r="A1264" s="150"/>
      <c r="B1264" s="125"/>
      <c r="C1264" s="125"/>
      <c r="D1264" s="125"/>
      <c r="E1264" s="125"/>
      <c r="F1264" s="52"/>
      <c r="G1264" s="52"/>
      <c r="H1264" s="52"/>
      <c r="I1264" s="52"/>
      <c r="J1264" s="52"/>
      <c r="K1264" s="52"/>
      <c r="L1264" s="52"/>
      <c r="M1264" s="52"/>
      <c r="N1264" s="52"/>
      <c r="O1264" s="52"/>
      <c r="P1264" s="52"/>
      <c r="Q1264" s="52"/>
      <c r="R1264" s="52"/>
      <c r="S1264" s="52"/>
      <c r="T1264" s="52"/>
      <c r="U1264" s="52"/>
      <c r="V1264" s="52"/>
      <c r="W1264" s="52"/>
      <c r="X1264" s="52"/>
      <c r="Y1264" s="52"/>
      <c r="Z1264" s="52"/>
      <c r="AA1264" s="52"/>
      <c r="AB1264" s="52"/>
      <c r="AC1264" s="52"/>
      <c r="AD1264" s="52"/>
      <c r="AE1264" s="52"/>
      <c r="AF1264" s="52"/>
      <c r="AG1264" s="52"/>
      <c r="AH1264" s="52"/>
      <c r="AI1264" s="52"/>
      <c r="AJ1264" s="52"/>
      <c r="AK1264" s="52"/>
      <c r="AL1264" s="52"/>
      <c r="AM1264" s="52"/>
      <c r="AN1264" s="52"/>
      <c r="AO1264" s="52"/>
      <c r="AP1264" s="52"/>
      <c r="AQ1264" s="52"/>
    </row>
    <row r="1265" spans="1:43">
      <c r="A1265" s="150"/>
      <c r="B1265" s="125"/>
      <c r="C1265" s="125"/>
      <c r="D1265" s="125"/>
      <c r="E1265" s="125"/>
      <c r="F1265" s="52"/>
      <c r="G1265" s="52"/>
      <c r="H1265" s="52"/>
      <c r="I1265" s="52"/>
      <c r="J1265" s="52"/>
      <c r="K1265" s="52"/>
      <c r="L1265" s="52"/>
      <c r="M1265" s="52"/>
      <c r="N1265" s="52"/>
      <c r="O1265" s="52"/>
      <c r="P1265" s="52"/>
      <c r="Q1265" s="52"/>
      <c r="R1265" s="52"/>
      <c r="S1265" s="52"/>
      <c r="T1265" s="52"/>
      <c r="U1265" s="52"/>
      <c r="V1265" s="52"/>
      <c r="W1265" s="52"/>
      <c r="X1265" s="52"/>
      <c r="Y1265" s="52"/>
      <c r="Z1265" s="52"/>
      <c r="AA1265" s="52"/>
      <c r="AB1265" s="52"/>
      <c r="AC1265" s="52"/>
      <c r="AD1265" s="52"/>
      <c r="AE1265" s="52"/>
      <c r="AF1265" s="52"/>
      <c r="AG1265" s="52"/>
      <c r="AH1265" s="52"/>
      <c r="AI1265" s="52"/>
      <c r="AJ1265" s="52"/>
      <c r="AK1265" s="52"/>
      <c r="AL1265" s="52"/>
      <c r="AM1265" s="52"/>
      <c r="AN1265" s="52"/>
      <c r="AO1265" s="52"/>
      <c r="AP1265" s="52"/>
      <c r="AQ1265" s="52"/>
    </row>
    <row r="1266" spans="1:43">
      <c r="A1266" s="150"/>
      <c r="B1266" s="125"/>
      <c r="C1266" s="125"/>
      <c r="D1266" s="125"/>
      <c r="E1266" s="125"/>
      <c r="F1266" s="52"/>
      <c r="G1266" s="52"/>
      <c r="H1266" s="52"/>
      <c r="I1266" s="52"/>
      <c r="J1266" s="52"/>
      <c r="K1266" s="52"/>
      <c r="L1266" s="52"/>
      <c r="M1266" s="52"/>
      <c r="N1266" s="52"/>
      <c r="O1266" s="52"/>
      <c r="P1266" s="52"/>
      <c r="Q1266" s="52"/>
      <c r="R1266" s="52"/>
      <c r="S1266" s="52"/>
      <c r="T1266" s="52"/>
      <c r="U1266" s="52"/>
      <c r="V1266" s="52"/>
      <c r="W1266" s="52"/>
      <c r="X1266" s="52"/>
      <c r="Y1266" s="52"/>
      <c r="Z1266" s="52"/>
      <c r="AA1266" s="52"/>
      <c r="AB1266" s="52"/>
      <c r="AC1266" s="52"/>
      <c r="AD1266" s="52"/>
      <c r="AE1266" s="52"/>
      <c r="AF1266" s="52"/>
      <c r="AG1266" s="52"/>
      <c r="AH1266" s="52"/>
      <c r="AI1266" s="52"/>
      <c r="AJ1266" s="52"/>
      <c r="AK1266" s="52"/>
      <c r="AL1266" s="52"/>
      <c r="AM1266" s="52"/>
      <c r="AN1266" s="52"/>
      <c r="AO1266" s="52"/>
      <c r="AP1266" s="52"/>
      <c r="AQ1266" s="52"/>
    </row>
    <row r="1267" spans="1:43">
      <c r="A1267" s="150"/>
      <c r="B1267" s="125"/>
      <c r="C1267" s="125"/>
      <c r="D1267" s="125"/>
      <c r="E1267" s="125"/>
      <c r="F1267" s="52"/>
      <c r="G1267" s="52"/>
      <c r="H1267" s="52"/>
      <c r="I1267" s="52"/>
      <c r="J1267" s="52"/>
      <c r="K1267" s="52"/>
      <c r="L1267" s="52"/>
      <c r="M1267" s="52"/>
      <c r="N1267" s="52"/>
      <c r="O1267" s="52"/>
      <c r="P1267" s="52"/>
      <c r="Q1267" s="52"/>
      <c r="R1267" s="52"/>
      <c r="S1267" s="52"/>
      <c r="T1267" s="52"/>
      <c r="U1267" s="52"/>
      <c r="V1267" s="52"/>
      <c r="W1267" s="52"/>
      <c r="X1267" s="52"/>
      <c r="Y1267" s="52"/>
      <c r="Z1267" s="52"/>
      <c r="AA1267" s="52"/>
      <c r="AB1267" s="52"/>
      <c r="AC1267" s="52"/>
      <c r="AD1267" s="52"/>
      <c r="AE1267" s="52"/>
      <c r="AF1267" s="52"/>
      <c r="AG1267" s="52"/>
      <c r="AH1267" s="52"/>
      <c r="AI1267" s="52"/>
      <c r="AJ1267" s="52"/>
      <c r="AK1267" s="52"/>
      <c r="AL1267" s="52"/>
      <c r="AM1267" s="52"/>
      <c r="AN1267" s="52"/>
      <c r="AO1267" s="52"/>
      <c r="AP1267" s="52"/>
      <c r="AQ1267" s="52"/>
    </row>
    <row r="1268" spans="1:43">
      <c r="A1268" s="150"/>
      <c r="B1268" s="125"/>
      <c r="C1268" s="125"/>
      <c r="D1268" s="125"/>
      <c r="E1268" s="125"/>
      <c r="F1268" s="52"/>
      <c r="G1268" s="52"/>
      <c r="H1268" s="52"/>
      <c r="I1268" s="52"/>
      <c r="J1268" s="52"/>
      <c r="K1268" s="52"/>
      <c r="L1268" s="52"/>
      <c r="M1268" s="52"/>
      <c r="N1268" s="52"/>
      <c r="O1268" s="52"/>
      <c r="P1268" s="52"/>
      <c r="Q1268" s="52"/>
      <c r="R1268" s="52"/>
      <c r="S1268" s="52"/>
      <c r="T1268" s="52"/>
      <c r="U1268" s="52"/>
      <c r="V1268" s="52"/>
      <c r="W1268" s="52"/>
      <c r="X1268" s="52"/>
      <c r="Y1268" s="52"/>
      <c r="Z1268" s="52"/>
      <c r="AA1268" s="52"/>
      <c r="AB1268" s="52"/>
      <c r="AC1268" s="52"/>
      <c r="AD1268" s="52"/>
      <c r="AE1268" s="52"/>
      <c r="AF1268" s="52"/>
      <c r="AG1268" s="52"/>
      <c r="AH1268" s="52"/>
      <c r="AI1268" s="52"/>
      <c r="AJ1268" s="52"/>
      <c r="AK1268" s="52"/>
      <c r="AL1268" s="52"/>
      <c r="AM1268" s="52"/>
      <c r="AN1268" s="52"/>
      <c r="AO1268" s="52"/>
      <c r="AP1268" s="52"/>
      <c r="AQ1268" s="52"/>
    </row>
    <row r="1269" spans="1:43">
      <c r="A1269" s="68"/>
      <c r="B1269" s="53"/>
      <c r="C1269" s="53"/>
      <c r="D1269" s="53"/>
      <c r="E1269" s="53"/>
      <c r="F1269" s="52"/>
      <c r="G1269" s="52"/>
      <c r="H1269" s="52"/>
      <c r="I1269" s="52"/>
      <c r="J1269" s="52"/>
      <c r="K1269" s="52"/>
      <c r="L1269" s="52"/>
      <c r="M1269" s="52"/>
      <c r="N1269" s="52"/>
      <c r="O1269" s="52"/>
      <c r="P1269" s="52"/>
      <c r="Q1269" s="52"/>
      <c r="R1269" s="52"/>
      <c r="S1269" s="52"/>
      <c r="T1269" s="52"/>
      <c r="U1269" s="52"/>
      <c r="V1269" s="52"/>
      <c r="W1269" s="52"/>
      <c r="X1269" s="52"/>
      <c r="Y1269" s="52"/>
      <c r="Z1269" s="52"/>
      <c r="AA1269" s="52"/>
      <c r="AB1269" s="52"/>
      <c r="AC1269" s="52"/>
      <c r="AD1269" s="52"/>
      <c r="AE1269" s="52"/>
      <c r="AF1269" s="52"/>
      <c r="AG1269" s="52"/>
      <c r="AH1269" s="52"/>
      <c r="AI1269" s="52"/>
      <c r="AJ1269" s="52"/>
      <c r="AK1269" s="52"/>
      <c r="AL1269" s="52"/>
      <c r="AM1269" s="52"/>
      <c r="AN1269" s="52"/>
      <c r="AO1269" s="52"/>
      <c r="AP1269" s="52"/>
      <c r="AQ1269" s="52"/>
    </row>
    <row r="1270" spans="1:43">
      <c r="A1270" s="68"/>
      <c r="B1270" s="53"/>
      <c r="C1270" s="53"/>
      <c r="D1270" s="53"/>
      <c r="E1270" s="53"/>
      <c r="F1270" s="52"/>
      <c r="G1270" s="52"/>
      <c r="H1270" s="52"/>
      <c r="I1270" s="52"/>
      <c r="J1270" s="52"/>
      <c r="K1270" s="52"/>
      <c r="L1270" s="52"/>
      <c r="M1270" s="52"/>
      <c r="N1270" s="52"/>
      <c r="O1270" s="52"/>
      <c r="P1270" s="52"/>
      <c r="Q1270" s="52"/>
      <c r="R1270" s="52"/>
      <c r="S1270" s="52"/>
      <c r="T1270" s="52"/>
      <c r="U1270" s="52"/>
      <c r="V1270" s="52"/>
      <c r="W1270" s="52"/>
      <c r="X1270" s="52"/>
      <c r="Y1270" s="52"/>
      <c r="Z1270" s="52"/>
      <c r="AA1270" s="52"/>
      <c r="AB1270" s="52"/>
      <c r="AC1270" s="52"/>
      <c r="AD1270" s="52"/>
      <c r="AE1270" s="52"/>
      <c r="AF1270" s="52"/>
      <c r="AG1270" s="52"/>
      <c r="AH1270" s="52"/>
      <c r="AI1270" s="52"/>
      <c r="AJ1270" s="52"/>
      <c r="AK1270" s="52"/>
      <c r="AL1270" s="52"/>
      <c r="AM1270" s="52"/>
      <c r="AN1270" s="52"/>
      <c r="AO1270" s="52"/>
      <c r="AP1270" s="52"/>
      <c r="AQ1270" s="52"/>
    </row>
    <row r="1271" spans="1:43">
      <c r="A1271" s="68"/>
      <c r="B1271" s="53"/>
      <c r="C1271" s="53"/>
      <c r="D1271" s="53"/>
      <c r="E1271" s="53"/>
      <c r="F1271" s="52"/>
      <c r="G1271" s="52"/>
      <c r="H1271" s="52"/>
      <c r="I1271" s="52"/>
      <c r="J1271" s="52"/>
      <c r="K1271" s="52"/>
      <c r="L1271" s="52"/>
      <c r="M1271" s="52"/>
      <c r="N1271" s="52"/>
      <c r="O1271" s="52"/>
      <c r="P1271" s="52"/>
      <c r="Q1271" s="52"/>
      <c r="R1271" s="52"/>
      <c r="S1271" s="52"/>
      <c r="T1271" s="52"/>
      <c r="U1271" s="52"/>
      <c r="V1271" s="52"/>
      <c r="W1271" s="52"/>
      <c r="X1271" s="52"/>
      <c r="Y1271" s="52"/>
      <c r="Z1271" s="52"/>
      <c r="AA1271" s="52"/>
      <c r="AB1271" s="52"/>
      <c r="AC1271" s="52"/>
      <c r="AD1271" s="52"/>
      <c r="AE1271" s="52"/>
      <c r="AF1271" s="52"/>
      <c r="AG1271" s="52"/>
      <c r="AH1271" s="52"/>
      <c r="AI1271" s="52"/>
      <c r="AJ1271" s="52"/>
      <c r="AK1271" s="52"/>
      <c r="AL1271" s="52"/>
      <c r="AM1271" s="52"/>
      <c r="AN1271" s="52"/>
      <c r="AO1271" s="52"/>
      <c r="AP1271" s="52"/>
      <c r="AQ1271" s="52"/>
    </row>
    <row r="1272" spans="1:43">
      <c r="A1272" s="68"/>
      <c r="B1272" s="53"/>
      <c r="C1272" s="53"/>
      <c r="D1272" s="53"/>
      <c r="E1272" s="53"/>
      <c r="F1272" s="52"/>
      <c r="G1272" s="52"/>
      <c r="H1272" s="52"/>
      <c r="I1272" s="52"/>
      <c r="J1272" s="52"/>
      <c r="K1272" s="52"/>
      <c r="L1272" s="52"/>
      <c r="M1272" s="52"/>
      <c r="N1272" s="52"/>
      <c r="O1272" s="52"/>
      <c r="P1272" s="52"/>
      <c r="Q1272" s="52"/>
      <c r="R1272" s="52"/>
      <c r="S1272" s="52"/>
      <c r="T1272" s="52"/>
      <c r="U1272" s="52"/>
      <c r="V1272" s="52"/>
      <c r="W1272" s="52"/>
      <c r="X1272" s="52"/>
      <c r="Y1272" s="52"/>
      <c r="Z1272" s="52"/>
      <c r="AA1272" s="52"/>
      <c r="AB1272" s="52"/>
      <c r="AC1272" s="52"/>
      <c r="AD1272" s="52"/>
      <c r="AE1272" s="52"/>
      <c r="AF1272" s="52"/>
      <c r="AG1272" s="52"/>
      <c r="AH1272" s="52"/>
      <c r="AI1272" s="52"/>
      <c r="AJ1272" s="52"/>
      <c r="AK1272" s="52"/>
      <c r="AL1272" s="52"/>
      <c r="AM1272" s="52"/>
      <c r="AN1272" s="52"/>
      <c r="AO1272" s="52"/>
      <c r="AP1272" s="52"/>
      <c r="AQ1272" s="52"/>
    </row>
    <row r="1273" spans="1:43">
      <c r="A1273" s="68"/>
      <c r="B1273" s="53"/>
      <c r="C1273" s="53"/>
      <c r="D1273" s="53"/>
      <c r="E1273" s="53"/>
      <c r="F1273" s="52"/>
      <c r="G1273" s="52"/>
      <c r="H1273" s="52"/>
      <c r="I1273" s="52"/>
      <c r="J1273" s="52"/>
      <c r="K1273" s="52"/>
      <c r="L1273" s="52"/>
      <c r="M1273" s="52"/>
      <c r="N1273" s="52"/>
      <c r="O1273" s="52"/>
      <c r="P1273" s="52"/>
      <c r="Q1273" s="52"/>
      <c r="R1273" s="52"/>
      <c r="S1273" s="52"/>
      <c r="T1273" s="52"/>
      <c r="U1273" s="52"/>
      <c r="V1273" s="52"/>
      <c r="W1273" s="52"/>
      <c r="X1273" s="52"/>
      <c r="Y1273" s="52"/>
      <c r="Z1273" s="52"/>
      <c r="AA1273" s="52"/>
      <c r="AB1273" s="52"/>
      <c r="AC1273" s="52"/>
      <c r="AD1273" s="52"/>
      <c r="AE1273" s="52"/>
      <c r="AF1273" s="52"/>
      <c r="AG1273" s="52"/>
      <c r="AH1273" s="52"/>
      <c r="AI1273" s="52"/>
      <c r="AJ1273" s="52"/>
      <c r="AK1273" s="52"/>
      <c r="AL1273" s="52"/>
      <c r="AM1273" s="52"/>
      <c r="AN1273" s="52"/>
      <c r="AO1273" s="52"/>
      <c r="AP1273" s="52"/>
      <c r="AQ1273" s="52"/>
    </row>
    <row r="1274" spans="1:43">
      <c r="A1274" s="68"/>
      <c r="B1274" s="53"/>
      <c r="C1274" s="53"/>
      <c r="D1274" s="53"/>
      <c r="E1274" s="53"/>
      <c r="F1274" s="52"/>
      <c r="G1274" s="52"/>
      <c r="H1274" s="52"/>
      <c r="I1274" s="52"/>
      <c r="J1274" s="52"/>
      <c r="K1274" s="52"/>
      <c r="L1274" s="52"/>
      <c r="M1274" s="52"/>
      <c r="N1274" s="52"/>
      <c r="O1274" s="52"/>
      <c r="P1274" s="52"/>
      <c r="Q1274" s="52"/>
      <c r="R1274" s="52"/>
      <c r="S1274" s="52"/>
      <c r="T1274" s="52"/>
      <c r="U1274" s="52"/>
      <c r="V1274" s="52"/>
      <c r="W1274" s="52"/>
      <c r="X1274" s="52"/>
      <c r="Y1274" s="52"/>
      <c r="Z1274" s="52"/>
      <c r="AA1274" s="52"/>
      <c r="AB1274" s="52"/>
      <c r="AC1274" s="52"/>
      <c r="AD1274" s="52"/>
      <c r="AE1274" s="52"/>
      <c r="AF1274" s="52"/>
      <c r="AG1274" s="52"/>
      <c r="AH1274" s="52"/>
      <c r="AI1274" s="52"/>
      <c r="AJ1274" s="52"/>
      <c r="AK1274" s="52"/>
      <c r="AL1274" s="52"/>
      <c r="AM1274" s="52"/>
      <c r="AN1274" s="52"/>
      <c r="AO1274" s="52"/>
      <c r="AP1274" s="52"/>
      <c r="AQ1274" s="52"/>
    </row>
    <row r="1275" spans="1:43">
      <c r="A1275" s="68"/>
      <c r="B1275" s="53"/>
      <c r="C1275" s="53"/>
      <c r="D1275" s="53"/>
      <c r="E1275" s="53"/>
      <c r="F1275" s="52"/>
      <c r="G1275" s="52"/>
      <c r="H1275" s="52"/>
      <c r="I1275" s="52"/>
      <c r="J1275" s="52"/>
      <c r="K1275" s="52"/>
      <c r="L1275" s="52"/>
      <c r="M1275" s="52"/>
      <c r="N1275" s="52"/>
      <c r="O1275" s="52"/>
      <c r="P1275" s="52"/>
      <c r="Q1275" s="52"/>
      <c r="R1275" s="52"/>
      <c r="S1275" s="52"/>
      <c r="T1275" s="52"/>
      <c r="U1275" s="52"/>
      <c r="V1275" s="52"/>
      <c r="W1275" s="52"/>
      <c r="X1275" s="52"/>
      <c r="Y1275" s="52"/>
      <c r="Z1275" s="52"/>
      <c r="AA1275" s="52"/>
      <c r="AB1275" s="52"/>
      <c r="AC1275" s="52"/>
      <c r="AD1275" s="52"/>
      <c r="AE1275" s="52"/>
      <c r="AF1275" s="52"/>
      <c r="AG1275" s="52"/>
      <c r="AH1275" s="52"/>
      <c r="AI1275" s="52"/>
      <c r="AJ1275" s="52"/>
      <c r="AK1275" s="52"/>
      <c r="AL1275" s="52"/>
      <c r="AM1275" s="52"/>
      <c r="AN1275" s="52"/>
      <c r="AO1275" s="52"/>
      <c r="AP1275" s="52"/>
      <c r="AQ1275" s="52"/>
    </row>
    <row r="1276" spans="1:43">
      <c r="A1276" s="68"/>
      <c r="B1276" s="53"/>
      <c r="C1276" s="53"/>
      <c r="D1276" s="53"/>
      <c r="E1276" s="53"/>
      <c r="F1276" s="52"/>
      <c r="G1276" s="52"/>
      <c r="H1276" s="52"/>
      <c r="I1276" s="52"/>
      <c r="J1276" s="52"/>
      <c r="K1276" s="52"/>
      <c r="L1276" s="52"/>
      <c r="M1276" s="52"/>
      <c r="N1276" s="52"/>
      <c r="O1276" s="52"/>
      <c r="P1276" s="52"/>
      <c r="Q1276" s="52"/>
      <c r="R1276" s="52"/>
      <c r="S1276" s="52"/>
      <c r="T1276" s="52"/>
      <c r="U1276" s="52"/>
      <c r="V1276" s="52"/>
      <c r="W1276" s="52"/>
      <c r="X1276" s="52"/>
      <c r="Y1276" s="52"/>
      <c r="Z1276" s="52"/>
      <c r="AA1276" s="52"/>
      <c r="AB1276" s="52"/>
      <c r="AC1276" s="52"/>
      <c r="AD1276" s="52"/>
      <c r="AE1276" s="52"/>
      <c r="AF1276" s="52"/>
      <c r="AG1276" s="52"/>
      <c r="AH1276" s="52"/>
      <c r="AI1276" s="52"/>
      <c r="AJ1276" s="52"/>
      <c r="AK1276" s="52"/>
      <c r="AL1276" s="52"/>
      <c r="AM1276" s="52"/>
      <c r="AN1276" s="52"/>
      <c r="AO1276" s="52"/>
      <c r="AP1276" s="52"/>
      <c r="AQ1276" s="52"/>
    </row>
    <row r="1277" spans="1:43">
      <c r="A1277" s="68"/>
      <c r="B1277" s="53"/>
      <c r="C1277" s="53"/>
      <c r="D1277" s="53"/>
      <c r="E1277" s="53"/>
      <c r="F1277" s="52"/>
      <c r="G1277" s="52"/>
      <c r="H1277" s="52"/>
      <c r="I1277" s="52"/>
      <c r="J1277" s="52"/>
      <c r="K1277" s="52"/>
      <c r="L1277" s="52"/>
      <c r="M1277" s="52"/>
      <c r="N1277" s="52"/>
      <c r="O1277" s="52"/>
      <c r="P1277" s="52"/>
      <c r="Q1277" s="52"/>
      <c r="R1277" s="52"/>
      <c r="S1277" s="52"/>
      <c r="T1277" s="52"/>
      <c r="U1277" s="52"/>
      <c r="V1277" s="52"/>
      <c r="W1277" s="52"/>
      <c r="X1277" s="52"/>
      <c r="Y1277" s="52"/>
      <c r="Z1277" s="52"/>
      <c r="AA1277" s="52"/>
      <c r="AB1277" s="52"/>
      <c r="AC1277" s="52"/>
      <c r="AD1277" s="52"/>
      <c r="AE1277" s="52"/>
      <c r="AF1277" s="52"/>
      <c r="AG1277" s="52"/>
      <c r="AH1277" s="52"/>
      <c r="AI1277" s="52"/>
      <c r="AJ1277" s="52"/>
      <c r="AK1277" s="52"/>
      <c r="AL1277" s="52"/>
      <c r="AM1277" s="52"/>
      <c r="AN1277" s="52"/>
      <c r="AO1277" s="52"/>
      <c r="AP1277" s="52"/>
      <c r="AQ1277" s="52"/>
    </row>
    <row r="1278" spans="1:43">
      <c r="A1278" s="68"/>
      <c r="B1278" s="53"/>
      <c r="C1278" s="53"/>
      <c r="D1278" s="53"/>
      <c r="E1278" s="53"/>
      <c r="F1278" s="52"/>
      <c r="G1278" s="52"/>
      <c r="H1278" s="52"/>
      <c r="I1278" s="52"/>
      <c r="J1278" s="52"/>
      <c r="K1278" s="52"/>
      <c r="L1278" s="52"/>
      <c r="M1278" s="52"/>
      <c r="N1278" s="52"/>
      <c r="O1278" s="52"/>
      <c r="P1278" s="52"/>
      <c r="Q1278" s="52"/>
      <c r="R1278" s="52"/>
      <c r="S1278" s="52"/>
      <c r="T1278" s="52"/>
      <c r="U1278" s="52"/>
      <c r="V1278" s="52"/>
      <c r="W1278" s="52"/>
      <c r="X1278" s="52"/>
      <c r="Y1278" s="52"/>
      <c r="Z1278" s="52"/>
      <c r="AA1278" s="52"/>
      <c r="AB1278" s="52"/>
      <c r="AC1278" s="52"/>
      <c r="AD1278" s="52"/>
      <c r="AE1278" s="52"/>
      <c r="AF1278" s="52"/>
      <c r="AG1278" s="52"/>
      <c r="AH1278" s="52"/>
      <c r="AI1278" s="52"/>
      <c r="AJ1278" s="52"/>
      <c r="AK1278" s="52"/>
      <c r="AL1278" s="52"/>
      <c r="AM1278" s="52"/>
      <c r="AN1278" s="52"/>
      <c r="AO1278" s="52"/>
      <c r="AP1278" s="52"/>
      <c r="AQ1278" s="52"/>
    </row>
    <row r="1279" spans="1:43">
      <c r="A1279" s="68"/>
      <c r="B1279" s="53"/>
      <c r="C1279" s="53"/>
      <c r="D1279" s="53"/>
      <c r="E1279" s="53"/>
      <c r="F1279" s="52"/>
      <c r="G1279" s="52"/>
      <c r="H1279" s="52"/>
      <c r="I1279" s="52"/>
      <c r="J1279" s="52"/>
      <c r="K1279" s="52"/>
      <c r="L1279" s="52"/>
      <c r="M1279" s="52"/>
      <c r="N1279" s="52"/>
      <c r="O1279" s="52"/>
      <c r="P1279" s="52"/>
      <c r="Q1279" s="52"/>
      <c r="R1279" s="52"/>
      <c r="S1279" s="52"/>
      <c r="T1279" s="52"/>
      <c r="U1279" s="52"/>
      <c r="V1279" s="52"/>
      <c r="W1279" s="52"/>
      <c r="X1279" s="52"/>
      <c r="Y1279" s="52"/>
      <c r="Z1279" s="52"/>
      <c r="AA1279" s="52"/>
      <c r="AB1279" s="52"/>
      <c r="AC1279" s="52"/>
      <c r="AD1279" s="52"/>
      <c r="AE1279" s="52"/>
      <c r="AF1279" s="52"/>
      <c r="AG1279" s="52"/>
      <c r="AH1279" s="52"/>
      <c r="AI1279" s="52"/>
      <c r="AJ1279" s="52"/>
      <c r="AK1279" s="52"/>
      <c r="AL1279" s="52"/>
      <c r="AM1279" s="52"/>
      <c r="AN1279" s="52"/>
      <c r="AO1279" s="52"/>
      <c r="AP1279" s="52"/>
      <c r="AQ1279" s="52"/>
    </row>
    <row r="1280" spans="1:43">
      <c r="A1280" s="68"/>
      <c r="B1280" s="53"/>
      <c r="C1280" s="53"/>
      <c r="D1280" s="53"/>
      <c r="E1280" s="53"/>
      <c r="F1280" s="52"/>
      <c r="G1280" s="52"/>
      <c r="H1280" s="52"/>
      <c r="I1280" s="52"/>
      <c r="J1280" s="52"/>
      <c r="K1280" s="52"/>
      <c r="L1280" s="52"/>
      <c r="M1280" s="52"/>
      <c r="N1280" s="52"/>
      <c r="O1280" s="52"/>
      <c r="P1280" s="52"/>
      <c r="Q1280" s="52"/>
      <c r="R1280" s="52"/>
      <c r="S1280" s="52"/>
      <c r="T1280" s="52"/>
      <c r="U1280" s="52"/>
      <c r="V1280" s="52"/>
      <c r="W1280" s="52"/>
      <c r="X1280" s="52"/>
      <c r="Y1280" s="52"/>
      <c r="Z1280" s="52"/>
      <c r="AA1280" s="52"/>
      <c r="AB1280" s="52"/>
      <c r="AC1280" s="52"/>
      <c r="AD1280" s="52"/>
      <c r="AE1280" s="52"/>
      <c r="AF1280" s="52"/>
      <c r="AG1280" s="52"/>
      <c r="AH1280" s="52"/>
      <c r="AI1280" s="52"/>
      <c r="AJ1280" s="52"/>
      <c r="AK1280" s="52"/>
      <c r="AL1280" s="52"/>
      <c r="AM1280" s="52"/>
      <c r="AN1280" s="52"/>
      <c r="AO1280" s="52"/>
      <c r="AP1280" s="52"/>
      <c r="AQ1280" s="52"/>
    </row>
    <row r="1281" spans="1:43">
      <c r="A1281" s="68"/>
      <c r="B1281" s="53"/>
      <c r="C1281" s="53"/>
      <c r="D1281" s="53"/>
      <c r="E1281" s="53"/>
      <c r="F1281" s="52"/>
      <c r="G1281" s="52"/>
      <c r="H1281" s="52"/>
      <c r="I1281" s="52"/>
      <c r="J1281" s="52"/>
      <c r="K1281" s="52"/>
      <c r="L1281" s="52"/>
      <c r="M1281" s="52"/>
      <c r="N1281" s="52"/>
      <c r="O1281" s="52"/>
      <c r="P1281" s="52"/>
      <c r="Q1281" s="52"/>
      <c r="R1281" s="52"/>
      <c r="S1281" s="52"/>
      <c r="T1281" s="52"/>
      <c r="U1281" s="52"/>
      <c r="V1281" s="52"/>
      <c r="W1281" s="52"/>
      <c r="X1281" s="52"/>
      <c r="Y1281" s="52"/>
      <c r="Z1281" s="52"/>
      <c r="AA1281" s="52"/>
      <c r="AB1281" s="52"/>
      <c r="AC1281" s="52"/>
      <c r="AD1281" s="52"/>
      <c r="AE1281" s="52"/>
      <c r="AF1281" s="52"/>
      <c r="AG1281" s="52"/>
      <c r="AH1281" s="52"/>
      <c r="AI1281" s="52"/>
      <c r="AJ1281" s="52"/>
      <c r="AK1281" s="52"/>
      <c r="AL1281" s="52"/>
      <c r="AM1281" s="52"/>
      <c r="AN1281" s="52"/>
      <c r="AO1281" s="52"/>
      <c r="AP1281" s="52"/>
      <c r="AQ1281" s="52"/>
    </row>
    <row r="1282" spans="1:43">
      <c r="A1282" s="68"/>
      <c r="B1282" s="53"/>
      <c r="C1282" s="53"/>
      <c r="D1282" s="53"/>
      <c r="E1282" s="53"/>
      <c r="F1282" s="52"/>
      <c r="G1282" s="52"/>
      <c r="H1282" s="52"/>
      <c r="I1282" s="52"/>
      <c r="J1282" s="52"/>
      <c r="K1282" s="52"/>
      <c r="L1282" s="52"/>
      <c r="M1282" s="52"/>
      <c r="N1282" s="52"/>
      <c r="O1282" s="52"/>
      <c r="P1282" s="52"/>
      <c r="Q1282" s="52"/>
      <c r="R1282" s="52"/>
      <c r="S1282" s="52"/>
      <c r="T1282" s="52"/>
      <c r="U1282" s="52"/>
      <c r="V1282" s="52"/>
      <c r="W1282" s="52"/>
      <c r="X1282" s="52"/>
      <c r="Y1282" s="52"/>
      <c r="Z1282" s="52"/>
      <c r="AA1282" s="52"/>
      <c r="AB1282" s="52"/>
      <c r="AC1282" s="52"/>
      <c r="AD1282" s="52"/>
      <c r="AE1282" s="52"/>
      <c r="AF1282" s="52"/>
      <c r="AG1282" s="52"/>
      <c r="AH1282" s="52"/>
      <c r="AI1282" s="52"/>
      <c r="AJ1282" s="52"/>
      <c r="AK1282" s="52"/>
      <c r="AL1282" s="52"/>
      <c r="AM1282" s="52"/>
      <c r="AN1282" s="52"/>
      <c r="AO1282" s="52"/>
      <c r="AP1282" s="52"/>
      <c r="AQ1282" s="52"/>
    </row>
    <row r="1283" spans="1:43">
      <c r="A1283" s="68"/>
      <c r="B1283" s="53"/>
      <c r="C1283" s="53"/>
      <c r="D1283" s="53"/>
      <c r="E1283" s="53"/>
      <c r="F1283" s="52"/>
      <c r="G1283" s="52"/>
      <c r="H1283" s="52"/>
      <c r="I1283" s="52"/>
      <c r="J1283" s="52"/>
      <c r="K1283" s="52"/>
      <c r="L1283" s="52"/>
      <c r="M1283" s="52"/>
      <c r="N1283" s="52"/>
      <c r="O1283" s="52"/>
      <c r="P1283" s="52"/>
      <c r="Q1283" s="52"/>
      <c r="R1283" s="52"/>
      <c r="S1283" s="52"/>
      <c r="T1283" s="52"/>
      <c r="U1283" s="52"/>
      <c r="V1283" s="52"/>
      <c r="W1283" s="52"/>
      <c r="X1283" s="52"/>
      <c r="Y1283" s="52"/>
      <c r="Z1283" s="52"/>
      <c r="AA1283" s="52"/>
      <c r="AB1283" s="52"/>
      <c r="AC1283" s="52"/>
      <c r="AD1283" s="52"/>
      <c r="AE1283" s="52"/>
      <c r="AF1283" s="52"/>
      <c r="AG1283" s="52"/>
      <c r="AH1283" s="52"/>
      <c r="AI1283" s="52"/>
      <c r="AJ1283" s="52"/>
      <c r="AK1283" s="52"/>
      <c r="AL1283" s="52"/>
      <c r="AM1283" s="52"/>
      <c r="AN1283" s="52"/>
      <c r="AO1283" s="52"/>
      <c r="AP1283" s="52"/>
      <c r="AQ1283" s="52"/>
    </row>
    <row r="1284" spans="1:43">
      <c r="A1284" s="68"/>
      <c r="B1284" s="53"/>
      <c r="C1284" s="53"/>
      <c r="D1284" s="53"/>
      <c r="E1284" s="53"/>
      <c r="F1284" s="52"/>
      <c r="G1284" s="52"/>
      <c r="H1284" s="52"/>
      <c r="I1284" s="52"/>
      <c r="J1284" s="52"/>
      <c r="K1284" s="52"/>
      <c r="L1284" s="52"/>
      <c r="M1284" s="52"/>
      <c r="N1284" s="52"/>
      <c r="O1284" s="52"/>
      <c r="P1284" s="52"/>
      <c r="Q1284" s="52"/>
      <c r="R1284" s="52"/>
      <c r="S1284" s="52"/>
      <c r="T1284" s="52"/>
      <c r="U1284" s="52"/>
      <c r="V1284" s="52"/>
      <c r="W1284" s="52"/>
      <c r="X1284" s="52"/>
      <c r="Y1284" s="52"/>
      <c r="Z1284" s="52"/>
      <c r="AA1284" s="52"/>
      <c r="AB1284" s="52"/>
      <c r="AC1284" s="52"/>
      <c r="AD1284" s="52"/>
      <c r="AE1284" s="52"/>
      <c r="AF1284" s="52"/>
      <c r="AG1284" s="52"/>
      <c r="AH1284" s="52"/>
      <c r="AI1284" s="52"/>
      <c r="AJ1284" s="52"/>
      <c r="AK1284" s="52"/>
      <c r="AL1284" s="52"/>
      <c r="AM1284" s="52"/>
      <c r="AN1284" s="52"/>
      <c r="AO1284" s="52"/>
      <c r="AP1284" s="52"/>
      <c r="AQ1284" s="52"/>
    </row>
    <row r="1285" spans="1:43">
      <c r="A1285" s="68"/>
      <c r="B1285" s="53"/>
      <c r="C1285" s="53"/>
      <c r="D1285" s="53"/>
      <c r="E1285" s="53"/>
      <c r="F1285" s="52"/>
      <c r="G1285" s="52"/>
      <c r="H1285" s="52"/>
      <c r="I1285" s="52"/>
      <c r="J1285" s="52"/>
      <c r="K1285" s="52"/>
      <c r="L1285" s="52"/>
      <c r="M1285" s="52"/>
      <c r="N1285" s="52"/>
      <c r="O1285" s="52"/>
      <c r="P1285" s="52"/>
      <c r="Q1285" s="52"/>
      <c r="R1285" s="52"/>
      <c r="S1285" s="52"/>
      <c r="T1285" s="52"/>
      <c r="U1285" s="52"/>
      <c r="V1285" s="52"/>
      <c r="W1285" s="52"/>
      <c r="X1285" s="52"/>
      <c r="Y1285" s="52"/>
      <c r="Z1285" s="52"/>
      <c r="AA1285" s="52"/>
      <c r="AB1285" s="52"/>
      <c r="AC1285" s="52"/>
      <c r="AD1285" s="52"/>
      <c r="AE1285" s="52"/>
      <c r="AF1285" s="52"/>
      <c r="AG1285" s="52"/>
      <c r="AH1285" s="52"/>
      <c r="AI1285" s="52"/>
      <c r="AJ1285" s="52"/>
      <c r="AK1285" s="52"/>
      <c r="AL1285" s="52"/>
      <c r="AM1285" s="52"/>
      <c r="AN1285" s="52"/>
      <c r="AO1285" s="52"/>
      <c r="AP1285" s="52"/>
      <c r="AQ1285" s="52"/>
    </row>
    <row r="1286" spans="1:43">
      <c r="A1286" s="68"/>
      <c r="B1286" s="53"/>
      <c r="C1286" s="53"/>
      <c r="D1286" s="53"/>
      <c r="E1286" s="53"/>
      <c r="F1286" s="52"/>
      <c r="G1286" s="52"/>
      <c r="H1286" s="52"/>
      <c r="I1286" s="52"/>
      <c r="J1286" s="52"/>
      <c r="K1286" s="52"/>
      <c r="L1286" s="52"/>
      <c r="M1286" s="52"/>
      <c r="N1286" s="52"/>
      <c r="O1286" s="52"/>
      <c r="P1286" s="52"/>
      <c r="Q1286" s="52"/>
      <c r="R1286" s="52"/>
      <c r="S1286" s="52"/>
      <c r="T1286" s="52"/>
      <c r="U1286" s="52"/>
      <c r="V1286" s="52"/>
      <c r="W1286" s="52"/>
      <c r="X1286" s="52"/>
      <c r="Y1286" s="52"/>
      <c r="Z1286" s="52"/>
      <c r="AA1286" s="52"/>
      <c r="AB1286" s="52"/>
      <c r="AC1286" s="52"/>
      <c r="AD1286" s="52"/>
      <c r="AE1286" s="52"/>
      <c r="AF1286" s="52"/>
      <c r="AG1286" s="52"/>
      <c r="AH1286" s="52"/>
      <c r="AI1286" s="52"/>
      <c r="AJ1286" s="52"/>
      <c r="AK1286" s="52"/>
      <c r="AL1286" s="52"/>
      <c r="AM1286" s="52"/>
      <c r="AN1286" s="52"/>
      <c r="AO1286" s="52"/>
      <c r="AP1286" s="52"/>
      <c r="AQ1286" s="52"/>
    </row>
    <row r="1287" spans="1:43">
      <c r="A1287" s="68"/>
      <c r="B1287" s="53"/>
      <c r="C1287" s="53"/>
      <c r="D1287" s="53"/>
      <c r="E1287" s="53"/>
      <c r="F1287" s="52"/>
      <c r="G1287" s="52"/>
      <c r="H1287" s="52"/>
      <c r="I1287" s="52"/>
      <c r="J1287" s="52"/>
      <c r="K1287" s="52"/>
      <c r="L1287" s="52"/>
      <c r="M1287" s="52"/>
      <c r="N1287" s="52"/>
      <c r="O1287" s="52"/>
      <c r="P1287" s="52"/>
      <c r="Q1287" s="52"/>
      <c r="R1287" s="52"/>
      <c r="S1287" s="52"/>
      <c r="T1287" s="52"/>
      <c r="U1287" s="52"/>
      <c r="V1287" s="52"/>
      <c r="W1287" s="52"/>
      <c r="X1287" s="52"/>
      <c r="Y1287" s="52"/>
      <c r="Z1287" s="52"/>
      <c r="AA1287" s="52"/>
      <c r="AB1287" s="52"/>
      <c r="AC1287" s="52"/>
      <c r="AD1287" s="52"/>
      <c r="AE1287" s="52"/>
      <c r="AF1287" s="52"/>
      <c r="AG1287" s="52"/>
      <c r="AH1287" s="52"/>
      <c r="AI1287" s="52"/>
      <c r="AJ1287" s="52"/>
      <c r="AK1287" s="52"/>
      <c r="AL1287" s="52"/>
      <c r="AM1287" s="52"/>
      <c r="AN1287" s="52"/>
      <c r="AO1287" s="52"/>
      <c r="AP1287" s="52"/>
      <c r="AQ1287" s="52"/>
    </row>
    <row r="1288" spans="1:43">
      <c r="A1288" s="68"/>
      <c r="B1288" s="53"/>
      <c r="C1288" s="53"/>
      <c r="D1288" s="53"/>
      <c r="E1288" s="53"/>
      <c r="F1288" s="52"/>
      <c r="G1288" s="52"/>
      <c r="H1288" s="52"/>
      <c r="I1288" s="52"/>
      <c r="J1288" s="52"/>
      <c r="K1288" s="52"/>
      <c r="L1288" s="52"/>
      <c r="M1288" s="52"/>
      <c r="N1288" s="52"/>
      <c r="O1288" s="52"/>
      <c r="P1288" s="52"/>
      <c r="Q1288" s="52"/>
      <c r="R1288" s="52"/>
      <c r="S1288" s="52"/>
      <c r="T1288" s="52"/>
      <c r="U1288" s="52"/>
      <c r="V1288" s="52"/>
      <c r="W1288" s="52"/>
      <c r="X1288" s="52"/>
      <c r="Y1288" s="52"/>
      <c r="Z1288" s="52"/>
      <c r="AA1288" s="52"/>
      <c r="AB1288" s="52"/>
      <c r="AC1288" s="52"/>
      <c r="AD1288" s="52"/>
      <c r="AE1288" s="52"/>
      <c r="AF1288" s="52"/>
      <c r="AG1288" s="52"/>
      <c r="AH1288" s="52"/>
      <c r="AI1288" s="52"/>
      <c r="AJ1288" s="52"/>
      <c r="AK1288" s="52"/>
      <c r="AL1288" s="52"/>
      <c r="AM1288" s="52"/>
      <c r="AN1288" s="52"/>
      <c r="AO1288" s="52"/>
      <c r="AP1288" s="52"/>
      <c r="AQ1288" s="52"/>
    </row>
    <row r="1289" spans="1:43">
      <c r="A1289" s="68"/>
      <c r="B1289" s="53"/>
      <c r="C1289" s="53"/>
      <c r="D1289" s="53"/>
      <c r="E1289" s="53"/>
      <c r="F1289" s="52"/>
      <c r="G1289" s="52"/>
      <c r="H1289" s="52"/>
      <c r="I1289" s="52"/>
      <c r="J1289" s="52"/>
      <c r="K1289" s="52"/>
      <c r="L1289" s="52"/>
      <c r="M1289" s="52"/>
      <c r="N1289" s="52"/>
      <c r="O1289" s="52"/>
      <c r="P1289" s="52"/>
      <c r="Q1289" s="52"/>
      <c r="R1289" s="52"/>
      <c r="S1289" s="52"/>
      <c r="T1289" s="52"/>
      <c r="U1289" s="52"/>
      <c r="V1289" s="52"/>
      <c r="W1289" s="52"/>
      <c r="X1289" s="52"/>
      <c r="Y1289" s="52"/>
      <c r="Z1289" s="52"/>
      <c r="AA1289" s="52"/>
      <c r="AB1289" s="52"/>
      <c r="AC1289" s="52"/>
      <c r="AD1289" s="52"/>
      <c r="AE1289" s="52"/>
      <c r="AF1289" s="52"/>
      <c r="AG1289" s="52"/>
      <c r="AH1289" s="52"/>
      <c r="AI1289" s="52"/>
      <c r="AJ1289" s="52"/>
      <c r="AK1289" s="52"/>
      <c r="AL1289" s="52"/>
      <c r="AM1289" s="52"/>
      <c r="AN1289" s="52"/>
      <c r="AO1289" s="52"/>
      <c r="AP1289" s="52"/>
      <c r="AQ1289" s="52"/>
    </row>
    <row r="1290" spans="1:43">
      <c r="A1290" s="68"/>
      <c r="B1290" s="53"/>
      <c r="C1290" s="53"/>
      <c r="D1290" s="53"/>
      <c r="E1290" s="53"/>
      <c r="F1290" s="52"/>
      <c r="G1290" s="52"/>
      <c r="H1290" s="52"/>
      <c r="I1290" s="52"/>
      <c r="J1290" s="52"/>
      <c r="K1290" s="52"/>
      <c r="L1290" s="52"/>
      <c r="M1290" s="52"/>
      <c r="N1290" s="52"/>
      <c r="O1290" s="52"/>
      <c r="P1290" s="52"/>
      <c r="Q1290" s="52"/>
      <c r="R1290" s="52"/>
      <c r="S1290" s="52"/>
      <c r="T1290" s="52"/>
      <c r="U1290" s="52"/>
      <c r="V1290" s="52"/>
      <c r="W1290" s="52"/>
      <c r="X1290" s="52"/>
      <c r="Y1290" s="52"/>
      <c r="Z1290" s="52"/>
      <c r="AA1290" s="52"/>
      <c r="AB1290" s="52"/>
      <c r="AC1290" s="52"/>
      <c r="AD1290" s="52"/>
      <c r="AE1290" s="52"/>
      <c r="AF1290" s="52"/>
      <c r="AG1290" s="52"/>
      <c r="AH1290" s="52"/>
      <c r="AI1290" s="52"/>
      <c r="AJ1290" s="52"/>
      <c r="AK1290" s="52"/>
      <c r="AL1290" s="52"/>
      <c r="AM1290" s="52"/>
      <c r="AN1290" s="52"/>
      <c r="AO1290" s="52"/>
      <c r="AP1290" s="52"/>
      <c r="AQ1290" s="52"/>
    </row>
    <row r="1291" spans="1:43">
      <c r="A1291" s="68"/>
      <c r="B1291" s="53"/>
      <c r="C1291" s="53"/>
      <c r="D1291" s="53"/>
      <c r="E1291" s="53"/>
      <c r="F1291" s="52"/>
      <c r="G1291" s="52"/>
      <c r="H1291" s="52"/>
      <c r="I1291" s="52"/>
      <c r="J1291" s="52"/>
      <c r="K1291" s="52"/>
      <c r="L1291" s="52"/>
      <c r="M1291" s="52"/>
      <c r="N1291" s="52"/>
      <c r="O1291" s="52"/>
      <c r="P1291" s="52"/>
      <c r="Q1291" s="52"/>
      <c r="R1291" s="52"/>
      <c r="S1291" s="52"/>
      <c r="T1291" s="52"/>
      <c r="U1291" s="52"/>
      <c r="V1291" s="52"/>
      <c r="W1291" s="52"/>
      <c r="X1291" s="52"/>
      <c r="Y1291" s="52"/>
      <c r="Z1291" s="52"/>
      <c r="AA1291" s="52"/>
      <c r="AB1291" s="52"/>
      <c r="AC1291" s="52"/>
      <c r="AD1291" s="52"/>
      <c r="AE1291" s="52"/>
      <c r="AF1291" s="52"/>
      <c r="AG1291" s="52"/>
      <c r="AH1291" s="52"/>
      <c r="AI1291" s="52"/>
      <c r="AJ1291" s="52"/>
      <c r="AK1291" s="52"/>
      <c r="AL1291" s="52"/>
      <c r="AM1291" s="52"/>
      <c r="AN1291" s="52"/>
      <c r="AO1291" s="52"/>
      <c r="AP1291" s="52"/>
      <c r="AQ1291" s="52"/>
    </row>
    <row r="1292" spans="1:43">
      <c r="A1292" s="68"/>
      <c r="B1292" s="53"/>
      <c r="C1292" s="53"/>
      <c r="D1292" s="53"/>
      <c r="E1292" s="53"/>
      <c r="F1292" s="52"/>
      <c r="G1292" s="52"/>
      <c r="H1292" s="52"/>
      <c r="I1292" s="52"/>
      <c r="J1292" s="52"/>
      <c r="K1292" s="52"/>
      <c r="L1292" s="52"/>
      <c r="M1292" s="52"/>
      <c r="N1292" s="52"/>
      <c r="O1292" s="52"/>
      <c r="P1292" s="52"/>
      <c r="Q1292" s="52"/>
      <c r="R1292" s="52"/>
      <c r="S1292" s="52"/>
      <c r="T1292" s="52"/>
      <c r="U1292" s="52"/>
      <c r="V1292" s="52"/>
      <c r="W1292" s="52"/>
      <c r="X1292" s="52"/>
      <c r="Y1292" s="52"/>
      <c r="Z1292" s="52"/>
      <c r="AA1292" s="52"/>
      <c r="AB1292" s="52"/>
      <c r="AC1292" s="52"/>
      <c r="AD1292" s="52"/>
      <c r="AE1292" s="52"/>
      <c r="AF1292" s="52"/>
      <c r="AG1292" s="52"/>
      <c r="AH1292" s="52"/>
      <c r="AI1292" s="52"/>
      <c r="AJ1292" s="52"/>
      <c r="AK1292" s="52"/>
      <c r="AL1292" s="52"/>
      <c r="AM1292" s="52"/>
      <c r="AN1292" s="52"/>
      <c r="AO1292" s="52"/>
      <c r="AP1292" s="52"/>
      <c r="AQ1292" s="52"/>
    </row>
    <row r="1293" spans="1:43">
      <c r="A1293" s="68"/>
      <c r="B1293" s="53"/>
      <c r="C1293" s="53"/>
      <c r="D1293" s="53"/>
      <c r="E1293" s="53"/>
      <c r="F1293" s="52"/>
      <c r="G1293" s="52"/>
      <c r="H1293" s="52"/>
      <c r="I1293" s="52"/>
      <c r="J1293" s="52"/>
      <c r="K1293" s="52"/>
      <c r="L1293" s="52"/>
      <c r="M1293" s="52"/>
      <c r="N1293" s="52"/>
      <c r="O1293" s="52"/>
      <c r="P1293" s="52"/>
      <c r="Q1293" s="52"/>
      <c r="R1293" s="52"/>
      <c r="S1293" s="52"/>
      <c r="T1293" s="52"/>
      <c r="U1293" s="52"/>
      <c r="V1293" s="52"/>
      <c r="W1293" s="52"/>
      <c r="X1293" s="52"/>
      <c r="Y1293" s="52"/>
      <c r="Z1293" s="52"/>
      <c r="AA1293" s="52"/>
      <c r="AB1293" s="52"/>
      <c r="AC1293" s="52"/>
      <c r="AD1293" s="52"/>
      <c r="AE1293" s="52"/>
      <c r="AF1293" s="52"/>
      <c r="AG1293" s="52"/>
      <c r="AH1293" s="52"/>
      <c r="AI1293" s="52"/>
      <c r="AJ1293" s="52"/>
      <c r="AK1293" s="52"/>
      <c r="AL1293" s="52"/>
      <c r="AM1293" s="52"/>
      <c r="AN1293" s="52"/>
      <c r="AO1293" s="52"/>
      <c r="AP1293" s="52"/>
      <c r="AQ1293" s="52"/>
    </row>
    <row r="1294" spans="1:43">
      <c r="A1294" s="68"/>
      <c r="B1294" s="53"/>
      <c r="C1294" s="53"/>
      <c r="D1294" s="53"/>
      <c r="E1294" s="53"/>
      <c r="F1294" s="52"/>
      <c r="G1294" s="52"/>
      <c r="H1294" s="52"/>
      <c r="I1294" s="52"/>
      <c r="J1294" s="52"/>
      <c r="K1294" s="52"/>
      <c r="L1294" s="52"/>
      <c r="M1294" s="52"/>
      <c r="N1294" s="52"/>
      <c r="O1294" s="52"/>
      <c r="P1294" s="52"/>
      <c r="Q1294" s="52"/>
      <c r="R1294" s="52"/>
      <c r="S1294" s="52"/>
      <c r="T1294" s="52"/>
      <c r="U1294" s="52"/>
      <c r="V1294" s="52"/>
      <c r="W1294" s="52"/>
      <c r="X1294" s="52"/>
      <c r="Y1294" s="52"/>
      <c r="Z1294" s="52"/>
      <c r="AA1294" s="52"/>
      <c r="AB1294" s="52"/>
      <c r="AC1294" s="52"/>
      <c r="AD1294" s="52"/>
      <c r="AE1294" s="52"/>
      <c r="AF1294" s="52"/>
      <c r="AG1294" s="52"/>
      <c r="AH1294" s="52"/>
      <c r="AI1294" s="52"/>
      <c r="AJ1294" s="52"/>
      <c r="AK1294" s="52"/>
      <c r="AL1294" s="52"/>
      <c r="AM1294" s="52"/>
      <c r="AN1294" s="52"/>
      <c r="AO1294" s="52"/>
      <c r="AP1294" s="52"/>
      <c r="AQ1294" s="52"/>
    </row>
    <row r="1295" spans="1:43">
      <c r="A1295" s="68"/>
      <c r="B1295" s="53"/>
      <c r="C1295" s="53"/>
      <c r="D1295" s="53"/>
      <c r="E1295" s="53"/>
      <c r="F1295" s="52"/>
      <c r="G1295" s="52"/>
      <c r="H1295" s="52"/>
      <c r="I1295" s="52"/>
      <c r="J1295" s="52"/>
      <c r="K1295" s="52"/>
      <c r="L1295" s="52"/>
      <c r="M1295" s="52"/>
      <c r="N1295" s="52"/>
      <c r="O1295" s="52"/>
      <c r="P1295" s="52"/>
      <c r="Q1295" s="52"/>
      <c r="R1295" s="52"/>
      <c r="S1295" s="52"/>
      <c r="T1295" s="52"/>
      <c r="U1295" s="52"/>
      <c r="V1295" s="52"/>
      <c r="W1295" s="52"/>
      <c r="X1295" s="52"/>
      <c r="Y1295" s="52"/>
      <c r="Z1295" s="52"/>
      <c r="AA1295" s="52"/>
      <c r="AB1295" s="52"/>
      <c r="AC1295" s="52"/>
      <c r="AD1295" s="52"/>
      <c r="AE1295" s="52"/>
      <c r="AF1295" s="52"/>
      <c r="AG1295" s="52"/>
      <c r="AH1295" s="52"/>
      <c r="AI1295" s="52"/>
      <c r="AJ1295" s="52"/>
      <c r="AK1295" s="52"/>
      <c r="AL1295" s="52"/>
      <c r="AM1295" s="52"/>
      <c r="AN1295" s="52"/>
      <c r="AO1295" s="52"/>
      <c r="AP1295" s="52"/>
      <c r="AQ1295" s="52"/>
    </row>
    <row r="1296" spans="1:43">
      <c r="A1296" s="68"/>
      <c r="B1296" s="53"/>
      <c r="C1296" s="53"/>
      <c r="D1296" s="53"/>
      <c r="E1296" s="53"/>
      <c r="F1296" s="52"/>
      <c r="G1296" s="52"/>
      <c r="H1296" s="52"/>
      <c r="I1296" s="52"/>
      <c r="J1296" s="52"/>
      <c r="K1296" s="52"/>
      <c r="L1296" s="52"/>
      <c r="M1296" s="52"/>
      <c r="N1296" s="52"/>
      <c r="O1296" s="52"/>
      <c r="P1296" s="52"/>
      <c r="Q1296" s="52"/>
      <c r="R1296" s="52"/>
      <c r="S1296" s="52"/>
      <c r="T1296" s="52"/>
      <c r="U1296" s="52"/>
      <c r="V1296" s="52"/>
      <c r="W1296" s="52"/>
      <c r="X1296" s="52"/>
      <c r="Y1296" s="52"/>
      <c r="Z1296" s="52"/>
      <c r="AA1296" s="52"/>
      <c r="AB1296" s="52"/>
      <c r="AC1296" s="52"/>
      <c r="AD1296" s="52"/>
      <c r="AE1296" s="52"/>
      <c r="AF1296" s="52"/>
      <c r="AG1296" s="52"/>
      <c r="AH1296" s="52"/>
      <c r="AI1296" s="52"/>
      <c r="AJ1296" s="52"/>
      <c r="AK1296" s="52"/>
      <c r="AL1296" s="52"/>
      <c r="AM1296" s="52"/>
      <c r="AN1296" s="52"/>
      <c r="AO1296" s="52"/>
      <c r="AP1296" s="52"/>
      <c r="AQ1296" s="52"/>
    </row>
    <row r="1297" spans="1:43">
      <c r="A1297" s="68"/>
      <c r="B1297" s="53"/>
      <c r="C1297" s="53"/>
      <c r="D1297" s="53"/>
      <c r="E1297" s="53"/>
      <c r="F1297" s="52"/>
      <c r="G1297" s="52"/>
      <c r="H1297" s="52"/>
      <c r="I1297" s="52"/>
      <c r="J1297" s="52"/>
      <c r="K1297" s="52"/>
      <c r="L1297" s="52"/>
      <c r="M1297" s="52"/>
      <c r="N1297" s="52"/>
      <c r="O1297" s="52"/>
      <c r="P1297" s="52"/>
      <c r="Q1297" s="52"/>
      <c r="R1297" s="52"/>
      <c r="S1297" s="52"/>
      <c r="T1297" s="52"/>
      <c r="U1297" s="52"/>
      <c r="V1297" s="52"/>
      <c r="W1297" s="52"/>
      <c r="X1297" s="52"/>
      <c r="Y1297" s="52"/>
      <c r="Z1297" s="52"/>
      <c r="AA1297" s="52"/>
      <c r="AB1297" s="52"/>
      <c r="AC1297" s="52"/>
      <c r="AD1297" s="52"/>
      <c r="AE1297" s="52"/>
      <c r="AF1297" s="52"/>
      <c r="AG1297" s="52"/>
      <c r="AH1297" s="52"/>
      <c r="AI1297" s="52"/>
      <c r="AJ1297" s="52"/>
      <c r="AK1297" s="52"/>
      <c r="AL1297" s="52"/>
      <c r="AM1297" s="52"/>
      <c r="AN1297" s="52"/>
      <c r="AO1297" s="52"/>
      <c r="AP1297" s="52"/>
      <c r="AQ1297" s="52"/>
    </row>
    <row r="1298" spans="1:43">
      <c r="A1298" s="68"/>
      <c r="B1298" s="53"/>
      <c r="C1298" s="53"/>
      <c r="D1298" s="53"/>
      <c r="E1298" s="53"/>
      <c r="F1298" s="52"/>
      <c r="G1298" s="52"/>
      <c r="H1298" s="52"/>
      <c r="I1298" s="52"/>
      <c r="J1298" s="52"/>
      <c r="K1298" s="52"/>
      <c r="L1298" s="52"/>
      <c r="M1298" s="52"/>
      <c r="N1298" s="52"/>
      <c r="O1298" s="52"/>
      <c r="P1298" s="52"/>
      <c r="Q1298" s="52"/>
      <c r="R1298" s="52"/>
      <c r="S1298" s="52"/>
      <c r="T1298" s="52"/>
      <c r="U1298" s="52"/>
      <c r="V1298" s="52"/>
      <c r="W1298" s="52"/>
      <c r="X1298" s="52"/>
      <c r="Y1298" s="52"/>
      <c r="Z1298" s="52"/>
      <c r="AA1298" s="52"/>
      <c r="AB1298" s="52"/>
      <c r="AC1298" s="52"/>
      <c r="AD1298" s="52"/>
      <c r="AE1298" s="52"/>
      <c r="AF1298" s="52"/>
      <c r="AG1298" s="52"/>
      <c r="AH1298" s="52"/>
      <c r="AI1298" s="52"/>
      <c r="AJ1298" s="52"/>
      <c r="AK1298" s="52"/>
      <c r="AL1298" s="52"/>
      <c r="AM1298" s="52"/>
      <c r="AN1298" s="52"/>
      <c r="AO1298" s="52"/>
      <c r="AP1298" s="52"/>
      <c r="AQ1298" s="52"/>
    </row>
    <row r="1299" spans="1:43">
      <c r="A1299" s="68"/>
      <c r="B1299" s="53"/>
      <c r="C1299" s="53"/>
      <c r="D1299" s="53"/>
      <c r="E1299" s="53"/>
      <c r="F1299" s="52"/>
      <c r="G1299" s="52"/>
      <c r="H1299" s="52"/>
      <c r="I1299" s="52"/>
      <c r="J1299" s="52"/>
      <c r="K1299" s="52"/>
      <c r="L1299" s="52"/>
      <c r="M1299" s="52"/>
      <c r="N1299" s="52"/>
      <c r="O1299" s="52"/>
      <c r="P1299" s="52"/>
      <c r="Q1299" s="52"/>
      <c r="R1299" s="52"/>
      <c r="S1299" s="52"/>
      <c r="T1299" s="52"/>
      <c r="U1299" s="52"/>
      <c r="V1299" s="52"/>
      <c r="W1299" s="52"/>
      <c r="X1299" s="52"/>
      <c r="Y1299" s="52"/>
      <c r="Z1299" s="52"/>
      <c r="AA1299" s="52"/>
      <c r="AB1299" s="52"/>
      <c r="AC1299" s="52"/>
      <c r="AD1299" s="52"/>
      <c r="AE1299" s="52"/>
      <c r="AF1299" s="52"/>
      <c r="AG1299" s="52"/>
      <c r="AH1299" s="52"/>
      <c r="AI1299" s="52"/>
      <c r="AJ1299" s="52"/>
      <c r="AK1299" s="52"/>
      <c r="AL1299" s="52"/>
      <c r="AM1299" s="52"/>
      <c r="AN1299" s="52"/>
      <c r="AO1299" s="52"/>
      <c r="AP1299" s="52"/>
      <c r="AQ1299" s="52"/>
    </row>
    <row r="1300" spans="1:43">
      <c r="A1300" s="68"/>
      <c r="B1300" s="53"/>
      <c r="C1300" s="53"/>
      <c r="D1300" s="53"/>
      <c r="E1300" s="53"/>
      <c r="F1300" s="52"/>
      <c r="G1300" s="52"/>
      <c r="H1300" s="52"/>
      <c r="I1300" s="52"/>
      <c r="J1300" s="52"/>
      <c r="K1300" s="52"/>
      <c r="L1300" s="52"/>
      <c r="M1300" s="52"/>
      <c r="N1300" s="52"/>
      <c r="O1300" s="52"/>
      <c r="P1300" s="52"/>
      <c r="Q1300" s="52"/>
      <c r="R1300" s="52"/>
      <c r="S1300" s="52"/>
      <c r="T1300" s="52"/>
      <c r="U1300" s="52"/>
      <c r="V1300" s="52"/>
      <c r="W1300" s="52"/>
      <c r="X1300" s="52"/>
      <c r="Y1300" s="52"/>
      <c r="Z1300" s="52"/>
      <c r="AA1300" s="52"/>
      <c r="AB1300" s="52"/>
      <c r="AC1300" s="52"/>
      <c r="AD1300" s="52"/>
      <c r="AE1300" s="52"/>
      <c r="AF1300" s="52"/>
      <c r="AG1300" s="52"/>
      <c r="AH1300" s="52"/>
      <c r="AI1300" s="52"/>
      <c r="AJ1300" s="52"/>
      <c r="AK1300" s="52"/>
      <c r="AL1300" s="52"/>
      <c r="AM1300" s="52"/>
      <c r="AN1300" s="52"/>
      <c r="AO1300" s="52"/>
      <c r="AP1300" s="52"/>
      <c r="AQ1300" s="52"/>
    </row>
    <row r="1301" spans="1:43">
      <c r="A1301" s="68"/>
      <c r="B1301" s="53"/>
      <c r="C1301" s="53"/>
      <c r="D1301" s="53"/>
      <c r="E1301" s="53"/>
      <c r="F1301" s="52"/>
      <c r="G1301" s="52"/>
      <c r="H1301" s="52"/>
      <c r="I1301" s="52"/>
      <c r="J1301" s="52"/>
      <c r="K1301" s="52"/>
      <c r="L1301" s="52"/>
      <c r="M1301" s="52"/>
      <c r="N1301" s="52"/>
      <c r="O1301" s="52"/>
      <c r="P1301" s="52"/>
      <c r="Q1301" s="52"/>
      <c r="R1301" s="52"/>
      <c r="S1301" s="52"/>
      <c r="T1301" s="52"/>
      <c r="U1301" s="52"/>
      <c r="V1301" s="52"/>
      <c r="W1301" s="52"/>
      <c r="X1301" s="52"/>
      <c r="Y1301" s="52"/>
      <c r="Z1301" s="52"/>
      <c r="AA1301" s="52"/>
      <c r="AB1301" s="52"/>
      <c r="AC1301" s="52"/>
      <c r="AD1301" s="52"/>
      <c r="AE1301" s="52"/>
      <c r="AF1301" s="52"/>
      <c r="AG1301" s="52"/>
      <c r="AH1301" s="52"/>
      <c r="AI1301" s="52"/>
      <c r="AJ1301" s="52"/>
      <c r="AK1301" s="52"/>
      <c r="AL1301" s="52"/>
      <c r="AM1301" s="52"/>
      <c r="AN1301" s="52"/>
      <c r="AO1301" s="52"/>
      <c r="AP1301" s="52"/>
      <c r="AQ1301" s="52"/>
    </row>
    <row r="1302" spans="1:43">
      <c r="A1302" s="68"/>
      <c r="B1302" s="53"/>
      <c r="C1302" s="53"/>
      <c r="D1302" s="53"/>
      <c r="E1302" s="53"/>
      <c r="F1302" s="52"/>
      <c r="G1302" s="52"/>
      <c r="H1302" s="52"/>
      <c r="I1302" s="52"/>
      <c r="J1302" s="52"/>
      <c r="K1302" s="52"/>
      <c r="L1302" s="52"/>
      <c r="M1302" s="52"/>
      <c r="N1302" s="52"/>
      <c r="O1302" s="52"/>
      <c r="P1302" s="52"/>
      <c r="Q1302" s="52"/>
      <c r="R1302" s="52"/>
      <c r="S1302" s="52"/>
      <c r="T1302" s="52"/>
      <c r="U1302" s="52"/>
      <c r="V1302" s="52"/>
      <c r="W1302" s="52"/>
      <c r="X1302" s="52"/>
      <c r="Y1302" s="52"/>
      <c r="Z1302" s="52"/>
      <c r="AA1302" s="52"/>
      <c r="AB1302" s="52"/>
      <c r="AC1302" s="52"/>
      <c r="AD1302" s="52"/>
      <c r="AE1302" s="52"/>
      <c r="AF1302" s="52"/>
      <c r="AG1302" s="52"/>
      <c r="AH1302" s="52"/>
      <c r="AI1302" s="52"/>
      <c r="AJ1302" s="52"/>
      <c r="AK1302" s="52"/>
      <c r="AL1302" s="52"/>
      <c r="AM1302" s="52"/>
      <c r="AN1302" s="52"/>
      <c r="AO1302" s="52"/>
      <c r="AP1302" s="52"/>
      <c r="AQ1302" s="52"/>
    </row>
    <row r="1303" spans="1:43">
      <c r="A1303" s="68"/>
      <c r="B1303" s="53"/>
      <c r="C1303" s="53"/>
      <c r="D1303" s="53"/>
      <c r="E1303" s="53"/>
      <c r="F1303" s="52"/>
      <c r="G1303" s="52"/>
      <c r="H1303" s="52"/>
      <c r="I1303" s="52"/>
      <c r="J1303" s="52"/>
      <c r="K1303" s="52"/>
      <c r="L1303" s="52"/>
      <c r="M1303" s="52"/>
      <c r="N1303" s="52"/>
      <c r="O1303" s="52"/>
      <c r="P1303" s="52"/>
      <c r="Q1303" s="52"/>
      <c r="R1303" s="52"/>
      <c r="S1303" s="52"/>
      <c r="T1303" s="52"/>
      <c r="U1303" s="52"/>
      <c r="V1303" s="52"/>
      <c r="W1303" s="52"/>
      <c r="X1303" s="52"/>
      <c r="Y1303" s="52"/>
      <c r="Z1303" s="52"/>
      <c r="AA1303" s="52"/>
      <c r="AB1303" s="52"/>
      <c r="AC1303" s="52"/>
      <c r="AD1303" s="52"/>
      <c r="AE1303" s="52"/>
      <c r="AF1303" s="52"/>
      <c r="AG1303" s="52"/>
      <c r="AH1303" s="52"/>
      <c r="AI1303" s="52"/>
      <c r="AJ1303" s="52"/>
      <c r="AK1303" s="52"/>
      <c r="AL1303" s="52"/>
      <c r="AM1303" s="52"/>
      <c r="AN1303" s="52"/>
      <c r="AO1303" s="52"/>
      <c r="AP1303" s="52"/>
      <c r="AQ1303" s="52"/>
    </row>
    <row r="1304" spans="1:43">
      <c r="A1304" s="68"/>
      <c r="B1304" s="53"/>
      <c r="C1304" s="53"/>
      <c r="D1304" s="53"/>
      <c r="E1304" s="53"/>
      <c r="F1304" s="52"/>
      <c r="G1304" s="52"/>
      <c r="H1304" s="52"/>
      <c r="I1304" s="52"/>
      <c r="J1304" s="52"/>
      <c r="K1304" s="52"/>
      <c r="L1304" s="52"/>
      <c r="M1304" s="52"/>
      <c r="N1304" s="52"/>
      <c r="O1304" s="52"/>
      <c r="P1304" s="52"/>
      <c r="Q1304" s="52"/>
      <c r="R1304" s="52"/>
      <c r="S1304" s="52"/>
      <c r="T1304" s="52"/>
      <c r="U1304" s="52"/>
      <c r="V1304" s="52"/>
      <c r="W1304" s="52"/>
      <c r="X1304" s="52"/>
      <c r="Y1304" s="52"/>
      <c r="Z1304" s="52"/>
      <c r="AA1304" s="52"/>
      <c r="AB1304" s="52"/>
      <c r="AC1304" s="52"/>
      <c r="AD1304" s="52"/>
      <c r="AE1304" s="52"/>
      <c r="AF1304" s="52"/>
      <c r="AG1304" s="52"/>
      <c r="AH1304" s="52"/>
      <c r="AI1304" s="52"/>
      <c r="AJ1304" s="52"/>
      <c r="AK1304" s="52"/>
      <c r="AL1304" s="52"/>
      <c r="AM1304" s="52"/>
      <c r="AN1304" s="52"/>
      <c r="AO1304" s="52"/>
      <c r="AP1304" s="52"/>
      <c r="AQ1304" s="52"/>
    </row>
    <row r="1305" spans="1:43">
      <c r="A1305" s="68"/>
      <c r="B1305" s="53"/>
      <c r="C1305" s="53"/>
      <c r="D1305" s="53"/>
      <c r="E1305" s="53"/>
      <c r="F1305" s="52"/>
      <c r="G1305" s="52"/>
      <c r="H1305" s="52"/>
      <c r="I1305" s="52"/>
      <c r="J1305" s="52"/>
      <c r="K1305" s="52"/>
      <c r="L1305" s="52"/>
      <c r="M1305" s="52"/>
      <c r="N1305" s="52"/>
      <c r="O1305" s="52"/>
      <c r="P1305" s="52"/>
      <c r="Q1305" s="52"/>
      <c r="R1305" s="52"/>
      <c r="S1305" s="52"/>
      <c r="T1305" s="52"/>
      <c r="U1305" s="52"/>
      <c r="V1305" s="52"/>
      <c r="W1305" s="52"/>
      <c r="X1305" s="52"/>
      <c r="Y1305" s="52"/>
      <c r="Z1305" s="52"/>
      <c r="AA1305" s="52"/>
      <c r="AB1305" s="52"/>
      <c r="AC1305" s="52"/>
      <c r="AD1305" s="52"/>
      <c r="AE1305" s="52"/>
      <c r="AF1305" s="52"/>
      <c r="AG1305" s="52"/>
      <c r="AH1305" s="52"/>
      <c r="AI1305" s="52"/>
      <c r="AJ1305" s="52"/>
      <c r="AK1305" s="52"/>
      <c r="AL1305" s="52"/>
      <c r="AM1305" s="52"/>
      <c r="AN1305" s="52"/>
      <c r="AO1305" s="52"/>
      <c r="AP1305" s="52"/>
      <c r="AQ1305" s="52"/>
    </row>
    <row r="1306" spans="1:43">
      <c r="A1306" s="68"/>
      <c r="B1306" s="53"/>
      <c r="C1306" s="53"/>
      <c r="D1306" s="53"/>
      <c r="E1306" s="53"/>
      <c r="F1306" s="52"/>
      <c r="G1306" s="52"/>
      <c r="H1306" s="52"/>
      <c r="I1306" s="52"/>
      <c r="J1306" s="52"/>
      <c r="K1306" s="52"/>
      <c r="L1306" s="52"/>
      <c r="M1306" s="52"/>
      <c r="N1306" s="52"/>
      <c r="O1306" s="52"/>
      <c r="P1306" s="52"/>
      <c r="Q1306" s="52"/>
      <c r="R1306" s="52"/>
      <c r="S1306" s="52"/>
      <c r="T1306" s="52"/>
      <c r="U1306" s="52"/>
      <c r="V1306" s="52"/>
      <c r="W1306" s="52"/>
      <c r="X1306" s="52"/>
      <c r="Y1306" s="52"/>
      <c r="Z1306" s="52"/>
      <c r="AA1306" s="52"/>
      <c r="AB1306" s="52"/>
      <c r="AC1306" s="52"/>
      <c r="AD1306" s="52"/>
      <c r="AE1306" s="52"/>
      <c r="AF1306" s="52"/>
      <c r="AG1306" s="52"/>
      <c r="AH1306" s="52"/>
      <c r="AI1306" s="52"/>
      <c r="AJ1306" s="52"/>
      <c r="AK1306" s="52"/>
      <c r="AL1306" s="52"/>
      <c r="AM1306" s="52"/>
      <c r="AN1306" s="52"/>
      <c r="AO1306" s="52"/>
      <c r="AP1306" s="52"/>
      <c r="AQ1306" s="52"/>
    </row>
    <row r="1307" spans="1:43">
      <c r="A1307" s="68"/>
      <c r="B1307" s="53"/>
      <c r="C1307" s="53"/>
      <c r="D1307" s="53"/>
      <c r="E1307" s="53"/>
      <c r="F1307" s="52"/>
      <c r="G1307" s="52"/>
      <c r="H1307" s="52"/>
      <c r="I1307" s="52"/>
      <c r="J1307" s="52"/>
      <c r="K1307" s="52"/>
      <c r="L1307" s="52"/>
      <c r="M1307" s="52"/>
      <c r="N1307" s="52"/>
      <c r="O1307" s="52"/>
      <c r="P1307" s="52"/>
      <c r="Q1307" s="52"/>
      <c r="R1307" s="52"/>
      <c r="S1307" s="52"/>
      <c r="T1307" s="52"/>
      <c r="U1307" s="52"/>
      <c r="V1307" s="52"/>
      <c r="W1307" s="52"/>
      <c r="X1307" s="52"/>
      <c r="Y1307" s="52"/>
      <c r="Z1307" s="52"/>
      <c r="AA1307" s="52"/>
      <c r="AB1307" s="52"/>
      <c r="AC1307" s="52"/>
      <c r="AD1307" s="52"/>
      <c r="AE1307" s="52"/>
      <c r="AF1307" s="52"/>
      <c r="AG1307" s="52"/>
      <c r="AH1307" s="52"/>
      <c r="AI1307" s="52"/>
      <c r="AJ1307" s="52"/>
      <c r="AK1307" s="52"/>
      <c r="AL1307" s="52"/>
      <c r="AM1307" s="52"/>
      <c r="AN1307" s="52"/>
      <c r="AO1307" s="52"/>
      <c r="AP1307" s="52"/>
      <c r="AQ1307" s="52"/>
    </row>
    <row r="1308" spans="1:43">
      <c r="A1308" s="68"/>
      <c r="B1308" s="53"/>
      <c r="C1308" s="53"/>
      <c r="D1308" s="53"/>
      <c r="E1308" s="53"/>
      <c r="F1308" s="52"/>
      <c r="G1308" s="52"/>
      <c r="H1308" s="52"/>
      <c r="I1308" s="52"/>
      <c r="J1308" s="52"/>
      <c r="K1308" s="52"/>
      <c r="L1308" s="52"/>
      <c r="M1308" s="52"/>
      <c r="N1308" s="52"/>
      <c r="O1308" s="52"/>
      <c r="P1308" s="52"/>
      <c r="Q1308" s="52"/>
      <c r="R1308" s="52"/>
      <c r="S1308" s="52"/>
      <c r="T1308" s="52"/>
      <c r="U1308" s="52"/>
      <c r="V1308" s="52"/>
      <c r="W1308" s="52"/>
      <c r="X1308" s="52"/>
      <c r="Y1308" s="52"/>
      <c r="Z1308" s="52"/>
      <c r="AA1308" s="52"/>
      <c r="AB1308" s="52"/>
      <c r="AC1308" s="52"/>
      <c r="AD1308" s="52"/>
      <c r="AE1308" s="52"/>
      <c r="AF1308" s="52"/>
      <c r="AG1308" s="52"/>
      <c r="AH1308" s="52"/>
      <c r="AI1308" s="52"/>
      <c r="AJ1308" s="52"/>
      <c r="AK1308" s="52"/>
      <c r="AL1308" s="52"/>
      <c r="AM1308" s="52"/>
      <c r="AN1308" s="52"/>
      <c r="AO1308" s="52"/>
      <c r="AP1308" s="52"/>
      <c r="AQ1308" s="52"/>
    </row>
    <row r="1309" spans="1:43">
      <c r="A1309" s="68"/>
      <c r="B1309" s="53"/>
      <c r="C1309" s="53"/>
      <c r="D1309" s="53"/>
      <c r="E1309" s="53"/>
      <c r="F1309" s="52"/>
      <c r="G1309" s="52"/>
      <c r="H1309" s="52"/>
      <c r="I1309" s="52"/>
      <c r="J1309" s="52"/>
      <c r="K1309" s="52"/>
      <c r="L1309" s="52"/>
      <c r="M1309" s="52"/>
      <c r="N1309" s="52"/>
      <c r="O1309" s="52"/>
      <c r="P1309" s="52"/>
      <c r="Q1309" s="52"/>
      <c r="R1309" s="52"/>
      <c r="S1309" s="52"/>
      <c r="T1309" s="52"/>
      <c r="U1309" s="52"/>
      <c r="V1309" s="52"/>
      <c r="W1309" s="52"/>
      <c r="X1309" s="52"/>
      <c r="Y1309" s="52"/>
      <c r="Z1309" s="52"/>
      <c r="AA1309" s="52"/>
      <c r="AB1309" s="52"/>
      <c r="AC1309" s="52"/>
      <c r="AD1309" s="52"/>
      <c r="AE1309" s="52"/>
      <c r="AF1309" s="52"/>
      <c r="AG1309" s="52"/>
      <c r="AH1309" s="52"/>
      <c r="AI1309" s="52"/>
      <c r="AJ1309" s="52"/>
      <c r="AK1309" s="52"/>
      <c r="AL1309" s="52"/>
      <c r="AM1309" s="52"/>
      <c r="AN1309" s="52"/>
      <c r="AO1309" s="52"/>
      <c r="AP1309" s="52"/>
      <c r="AQ1309" s="52"/>
    </row>
    <row r="1310" spans="1:43">
      <c r="A1310" s="68"/>
      <c r="B1310" s="53"/>
      <c r="C1310" s="53"/>
      <c r="D1310" s="53"/>
      <c r="E1310" s="53"/>
      <c r="F1310" s="52"/>
      <c r="G1310" s="52"/>
      <c r="H1310" s="52"/>
      <c r="I1310" s="52"/>
      <c r="J1310" s="52"/>
      <c r="K1310" s="52"/>
      <c r="L1310" s="52"/>
      <c r="M1310" s="52"/>
      <c r="N1310" s="52"/>
      <c r="O1310" s="52"/>
      <c r="P1310" s="52"/>
      <c r="Q1310" s="52"/>
      <c r="R1310" s="52"/>
      <c r="S1310" s="52"/>
      <c r="T1310" s="52"/>
      <c r="U1310" s="52"/>
      <c r="V1310" s="52"/>
      <c r="W1310" s="52"/>
      <c r="X1310" s="52"/>
      <c r="Y1310" s="52"/>
      <c r="Z1310" s="52"/>
      <c r="AA1310" s="52"/>
      <c r="AB1310" s="52"/>
      <c r="AC1310" s="52"/>
      <c r="AD1310" s="52"/>
      <c r="AE1310" s="52"/>
      <c r="AF1310" s="52"/>
      <c r="AG1310" s="52"/>
      <c r="AH1310" s="52"/>
      <c r="AI1310" s="52"/>
      <c r="AJ1310" s="52"/>
      <c r="AK1310" s="52"/>
      <c r="AL1310" s="52"/>
      <c r="AM1310" s="52"/>
      <c r="AN1310" s="52"/>
      <c r="AO1310" s="52"/>
      <c r="AP1310" s="52"/>
      <c r="AQ1310" s="52"/>
    </row>
    <row r="1311" spans="1:43">
      <c r="A1311" s="68"/>
      <c r="B1311" s="53"/>
      <c r="C1311" s="53"/>
      <c r="D1311" s="53"/>
      <c r="E1311" s="53"/>
      <c r="F1311" s="52"/>
      <c r="G1311" s="52"/>
      <c r="H1311" s="52"/>
      <c r="I1311" s="52"/>
      <c r="J1311" s="52"/>
      <c r="K1311" s="52"/>
      <c r="L1311" s="52"/>
      <c r="M1311" s="52"/>
      <c r="N1311" s="52"/>
      <c r="O1311" s="52"/>
      <c r="P1311" s="52"/>
      <c r="Q1311" s="52"/>
      <c r="R1311" s="52"/>
      <c r="S1311" s="52"/>
      <c r="T1311" s="52"/>
      <c r="U1311" s="52"/>
      <c r="V1311" s="52"/>
      <c r="W1311" s="52"/>
      <c r="X1311" s="52"/>
      <c r="Y1311" s="52"/>
      <c r="Z1311" s="52"/>
      <c r="AA1311" s="52"/>
      <c r="AB1311" s="52"/>
      <c r="AC1311" s="52"/>
      <c r="AD1311" s="52"/>
      <c r="AE1311" s="52"/>
      <c r="AF1311" s="52"/>
      <c r="AG1311" s="52"/>
      <c r="AH1311" s="52"/>
      <c r="AI1311" s="52"/>
      <c r="AJ1311" s="52"/>
      <c r="AK1311" s="52"/>
      <c r="AL1311" s="52"/>
      <c r="AM1311" s="52"/>
      <c r="AN1311" s="52"/>
      <c r="AO1311" s="52"/>
      <c r="AP1311" s="52"/>
      <c r="AQ1311" s="52"/>
    </row>
    <row r="1312" spans="1:43">
      <c r="A1312" s="68"/>
      <c r="B1312" s="53"/>
      <c r="C1312" s="53"/>
      <c r="D1312" s="53"/>
      <c r="E1312" s="53"/>
      <c r="F1312" s="52"/>
      <c r="G1312" s="52"/>
      <c r="H1312" s="52"/>
      <c r="I1312" s="52"/>
      <c r="J1312" s="52"/>
      <c r="K1312" s="52"/>
      <c r="L1312" s="52"/>
      <c r="M1312" s="52"/>
      <c r="N1312" s="52"/>
      <c r="O1312" s="52"/>
      <c r="P1312" s="52"/>
      <c r="Q1312" s="52"/>
      <c r="R1312" s="52"/>
      <c r="S1312" s="52"/>
      <c r="T1312" s="52"/>
      <c r="U1312" s="52"/>
      <c r="V1312" s="52"/>
      <c r="W1312" s="52"/>
      <c r="X1312" s="52"/>
      <c r="Y1312" s="52"/>
      <c r="Z1312" s="52"/>
      <c r="AA1312" s="52"/>
      <c r="AB1312" s="52"/>
      <c r="AC1312" s="52"/>
      <c r="AD1312" s="52"/>
      <c r="AE1312" s="52"/>
      <c r="AF1312" s="52"/>
      <c r="AG1312" s="52"/>
      <c r="AH1312" s="52"/>
      <c r="AI1312" s="52"/>
      <c r="AJ1312" s="52"/>
      <c r="AK1312" s="52"/>
      <c r="AL1312" s="52"/>
      <c r="AM1312" s="52"/>
      <c r="AN1312" s="52"/>
      <c r="AO1312" s="52"/>
      <c r="AP1312" s="52"/>
      <c r="AQ1312" s="52"/>
    </row>
    <row r="1313" spans="1:43">
      <c r="A1313" s="68"/>
      <c r="B1313" s="53"/>
      <c r="C1313" s="53"/>
      <c r="D1313" s="53"/>
      <c r="E1313" s="53"/>
      <c r="F1313" s="52"/>
      <c r="G1313" s="52"/>
      <c r="H1313" s="52"/>
      <c r="I1313" s="52"/>
      <c r="J1313" s="52"/>
      <c r="K1313" s="52"/>
      <c r="L1313" s="52"/>
      <c r="M1313" s="52"/>
      <c r="N1313" s="52"/>
      <c r="O1313" s="52"/>
      <c r="P1313" s="52"/>
      <c r="Q1313" s="52"/>
      <c r="R1313" s="52"/>
      <c r="S1313" s="52"/>
      <c r="T1313" s="52"/>
      <c r="U1313" s="52"/>
      <c r="V1313" s="52"/>
      <c r="W1313" s="52"/>
      <c r="X1313" s="52"/>
      <c r="Y1313" s="52"/>
      <c r="Z1313" s="52"/>
      <c r="AA1313" s="52"/>
      <c r="AB1313" s="52"/>
      <c r="AC1313" s="52"/>
      <c r="AD1313" s="52"/>
      <c r="AE1313" s="52"/>
      <c r="AF1313" s="52"/>
      <c r="AG1313" s="52"/>
      <c r="AH1313" s="52"/>
      <c r="AI1313" s="52"/>
      <c r="AJ1313" s="52"/>
      <c r="AK1313" s="52"/>
      <c r="AL1313" s="52"/>
      <c r="AM1313" s="52"/>
      <c r="AN1313" s="52"/>
      <c r="AO1313" s="52"/>
      <c r="AP1313" s="52"/>
      <c r="AQ1313" s="52"/>
    </row>
    <row r="1314" spans="1:43">
      <c r="A1314" s="68"/>
      <c r="B1314" s="53"/>
      <c r="C1314" s="53"/>
      <c r="D1314" s="53"/>
      <c r="E1314" s="53"/>
      <c r="F1314" s="52"/>
      <c r="G1314" s="52"/>
      <c r="H1314" s="52"/>
      <c r="I1314" s="52"/>
      <c r="J1314" s="52"/>
      <c r="K1314" s="52"/>
      <c r="L1314" s="52"/>
      <c r="M1314" s="52"/>
      <c r="N1314" s="52"/>
      <c r="O1314" s="52"/>
      <c r="P1314" s="52"/>
      <c r="Q1314" s="52"/>
      <c r="R1314" s="52"/>
      <c r="S1314" s="52"/>
      <c r="T1314" s="52"/>
      <c r="U1314" s="52"/>
      <c r="V1314" s="52"/>
      <c r="W1314" s="52"/>
      <c r="X1314" s="52"/>
      <c r="Y1314" s="52"/>
      <c r="Z1314" s="52"/>
      <c r="AA1314" s="52"/>
      <c r="AB1314" s="52"/>
      <c r="AC1314" s="52"/>
      <c r="AD1314" s="52"/>
      <c r="AE1314" s="52"/>
      <c r="AF1314" s="52"/>
      <c r="AG1314" s="52"/>
      <c r="AH1314" s="52"/>
      <c r="AI1314" s="52"/>
      <c r="AJ1314" s="52"/>
      <c r="AK1314" s="52"/>
      <c r="AL1314" s="52"/>
      <c r="AM1314" s="52"/>
      <c r="AN1314" s="52"/>
      <c r="AO1314" s="52"/>
      <c r="AP1314" s="52"/>
      <c r="AQ1314" s="52"/>
    </row>
    <row r="1315" spans="1:43">
      <c r="A1315" s="68"/>
      <c r="B1315" s="53"/>
      <c r="C1315" s="53"/>
      <c r="D1315" s="53"/>
      <c r="E1315" s="53"/>
      <c r="F1315" s="52"/>
      <c r="G1315" s="52"/>
      <c r="H1315" s="52"/>
      <c r="I1315" s="52"/>
      <c r="J1315" s="52"/>
      <c r="K1315" s="52"/>
      <c r="L1315" s="52"/>
      <c r="M1315" s="52"/>
      <c r="N1315" s="52"/>
      <c r="O1315" s="52"/>
      <c r="P1315" s="52"/>
      <c r="Q1315" s="52"/>
      <c r="R1315" s="52"/>
      <c r="S1315" s="52"/>
      <c r="T1315" s="52"/>
      <c r="U1315" s="52"/>
      <c r="V1315" s="52"/>
      <c r="W1315" s="52"/>
      <c r="X1315" s="52"/>
      <c r="Y1315" s="52"/>
      <c r="Z1315" s="52"/>
      <c r="AA1315" s="52"/>
      <c r="AB1315" s="52"/>
      <c r="AC1315" s="52"/>
      <c r="AD1315" s="52"/>
      <c r="AE1315" s="52"/>
      <c r="AF1315" s="52"/>
      <c r="AG1315" s="52"/>
      <c r="AH1315" s="52"/>
      <c r="AI1315" s="52"/>
      <c r="AJ1315" s="52"/>
      <c r="AK1315" s="52"/>
      <c r="AL1315" s="52"/>
      <c r="AM1315" s="52"/>
      <c r="AN1315" s="52"/>
      <c r="AO1315" s="52"/>
      <c r="AP1315" s="52"/>
      <c r="AQ1315" s="52"/>
    </row>
    <row r="1316" spans="1:43">
      <c r="A1316" s="68"/>
      <c r="B1316" s="53"/>
      <c r="C1316" s="53"/>
      <c r="D1316" s="53"/>
      <c r="E1316" s="53"/>
      <c r="F1316" s="52"/>
      <c r="G1316" s="52"/>
      <c r="H1316" s="52"/>
      <c r="I1316" s="52"/>
      <c r="J1316" s="52"/>
      <c r="K1316" s="52"/>
      <c r="L1316" s="52"/>
      <c r="M1316" s="52"/>
      <c r="N1316" s="52"/>
      <c r="O1316" s="52"/>
      <c r="P1316" s="52"/>
      <c r="Q1316" s="52"/>
      <c r="R1316" s="52"/>
      <c r="S1316" s="52"/>
      <c r="T1316" s="52"/>
      <c r="U1316" s="52"/>
      <c r="V1316" s="52"/>
      <c r="W1316" s="52"/>
      <c r="X1316" s="52"/>
      <c r="Y1316" s="52"/>
      <c r="Z1316" s="52"/>
      <c r="AA1316" s="52"/>
      <c r="AB1316" s="52"/>
      <c r="AC1316" s="52"/>
      <c r="AD1316" s="52"/>
      <c r="AE1316" s="52"/>
      <c r="AF1316" s="52"/>
      <c r="AG1316" s="52"/>
      <c r="AH1316" s="52"/>
      <c r="AI1316" s="52"/>
      <c r="AJ1316" s="52"/>
      <c r="AK1316" s="52"/>
      <c r="AL1316" s="52"/>
      <c r="AM1316" s="52"/>
      <c r="AN1316" s="52"/>
      <c r="AO1316" s="52"/>
      <c r="AP1316" s="52"/>
      <c r="AQ1316" s="52"/>
    </row>
    <row r="1317" spans="1:43">
      <c r="A1317" s="1"/>
    </row>
    <row r="1318" spans="1:43">
      <c r="A1318" s="1"/>
    </row>
    <row r="1319" spans="1:43">
      <c r="A1319" s="1"/>
    </row>
    <row r="1320" spans="1:43">
      <c r="A1320" s="1"/>
    </row>
    <row r="1321" spans="1:43">
      <c r="A1321" s="1"/>
    </row>
    <row r="1322" spans="1:43">
      <c r="A1322" s="1"/>
    </row>
    <row r="1323" spans="1:43">
      <c r="A1323" s="1"/>
    </row>
    <row r="1324" spans="1:43">
      <c r="A1324" s="1"/>
    </row>
    <row r="1325" spans="1:43">
      <c r="A1325" s="1"/>
    </row>
    <row r="1326" spans="1:43">
      <c r="A1326" s="1"/>
    </row>
    <row r="1327" spans="1:43">
      <c r="A1327" s="1"/>
    </row>
    <row r="1328" spans="1:43">
      <c r="A1328" s="1"/>
    </row>
    <row r="1329" spans="1:1">
      <c r="A1329" s="1"/>
    </row>
    <row r="1330" spans="1:1">
      <c r="A1330" s="1"/>
    </row>
    <row r="1331" spans="1:1">
      <c r="A1331" s="1"/>
    </row>
    <row r="1332" spans="1:1">
      <c r="A1332" s="1"/>
    </row>
    <row r="1333" spans="1:1">
      <c r="A1333" s="1"/>
    </row>
    <row r="1334" spans="1:1">
      <c r="A1334" s="1"/>
    </row>
    <row r="1335" spans="1:1">
      <c r="A1335" s="1"/>
    </row>
    <row r="1336" spans="1:1">
      <c r="A1336" s="1"/>
    </row>
    <row r="1337" spans="1:1">
      <c r="A1337" s="1"/>
    </row>
    <row r="1338" spans="1:1">
      <c r="A1338" s="1"/>
    </row>
    <row r="1339" spans="1:1">
      <c r="A1339" s="1"/>
    </row>
    <row r="1340" spans="1:1">
      <c r="A1340" s="1"/>
    </row>
    <row r="1341" spans="1:1">
      <c r="A1341" s="1"/>
    </row>
    <row r="1342" spans="1:1">
      <c r="A1342" s="1"/>
    </row>
    <row r="1343" spans="1:1">
      <c r="A1343" s="1"/>
    </row>
    <row r="1344" spans="1:1">
      <c r="A1344" s="1"/>
    </row>
    <row r="1345" spans="1:1">
      <c r="A1345" s="1"/>
    </row>
    <row r="1346" spans="1:1">
      <c r="A1346" s="1"/>
    </row>
    <row r="1347" spans="1:1">
      <c r="A1347" s="1"/>
    </row>
    <row r="1348" spans="1:1">
      <c r="A1348" s="1"/>
    </row>
    <row r="1349" spans="1:1">
      <c r="A1349" s="1"/>
    </row>
    <row r="1350" spans="1:1">
      <c r="A1350" s="1"/>
    </row>
    <row r="1351" spans="1:1">
      <c r="A1351" s="1"/>
    </row>
    <row r="1352" spans="1:1">
      <c r="A1352" s="1"/>
    </row>
    <row r="1353" spans="1:1">
      <c r="A1353" s="1"/>
    </row>
    <row r="1354" spans="1:1">
      <c r="A1354" s="1"/>
    </row>
    <row r="1355" spans="1:1">
      <c r="A1355" s="1"/>
    </row>
    <row r="1356" spans="1:1">
      <c r="A1356" s="1"/>
    </row>
    <row r="1357" spans="1:1">
      <c r="A1357" s="1"/>
    </row>
    <row r="1358" spans="1:1">
      <c r="A1358" s="1"/>
    </row>
    <row r="1359" spans="1:1">
      <c r="A1359" s="1"/>
    </row>
    <row r="1360" spans="1:1">
      <c r="A1360" s="1"/>
    </row>
    <row r="1361" spans="1:1">
      <c r="A1361" s="1"/>
    </row>
    <row r="1362" spans="1:1">
      <c r="A1362" s="1"/>
    </row>
    <row r="1363" spans="1:1">
      <c r="A1363" s="1"/>
    </row>
    <row r="1364" spans="1:1">
      <c r="A1364" s="1"/>
    </row>
    <row r="1365" spans="1:1">
      <c r="A1365" s="1"/>
    </row>
    <row r="1366" spans="1:1">
      <c r="A1366" s="1"/>
    </row>
    <row r="1367" spans="1:1">
      <c r="A1367" s="1"/>
    </row>
    <row r="1368" spans="1:1">
      <c r="A1368" s="1"/>
    </row>
    <row r="1369" spans="1:1">
      <c r="A1369" s="1"/>
    </row>
    <row r="1370" spans="1:1">
      <c r="A1370" s="1"/>
    </row>
    <row r="1371" spans="1:1">
      <c r="A1371" s="1"/>
    </row>
    <row r="1372" spans="1:1">
      <c r="A1372" s="1"/>
    </row>
    <row r="1373" spans="1:1">
      <c r="A1373" s="1"/>
    </row>
    <row r="1374" spans="1:1">
      <c r="A1374" s="1"/>
    </row>
    <row r="1375" spans="1:1">
      <c r="A1375" s="1"/>
    </row>
    <row r="1376" spans="1:1">
      <c r="A1376" s="1"/>
    </row>
    <row r="1377" spans="1:1">
      <c r="A1377" s="1"/>
    </row>
    <row r="1378" spans="1:1">
      <c r="A1378" s="1"/>
    </row>
    <row r="1379" spans="1:1">
      <c r="A1379" s="1"/>
    </row>
    <row r="1380" spans="1:1">
      <c r="A1380" s="1"/>
    </row>
    <row r="1381" spans="1:1">
      <c r="A1381" s="1"/>
    </row>
    <row r="1382" spans="1:1">
      <c r="A1382" s="1"/>
    </row>
    <row r="1383" spans="1:1">
      <c r="A1383" s="1"/>
    </row>
    <row r="1384" spans="1:1">
      <c r="A1384" s="1"/>
    </row>
    <row r="1385" spans="1:1">
      <c r="A1385" s="1"/>
    </row>
    <row r="1386" spans="1:1">
      <c r="A1386" s="1"/>
    </row>
    <row r="1387" spans="1:1">
      <c r="A1387" s="1"/>
    </row>
    <row r="1388" spans="1:1">
      <c r="A1388" s="1"/>
    </row>
    <row r="1389" spans="1:1">
      <c r="A1389" s="1"/>
    </row>
    <row r="1390" spans="1:1">
      <c r="A1390" s="1"/>
    </row>
    <row r="1391" spans="1:1">
      <c r="A1391" s="1"/>
    </row>
    <row r="1392" spans="1:1">
      <c r="A1392" s="1"/>
    </row>
    <row r="1393" spans="1:1">
      <c r="A1393" s="1"/>
    </row>
    <row r="1394" spans="1:1">
      <c r="A1394" s="1"/>
    </row>
    <row r="1395" spans="1:1">
      <c r="A1395" s="1"/>
    </row>
    <row r="1396" spans="1:1">
      <c r="A1396" s="1"/>
    </row>
    <row r="1397" spans="1:1">
      <c r="A1397" s="1"/>
    </row>
    <row r="1398" spans="1:1">
      <c r="A1398" s="1"/>
    </row>
    <row r="1399" spans="1:1">
      <c r="A1399" s="1"/>
    </row>
    <row r="1400" spans="1:1">
      <c r="A1400" s="1"/>
    </row>
    <row r="1401" spans="1:1">
      <c r="A1401" s="1"/>
    </row>
    <row r="1402" spans="1:1">
      <c r="A1402" s="1"/>
    </row>
    <row r="1403" spans="1:1">
      <c r="A1403" s="1"/>
    </row>
    <row r="1404" spans="1:1">
      <c r="A1404" s="1"/>
    </row>
    <row r="1405" spans="1:1">
      <c r="A1405" s="1"/>
    </row>
    <row r="1406" spans="1:1">
      <c r="A1406" s="1"/>
    </row>
    <row r="1407" spans="1:1">
      <c r="A1407" s="1"/>
    </row>
    <row r="1408" spans="1:1">
      <c r="A1408" s="1"/>
    </row>
    <row r="1409" spans="1:1">
      <c r="A1409" s="1"/>
    </row>
    <row r="1410" spans="1:1">
      <c r="A1410" s="1"/>
    </row>
    <row r="1411" spans="1:1">
      <c r="A1411" s="1"/>
    </row>
    <row r="1412" spans="1:1">
      <c r="A1412" s="1"/>
    </row>
    <row r="1413" spans="1:1">
      <c r="A1413" s="1"/>
    </row>
    <row r="1414" spans="1:1">
      <c r="A1414" s="1"/>
    </row>
    <row r="1415" spans="1:1">
      <c r="A1415" s="1"/>
    </row>
    <row r="1416" spans="1:1">
      <c r="A1416" s="1"/>
    </row>
    <row r="1417" spans="1:1">
      <c r="A1417" s="1"/>
    </row>
    <row r="1418" spans="1:1">
      <c r="A1418" s="1"/>
    </row>
    <row r="1419" spans="1:1">
      <c r="A1419" s="1"/>
    </row>
    <row r="1420" spans="1:1">
      <c r="A1420" s="1"/>
    </row>
    <row r="1421" spans="1:1">
      <c r="A1421" s="1"/>
    </row>
    <row r="1422" spans="1:1">
      <c r="A1422" s="1"/>
    </row>
    <row r="1423" spans="1:1">
      <c r="A1423" s="1"/>
    </row>
    <row r="1424" spans="1:1">
      <c r="A1424" s="1"/>
    </row>
    <row r="1425" spans="1:1">
      <c r="A1425" s="1"/>
    </row>
    <row r="1426" spans="1:1">
      <c r="A1426" s="1"/>
    </row>
    <row r="1427" spans="1:1">
      <c r="A1427" s="1"/>
    </row>
    <row r="1428" spans="1:1">
      <c r="A1428" s="1"/>
    </row>
    <row r="1429" spans="1:1">
      <c r="A1429" s="1"/>
    </row>
    <row r="1430" spans="1:1">
      <c r="A1430" s="1"/>
    </row>
    <row r="1431" spans="1:1">
      <c r="A1431" s="1"/>
    </row>
    <row r="1432" spans="1:1">
      <c r="A1432" s="1"/>
    </row>
    <row r="1433" spans="1:1">
      <c r="A1433" s="1"/>
    </row>
    <row r="1434" spans="1:1">
      <c r="A1434" s="1"/>
    </row>
    <row r="1435" spans="1:1">
      <c r="A1435" s="1"/>
    </row>
    <row r="1436" spans="1:1">
      <c r="A1436" s="1"/>
    </row>
    <row r="1437" spans="1:1">
      <c r="A1437" s="1"/>
    </row>
    <row r="1438" spans="1:1">
      <c r="A1438" s="1"/>
    </row>
    <row r="1439" spans="1:1">
      <c r="A1439" s="1"/>
    </row>
    <row r="1440" spans="1:1">
      <c r="A1440" s="1"/>
    </row>
    <row r="1441" spans="1:1">
      <c r="A1441" s="1"/>
    </row>
    <row r="1442" spans="1:1">
      <c r="A1442" s="1"/>
    </row>
    <row r="1443" spans="1:1">
      <c r="A1443" s="1"/>
    </row>
    <row r="1444" spans="1:1">
      <c r="A1444" s="1"/>
    </row>
    <row r="1445" spans="1:1">
      <c r="A1445" s="1"/>
    </row>
    <row r="1446" spans="1:1">
      <c r="A1446" s="1"/>
    </row>
    <row r="1447" spans="1:1">
      <c r="A1447" s="1"/>
    </row>
    <row r="1448" spans="1:1">
      <c r="A1448" s="1"/>
    </row>
    <row r="1449" spans="1:1">
      <c r="A1449" s="1"/>
    </row>
    <row r="1450" spans="1:1">
      <c r="A1450" s="1"/>
    </row>
    <row r="1451" spans="1:1">
      <c r="A1451" s="1"/>
    </row>
    <row r="1452" spans="1:1">
      <c r="A1452" s="1"/>
    </row>
    <row r="1453" spans="1:1">
      <c r="A1453" s="1"/>
    </row>
    <row r="1454" spans="1:1">
      <c r="A1454" s="1"/>
    </row>
    <row r="1455" spans="1:1">
      <c r="A1455" s="1"/>
    </row>
    <row r="1456" spans="1:1">
      <c r="A1456" s="1"/>
    </row>
    <row r="1457" spans="1:1">
      <c r="A1457" s="1"/>
    </row>
    <row r="1458" spans="1:1">
      <c r="A1458" s="1"/>
    </row>
    <row r="1459" spans="1:1">
      <c r="A1459" s="1"/>
    </row>
    <row r="1460" spans="1:1">
      <c r="A1460" s="1"/>
    </row>
    <row r="1461" spans="1:1">
      <c r="A1461" s="1"/>
    </row>
    <row r="1462" spans="1:1">
      <c r="A1462" s="1"/>
    </row>
    <row r="1463" spans="1:1">
      <c r="A1463" s="1"/>
    </row>
    <row r="1464" spans="1:1">
      <c r="A1464" s="1"/>
    </row>
    <row r="1465" spans="1:1">
      <c r="A1465" s="1"/>
    </row>
    <row r="1466" spans="1:1">
      <c r="A1466" s="1"/>
    </row>
    <row r="1467" spans="1:1">
      <c r="A1467" s="1"/>
    </row>
    <row r="1468" spans="1:1">
      <c r="A1468" s="1"/>
    </row>
    <row r="1469" spans="1:1">
      <c r="A1469" s="1"/>
    </row>
    <row r="1470" spans="1:1">
      <c r="A1470" s="1"/>
    </row>
    <row r="1471" spans="1:1">
      <c r="A1471" s="1"/>
    </row>
    <row r="1472" spans="1:1">
      <c r="A1472" s="1"/>
    </row>
    <row r="1473" spans="1:1">
      <c r="A1473" s="1"/>
    </row>
    <row r="1474" spans="1:1">
      <c r="A1474" s="1"/>
    </row>
    <row r="1475" spans="1:1">
      <c r="A1475" s="1"/>
    </row>
    <row r="1476" spans="1:1">
      <c r="A1476" s="1"/>
    </row>
  </sheetData>
  <sortState xmlns:xlrd2="http://schemas.microsoft.com/office/spreadsheetml/2017/richdata2" ref="A2:A523">
    <sortCondition descending="1" ref="A2:A523"/>
  </sortState>
  <pageMargins left="0.7" right="0.7" top="0.75" bottom="0.75" header="0.3" footer="0.3"/>
  <pageSetup orientation="portrait" r:id="rId1"/>
  <drawing r:id="rId2"/>
  <tableParts count="3">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A011-6121-45AA-A062-15FCDC27769B}">
  <dimension ref="A1:BE180"/>
  <sheetViews>
    <sheetView zoomScale="67" zoomScaleNormal="80" workbookViewId="0"/>
  </sheetViews>
  <sheetFormatPr defaultRowHeight="14"/>
  <cols>
    <col min="1" max="1" width="42.58203125" customWidth="1"/>
    <col min="2" max="2" width="24.1640625" customWidth="1"/>
    <col min="3" max="3" width="29" customWidth="1"/>
    <col min="4" max="4" width="63.1640625" customWidth="1"/>
    <col min="5" max="5" width="31.83203125" customWidth="1"/>
    <col min="6" max="6" width="17" customWidth="1"/>
    <col min="7" max="8" width="17.58203125" customWidth="1"/>
    <col min="9" max="9" width="17.25" customWidth="1"/>
    <col min="10" max="10" width="11.58203125" customWidth="1"/>
    <col min="11" max="11" width="12.4140625" customWidth="1"/>
    <col min="12" max="12" width="12" customWidth="1"/>
    <col min="13" max="13" width="11.58203125" customWidth="1"/>
    <col min="14" max="14" width="12.58203125" customWidth="1"/>
    <col min="15" max="15" width="28.1640625" customWidth="1"/>
    <col min="16" max="16" width="20.25" customWidth="1"/>
    <col min="17" max="17" width="110.1640625" customWidth="1"/>
    <col min="18" max="18" width="38" customWidth="1"/>
    <col min="19" max="19" width="18.58203125" customWidth="1"/>
    <col min="20" max="20" width="54.4140625" customWidth="1"/>
    <col min="21" max="21" width="15.4140625" customWidth="1"/>
    <col min="22" max="22" width="10.58203125" customWidth="1"/>
    <col min="27" max="27" width="36.25" customWidth="1"/>
    <col min="45" max="45" width="57" customWidth="1"/>
  </cols>
  <sheetData>
    <row r="1" spans="1:57">
      <c r="A1" s="12" t="s">
        <v>241</v>
      </c>
      <c r="B1" s="12" t="s">
        <v>228</v>
      </c>
      <c r="C1" s="12" t="s">
        <v>229</v>
      </c>
      <c r="D1" s="12" t="s">
        <v>230</v>
      </c>
      <c r="E1" s="12" t="s">
        <v>119</v>
      </c>
      <c r="F1" s="12" t="s">
        <v>120</v>
      </c>
      <c r="G1" s="12" t="s">
        <v>121</v>
      </c>
      <c r="H1" s="12" t="s">
        <v>122</v>
      </c>
      <c r="I1" s="12" t="s">
        <v>123</v>
      </c>
      <c r="J1" s="12" t="s">
        <v>420</v>
      </c>
      <c r="K1" s="12" t="s">
        <v>421</v>
      </c>
      <c r="L1" s="12" t="s">
        <v>748</v>
      </c>
      <c r="M1" s="12" t="s">
        <v>749</v>
      </c>
      <c r="N1" s="12" t="s">
        <v>750</v>
      </c>
      <c r="O1" s="33" t="s">
        <v>751</v>
      </c>
      <c r="P1" s="12"/>
      <c r="Q1" s="19" t="s">
        <v>1477</v>
      </c>
      <c r="R1" s="19"/>
      <c r="S1" s="201"/>
      <c r="T1" s="201"/>
      <c r="U1" s="320"/>
      <c r="V1" s="46" t="s">
        <v>767</v>
      </c>
      <c r="W1" s="46"/>
      <c r="X1" s="46"/>
      <c r="Y1" s="46"/>
      <c r="Z1" s="46"/>
      <c r="AA1" s="46"/>
      <c r="AB1" s="47"/>
      <c r="AC1" s="47"/>
      <c r="AD1" s="47"/>
      <c r="AE1" s="47"/>
      <c r="AF1" s="47"/>
      <c r="AG1" s="47"/>
      <c r="AH1" s="47"/>
      <c r="AI1" s="47"/>
      <c r="AJ1" s="47"/>
      <c r="AK1" s="47"/>
      <c r="AL1" s="47"/>
      <c r="AM1" s="47"/>
      <c r="AN1" s="47"/>
      <c r="AO1" s="47"/>
      <c r="AP1" s="50"/>
      <c r="AQ1" s="50"/>
      <c r="AR1" s="50"/>
      <c r="AS1" s="50"/>
      <c r="AT1" s="52"/>
      <c r="AU1" s="52"/>
      <c r="AV1" s="52"/>
      <c r="AW1" s="52"/>
      <c r="AX1" s="52"/>
      <c r="AY1" s="52"/>
      <c r="AZ1" s="52"/>
      <c r="BA1" s="52"/>
      <c r="BB1" s="52"/>
      <c r="BC1" s="52"/>
      <c r="BD1" s="52"/>
      <c r="BE1" s="52"/>
    </row>
    <row r="2" spans="1:57" ht="14.25" customHeight="1">
      <c r="A2" s="36" t="s">
        <v>231</v>
      </c>
      <c r="B2" s="30" t="s">
        <v>234</v>
      </c>
      <c r="C2" s="30" t="s">
        <v>232</v>
      </c>
      <c r="D2" s="36" t="s">
        <v>233</v>
      </c>
      <c r="E2" s="33">
        <v>84900</v>
      </c>
      <c r="F2" s="33">
        <v>96500</v>
      </c>
      <c r="G2" s="33">
        <v>100600</v>
      </c>
      <c r="H2" s="33">
        <v>105400</v>
      </c>
      <c r="I2" s="33">
        <v>110000</v>
      </c>
      <c r="J2" s="33"/>
      <c r="K2" s="33"/>
      <c r="L2" s="33"/>
      <c r="M2" s="33"/>
      <c r="N2" s="33"/>
      <c r="O2" s="33"/>
      <c r="P2" s="12"/>
      <c r="Q2" s="19" t="s">
        <v>1017</v>
      </c>
      <c r="R2" s="19"/>
      <c r="S2" s="27" t="s">
        <v>1493</v>
      </c>
      <c r="T2" s="47"/>
      <c r="U2" s="320"/>
      <c r="V2" s="320" t="s">
        <v>1511</v>
      </c>
      <c r="W2" s="320"/>
      <c r="X2" s="320"/>
      <c r="Y2" s="320"/>
      <c r="Z2" s="320"/>
      <c r="AA2" s="320"/>
      <c r="AB2" s="47"/>
      <c r="AC2" s="47"/>
      <c r="AD2" s="47"/>
      <c r="AE2" s="47"/>
      <c r="AF2" s="47"/>
      <c r="AG2" s="47"/>
      <c r="AH2" s="47"/>
      <c r="AI2" s="47"/>
      <c r="AJ2" s="47"/>
      <c r="AK2" s="47"/>
      <c r="AL2" s="47"/>
      <c r="AM2" s="47"/>
      <c r="AN2" s="47"/>
      <c r="AO2" s="47"/>
      <c r="AP2" s="50"/>
      <c r="AQ2" s="50"/>
      <c r="AR2" s="50"/>
      <c r="AS2" s="50"/>
      <c r="AT2" s="52"/>
      <c r="AU2" s="52"/>
      <c r="AV2" s="52"/>
      <c r="AW2" s="52"/>
      <c r="AX2" s="52"/>
      <c r="AY2" s="52"/>
      <c r="AZ2" s="52"/>
      <c r="BA2" s="52"/>
      <c r="BB2" s="52"/>
      <c r="BC2" s="52"/>
      <c r="BD2" s="52"/>
      <c r="BE2" s="52"/>
    </row>
    <row r="3" spans="1:57" ht="14.25" customHeight="1">
      <c r="A3" s="36" t="s">
        <v>231</v>
      </c>
      <c r="B3" s="30" t="s">
        <v>236</v>
      </c>
      <c r="C3" s="30"/>
      <c r="D3" s="36" t="s">
        <v>238</v>
      </c>
      <c r="E3" s="215">
        <v>-3.1E-2</v>
      </c>
      <c r="F3" s="216">
        <v>0.06</v>
      </c>
      <c r="G3" s="216">
        <v>3.5000000000000003E-2</v>
      </c>
      <c r="H3" s="216">
        <v>3.2000000000000001E-2</v>
      </c>
      <c r="I3" s="216">
        <v>3.1E-2</v>
      </c>
      <c r="J3" s="216"/>
      <c r="K3" s="216"/>
      <c r="L3" s="216"/>
      <c r="M3" s="216"/>
      <c r="N3" s="216"/>
      <c r="O3" s="33"/>
      <c r="P3" s="12"/>
      <c r="Q3" s="28" t="s">
        <v>1018</v>
      </c>
      <c r="R3" s="28"/>
      <c r="S3" s="27" t="s">
        <v>1500</v>
      </c>
      <c r="T3" s="27"/>
      <c r="U3" s="320"/>
      <c r="V3" s="320" t="s">
        <v>1512</v>
      </c>
      <c r="W3" s="320"/>
      <c r="X3" s="320"/>
      <c r="Y3" s="320"/>
      <c r="Z3" s="320"/>
      <c r="AA3" s="320"/>
      <c r="AB3" s="47"/>
      <c r="AC3" s="47"/>
      <c r="AD3" s="47"/>
      <c r="AE3" s="47"/>
      <c r="AF3" s="47"/>
      <c r="AG3" s="47"/>
      <c r="AH3" s="47"/>
      <c r="AI3" s="47"/>
      <c r="AJ3" s="47"/>
      <c r="AK3" s="47"/>
      <c r="AL3" s="47"/>
      <c r="AM3" s="47"/>
      <c r="AN3" s="47"/>
      <c r="AO3" s="47"/>
      <c r="AP3" s="50"/>
      <c r="AQ3" s="50"/>
      <c r="AR3" s="50"/>
      <c r="AS3" s="50"/>
      <c r="AT3" s="52"/>
      <c r="AU3" s="52"/>
      <c r="AV3" s="52"/>
      <c r="AW3" s="52"/>
      <c r="AX3" s="52"/>
      <c r="AY3" s="52"/>
      <c r="AZ3" s="52"/>
      <c r="BA3" s="52"/>
      <c r="BB3" s="52"/>
      <c r="BC3" s="52"/>
      <c r="BD3" s="52"/>
      <c r="BE3" s="52"/>
    </row>
    <row r="4" spans="1:57" ht="15" customHeight="1">
      <c r="A4" s="36" t="s">
        <v>235</v>
      </c>
      <c r="B4" s="30" t="s">
        <v>237</v>
      </c>
      <c r="C4" s="30"/>
      <c r="D4" s="36" t="s">
        <v>240</v>
      </c>
      <c r="E4" s="33">
        <v>103</v>
      </c>
      <c r="F4" s="33">
        <v>108</v>
      </c>
      <c r="G4" s="33">
        <v>118</v>
      </c>
      <c r="H4" s="33">
        <v>126</v>
      </c>
      <c r="I4" s="33">
        <v>133</v>
      </c>
      <c r="J4" s="33"/>
      <c r="K4" s="33"/>
      <c r="L4" s="33"/>
      <c r="M4" s="33"/>
      <c r="N4" s="33"/>
      <c r="O4" s="33"/>
      <c r="P4" s="12"/>
      <c r="Q4" s="28" t="s">
        <v>1019</v>
      </c>
      <c r="R4" s="28"/>
      <c r="S4" s="27"/>
      <c r="T4" s="27"/>
      <c r="U4" s="320"/>
      <c r="V4" s="320"/>
      <c r="W4" s="320"/>
      <c r="X4" s="320"/>
      <c r="Y4" s="320"/>
      <c r="Z4" s="320"/>
      <c r="AA4" s="320"/>
      <c r="AB4" s="47"/>
      <c r="AC4" s="47"/>
      <c r="AD4" s="47"/>
      <c r="AE4" s="47"/>
      <c r="AF4" s="47"/>
      <c r="AG4" s="47"/>
      <c r="AH4" s="47"/>
      <c r="AI4" s="47"/>
      <c r="AJ4" s="47"/>
      <c r="AK4" s="47"/>
      <c r="AL4" s="47"/>
      <c r="AM4" s="47"/>
      <c r="AN4" s="47"/>
      <c r="AO4" s="47"/>
      <c r="AP4" s="50"/>
      <c r="AQ4" s="50"/>
      <c r="AR4" s="50"/>
      <c r="AS4" s="50"/>
      <c r="AT4" s="52"/>
      <c r="AU4" s="52"/>
      <c r="AV4" s="52"/>
      <c r="AW4" s="52"/>
      <c r="AX4" s="52"/>
      <c r="AY4" s="52"/>
      <c r="AZ4" s="52"/>
      <c r="BA4" s="52"/>
      <c r="BB4" s="52"/>
      <c r="BC4" s="52"/>
      <c r="BD4" s="52"/>
      <c r="BE4" s="52"/>
    </row>
    <row r="5" spans="1:57" ht="17.25" customHeight="1">
      <c r="A5" s="36" t="s">
        <v>235</v>
      </c>
      <c r="B5" s="30" t="s">
        <v>236</v>
      </c>
      <c r="C5" s="30"/>
      <c r="D5" s="36" t="s">
        <v>239</v>
      </c>
      <c r="E5" s="216">
        <v>3.2000000000000001E-2</v>
      </c>
      <c r="F5" s="216">
        <v>4.7E-2</v>
      </c>
      <c r="G5" s="216">
        <v>8.6999999999999994E-2</v>
      </c>
      <c r="H5" s="216">
        <v>6.8000000000000005E-2</v>
      </c>
      <c r="I5" s="216">
        <v>5.5E-2</v>
      </c>
      <c r="J5" s="216"/>
      <c r="K5" s="216"/>
      <c r="L5" s="216"/>
      <c r="M5" s="216"/>
      <c r="N5" s="216"/>
      <c r="O5" s="33"/>
      <c r="P5" s="12"/>
      <c r="Q5" s="28" t="s">
        <v>1020</v>
      </c>
      <c r="R5" s="28"/>
      <c r="S5" s="27" t="s">
        <v>1486</v>
      </c>
      <c r="T5" s="27"/>
      <c r="U5" s="320"/>
      <c r="V5" s="320"/>
      <c r="W5" s="320"/>
      <c r="X5" s="320"/>
      <c r="Y5" s="320"/>
      <c r="Z5" s="320"/>
      <c r="AA5" s="320"/>
      <c r="AB5" s="47"/>
      <c r="AC5" s="47"/>
      <c r="AD5" s="47"/>
      <c r="AE5" s="47"/>
      <c r="AF5" s="47"/>
      <c r="AG5" s="47"/>
      <c r="AH5" s="47"/>
      <c r="AI5" s="47"/>
      <c r="AJ5" s="47"/>
      <c r="AK5" s="47"/>
      <c r="AL5" s="47"/>
      <c r="AM5" s="47"/>
      <c r="AN5" s="47"/>
      <c r="AO5" s="47"/>
      <c r="AP5" s="50"/>
      <c r="AQ5" s="50"/>
      <c r="AR5" s="50"/>
      <c r="AS5" s="50"/>
      <c r="AT5" s="52"/>
      <c r="AU5" s="52"/>
      <c r="AV5" s="52"/>
      <c r="AW5" s="52"/>
      <c r="AX5" s="52"/>
      <c r="AY5" s="52"/>
      <c r="AZ5" s="52"/>
      <c r="BA5" s="52"/>
      <c r="BB5" s="52"/>
      <c r="BC5" s="52"/>
      <c r="BD5" s="52"/>
      <c r="BE5" s="52"/>
    </row>
    <row r="6" spans="1:57">
      <c r="A6" s="12"/>
      <c r="B6" s="12"/>
      <c r="C6" s="12"/>
      <c r="D6" s="12"/>
      <c r="E6" s="12"/>
      <c r="F6" s="12"/>
      <c r="G6" s="12"/>
      <c r="H6" s="12"/>
      <c r="I6" s="12"/>
      <c r="J6" s="12"/>
      <c r="K6" s="12"/>
      <c r="L6" s="12"/>
      <c r="M6" s="12"/>
      <c r="N6" s="12"/>
      <c r="O6" s="12"/>
      <c r="P6" s="12"/>
      <c r="Q6" s="28"/>
      <c r="R6" s="28"/>
      <c r="S6" s="200" t="s">
        <v>1487</v>
      </c>
      <c r="T6" s="27"/>
      <c r="U6" s="320"/>
      <c r="V6" s="320"/>
      <c r="W6" s="320"/>
      <c r="X6" s="320"/>
      <c r="Y6" s="320"/>
      <c r="Z6" s="320"/>
      <c r="AA6" s="320"/>
      <c r="AB6" s="47"/>
      <c r="AC6" s="47"/>
      <c r="AD6" s="47"/>
      <c r="AE6" s="47"/>
      <c r="AF6" s="47"/>
      <c r="AG6" s="47"/>
      <c r="AH6" s="47"/>
      <c r="AI6" s="47"/>
      <c r="AJ6" s="47"/>
      <c r="AK6" s="47"/>
      <c r="AL6" s="47"/>
      <c r="AM6" s="47"/>
      <c r="AN6" s="47"/>
      <c r="AO6" s="47"/>
      <c r="AP6" s="50"/>
      <c r="AQ6" s="50"/>
      <c r="AR6" s="50"/>
      <c r="AS6" s="50"/>
      <c r="AT6" s="52"/>
      <c r="AU6" s="52"/>
      <c r="AV6" s="52"/>
      <c r="AW6" s="52"/>
      <c r="AX6" s="52"/>
      <c r="AY6" s="52"/>
      <c r="AZ6" s="52"/>
      <c r="BA6" s="52"/>
      <c r="BB6" s="52"/>
      <c r="BC6" s="52"/>
      <c r="BD6" s="52"/>
      <c r="BE6" s="52"/>
    </row>
    <row r="7" spans="1:57">
      <c r="A7" s="12" t="s">
        <v>242</v>
      </c>
      <c r="B7" s="12" t="s">
        <v>243</v>
      </c>
      <c r="C7" s="12" t="s">
        <v>248</v>
      </c>
      <c r="D7" s="12" t="s">
        <v>244</v>
      </c>
      <c r="E7" s="12" t="s">
        <v>245</v>
      </c>
      <c r="F7" s="12" t="s">
        <v>246</v>
      </c>
      <c r="G7" s="12" t="s">
        <v>247</v>
      </c>
      <c r="H7" s="12"/>
      <c r="I7" s="12"/>
      <c r="J7" s="12"/>
      <c r="K7" s="12"/>
      <c r="L7" s="12"/>
      <c r="M7" s="12"/>
      <c r="N7" s="12"/>
      <c r="O7" s="12"/>
      <c r="P7" s="12"/>
      <c r="Q7" s="19" t="s">
        <v>1021</v>
      </c>
      <c r="R7" s="19"/>
      <c r="S7" s="267" t="s">
        <v>1488</v>
      </c>
      <c r="T7" s="375"/>
      <c r="U7" s="320"/>
      <c r="V7" s="320"/>
      <c r="W7" s="320"/>
      <c r="X7" s="320"/>
      <c r="Y7" s="320"/>
      <c r="Z7" s="320"/>
      <c r="AA7" s="320"/>
      <c r="AB7" s="47"/>
      <c r="AC7" s="47"/>
      <c r="AD7" s="47"/>
      <c r="AE7" s="47"/>
      <c r="AF7" s="47"/>
      <c r="AG7" s="47"/>
      <c r="AH7" s="47"/>
      <c r="AI7" s="47"/>
      <c r="AJ7" s="47"/>
      <c r="AK7" s="47"/>
      <c r="AL7" s="47"/>
      <c r="AM7" s="47"/>
      <c r="AN7" s="47"/>
      <c r="AO7" s="47"/>
      <c r="AP7" s="50"/>
      <c r="AQ7" s="50"/>
      <c r="AR7" s="50"/>
      <c r="AS7" s="50"/>
      <c r="AT7" s="52"/>
      <c r="AU7" s="52"/>
      <c r="AV7" s="52"/>
      <c r="AW7" s="52"/>
      <c r="AX7" s="52"/>
      <c r="AY7" s="52"/>
      <c r="AZ7" s="52"/>
      <c r="BA7" s="52"/>
      <c r="BB7" s="52"/>
      <c r="BC7" s="52"/>
      <c r="BD7" s="52"/>
      <c r="BE7" s="52"/>
    </row>
    <row r="8" spans="1:57">
      <c r="A8" s="30">
        <v>2020</v>
      </c>
      <c r="B8" s="33">
        <v>84900</v>
      </c>
      <c r="C8" s="216">
        <v>-3.1E-2</v>
      </c>
      <c r="D8" s="33">
        <v>103</v>
      </c>
      <c r="E8" s="216">
        <v>3.2000000000000001E-2</v>
      </c>
      <c r="F8" s="33">
        <v>37000</v>
      </c>
      <c r="G8" s="33">
        <v>15301</v>
      </c>
      <c r="H8" s="12"/>
      <c r="I8" s="12"/>
      <c r="J8" s="12"/>
      <c r="K8" s="12"/>
      <c r="L8" s="12"/>
      <c r="M8" s="12"/>
      <c r="N8" s="12"/>
      <c r="O8" s="12"/>
      <c r="P8" s="12"/>
      <c r="Q8" s="28" t="s">
        <v>2296</v>
      </c>
      <c r="R8" s="28"/>
      <c r="S8" s="320"/>
      <c r="T8" s="320"/>
      <c r="U8" s="320"/>
      <c r="V8" s="320"/>
      <c r="W8" s="320"/>
      <c r="X8" s="320"/>
      <c r="Y8" s="320"/>
      <c r="Z8" s="320"/>
      <c r="AA8" s="320"/>
      <c r="AB8" s="47"/>
      <c r="AC8" s="47"/>
      <c r="AD8" s="47"/>
      <c r="AE8" s="47"/>
      <c r="AF8" s="47"/>
      <c r="AG8" s="47"/>
      <c r="AH8" s="47"/>
      <c r="AI8" s="47"/>
      <c r="AJ8" s="47"/>
      <c r="AK8" s="47"/>
      <c r="AL8" s="47"/>
      <c r="AM8" s="47"/>
      <c r="AN8" s="47"/>
      <c r="AO8" s="47"/>
      <c r="AP8" s="50"/>
      <c r="AQ8" s="50"/>
      <c r="AR8" s="50"/>
      <c r="AS8" s="50"/>
      <c r="AT8" s="52"/>
      <c r="AU8" s="52"/>
      <c r="AV8" s="52"/>
      <c r="AW8" s="52"/>
      <c r="AX8" s="52"/>
      <c r="AY8" s="52"/>
      <c r="AZ8" s="52"/>
      <c r="BA8" s="52"/>
      <c r="BB8" s="52"/>
      <c r="BC8" s="52"/>
      <c r="BD8" s="52"/>
      <c r="BE8" s="52"/>
    </row>
    <row r="9" spans="1:57">
      <c r="A9" s="30">
        <v>2021</v>
      </c>
      <c r="B9" s="33">
        <v>96500</v>
      </c>
      <c r="C9" s="216">
        <v>0.06</v>
      </c>
      <c r="D9" s="33">
        <v>108</v>
      </c>
      <c r="E9" s="216">
        <v>4.7E-2</v>
      </c>
      <c r="F9" s="33">
        <v>43000</v>
      </c>
      <c r="G9" s="33">
        <v>18884</v>
      </c>
      <c r="H9" s="12"/>
      <c r="I9" s="12"/>
      <c r="J9" s="12"/>
      <c r="K9" s="12"/>
      <c r="L9" s="12"/>
      <c r="M9" s="12"/>
      <c r="N9" s="12"/>
      <c r="O9" s="12"/>
      <c r="P9" s="12"/>
      <c r="Q9" s="28" t="s">
        <v>2295</v>
      </c>
      <c r="R9" s="28"/>
      <c r="S9" s="46" t="s">
        <v>1494</v>
      </c>
      <c r="T9" s="46"/>
      <c r="U9" s="320"/>
      <c r="V9" s="320"/>
      <c r="W9" s="320"/>
      <c r="X9" s="327"/>
      <c r="Y9" s="327"/>
      <c r="Z9" s="327"/>
      <c r="AA9" s="327"/>
      <c r="AB9" s="198"/>
      <c r="AC9" s="198"/>
      <c r="AD9" s="47"/>
      <c r="AE9" s="47"/>
      <c r="AF9" s="47"/>
      <c r="AG9" s="47"/>
      <c r="AH9" s="47"/>
      <c r="AI9" s="47"/>
      <c r="AJ9" s="47"/>
      <c r="AK9" s="47"/>
      <c r="AL9" s="47"/>
      <c r="AM9" s="47"/>
      <c r="AN9" s="47"/>
      <c r="AO9" s="47"/>
      <c r="AP9" s="50"/>
      <c r="AQ9" s="50"/>
      <c r="AR9" s="50"/>
      <c r="AS9" s="50"/>
      <c r="AT9" s="52"/>
      <c r="AU9" s="52"/>
      <c r="AV9" s="52"/>
      <c r="AW9" s="52"/>
      <c r="AX9" s="52"/>
      <c r="AY9" s="52"/>
      <c r="AZ9" s="52"/>
      <c r="BA9" s="52"/>
      <c r="BB9" s="52"/>
      <c r="BC9" s="52"/>
      <c r="BD9" s="52"/>
      <c r="BE9" s="52"/>
    </row>
    <row r="10" spans="1:57">
      <c r="A10" s="30">
        <v>2022</v>
      </c>
      <c r="B10" s="33">
        <v>100600</v>
      </c>
      <c r="C10" s="216">
        <v>3.5000000000000003E-2</v>
      </c>
      <c r="D10" s="33">
        <v>118</v>
      </c>
      <c r="E10" s="216">
        <v>8.6999999999999994E-2</v>
      </c>
      <c r="F10" s="33">
        <v>52000</v>
      </c>
      <c r="G10" s="33">
        <v>22237</v>
      </c>
      <c r="H10" s="12"/>
      <c r="I10" s="12"/>
      <c r="J10" s="12"/>
      <c r="K10" s="12"/>
      <c r="L10" s="12"/>
      <c r="M10" s="12"/>
      <c r="N10" s="12"/>
      <c r="O10" s="12"/>
      <c r="P10" s="12"/>
      <c r="Q10" s="28"/>
      <c r="R10" s="28"/>
      <c r="S10" s="46"/>
      <c r="T10" s="46"/>
      <c r="U10" s="320"/>
      <c r="V10" s="320"/>
      <c r="W10" s="320"/>
      <c r="X10" s="320"/>
      <c r="Y10" s="320"/>
      <c r="Z10" s="320"/>
      <c r="AA10" s="320"/>
      <c r="AB10" s="47"/>
      <c r="AC10" s="47"/>
      <c r="AD10" s="47"/>
      <c r="AE10" s="47"/>
      <c r="AF10" s="47"/>
      <c r="AG10" s="47"/>
      <c r="AH10" s="47"/>
      <c r="AI10" s="47"/>
      <c r="AJ10" s="47"/>
      <c r="AK10" s="47"/>
      <c r="AL10" s="47"/>
      <c r="AM10" s="47"/>
      <c r="AN10" s="47"/>
      <c r="AO10" s="47"/>
      <c r="AP10" s="50"/>
      <c r="AQ10" s="50"/>
      <c r="AR10" s="50"/>
      <c r="AS10" s="50"/>
      <c r="AT10" s="52"/>
      <c r="AU10" s="52"/>
      <c r="AV10" s="52"/>
      <c r="AW10" s="52"/>
      <c r="AX10" s="52"/>
      <c r="AY10" s="52"/>
      <c r="AZ10" s="52"/>
      <c r="BA10" s="52"/>
      <c r="BB10" s="52"/>
      <c r="BC10" s="52"/>
      <c r="BD10" s="52"/>
      <c r="BE10" s="52"/>
    </row>
    <row r="11" spans="1:57">
      <c r="A11" s="30">
        <v>2023</v>
      </c>
      <c r="B11" s="33">
        <v>105400</v>
      </c>
      <c r="C11" s="216">
        <v>3.2000000000000001E-2</v>
      </c>
      <c r="D11" s="33">
        <v>126</v>
      </c>
      <c r="E11" s="216">
        <v>6.8000000000000005E-2</v>
      </c>
      <c r="F11" s="33">
        <v>58000</v>
      </c>
      <c r="G11" s="33">
        <v>25098</v>
      </c>
      <c r="H11" s="12"/>
      <c r="I11" s="12"/>
      <c r="J11" s="12"/>
      <c r="K11" s="12"/>
      <c r="L11" s="12"/>
      <c r="M11" s="12"/>
      <c r="N11" s="12"/>
      <c r="O11" s="12"/>
      <c r="P11" s="12"/>
      <c r="Q11" s="28"/>
      <c r="R11" s="28"/>
      <c r="S11" s="46" t="s">
        <v>1495</v>
      </c>
      <c r="T11" s="46"/>
      <c r="U11" s="325"/>
      <c r="V11" s="320"/>
      <c r="W11" s="320"/>
      <c r="X11" s="320"/>
      <c r="Y11" s="320"/>
      <c r="Z11" s="320"/>
      <c r="AA11" s="320"/>
      <c r="AB11" s="47"/>
      <c r="AC11" s="47"/>
      <c r="AD11" s="47"/>
      <c r="AE11" s="47"/>
      <c r="AF11" s="47"/>
      <c r="AG11" s="47"/>
      <c r="AH11" s="47"/>
      <c r="AI11" s="47"/>
      <c r="AJ11" s="47"/>
      <c r="AK11" s="47"/>
      <c r="AL11" s="47"/>
      <c r="AM11" s="47"/>
      <c r="AN11" s="47"/>
      <c r="AO11" s="47"/>
      <c r="AP11" s="50"/>
      <c r="AQ11" s="50"/>
      <c r="AR11" s="50"/>
      <c r="AS11" s="50"/>
      <c r="AT11" s="52"/>
      <c r="AU11" s="52"/>
      <c r="AV11" s="52"/>
      <c r="AW11" s="52"/>
      <c r="AX11" s="52"/>
      <c r="AY11" s="52"/>
      <c r="AZ11" s="52"/>
      <c r="BA11" s="52"/>
      <c r="BB11" s="52"/>
      <c r="BC11" s="52"/>
      <c r="BD11" s="52"/>
      <c r="BE11" s="52"/>
    </row>
    <row r="12" spans="1:57">
      <c r="A12" s="30">
        <v>2024</v>
      </c>
      <c r="B12" s="33">
        <v>110000</v>
      </c>
      <c r="C12" s="216">
        <v>3.1E-2</v>
      </c>
      <c r="D12" s="33">
        <v>133</v>
      </c>
      <c r="E12" s="216">
        <v>5.5E-2</v>
      </c>
      <c r="F12" s="33">
        <v>64000</v>
      </c>
      <c r="G12" s="33">
        <v>28167</v>
      </c>
      <c r="H12" s="12"/>
      <c r="I12" s="12"/>
      <c r="J12" s="12"/>
      <c r="K12" s="12"/>
      <c r="L12" s="12"/>
      <c r="M12" s="12"/>
      <c r="N12" s="12"/>
      <c r="O12" s="12"/>
      <c r="P12" s="12"/>
      <c r="Q12" s="19" t="s">
        <v>1023</v>
      </c>
      <c r="R12" s="19"/>
      <c r="S12" s="46"/>
      <c r="T12" s="46"/>
      <c r="U12" s="325"/>
      <c r="V12" s="320"/>
      <c r="W12" s="320"/>
      <c r="X12" s="320"/>
      <c r="Y12" s="320"/>
      <c r="Z12" s="320"/>
      <c r="AA12" s="320"/>
      <c r="AB12" s="47"/>
      <c r="AC12" s="47"/>
      <c r="AD12" s="47"/>
      <c r="AE12" s="47"/>
      <c r="AF12" s="47"/>
      <c r="AG12" s="47"/>
      <c r="AH12" s="47"/>
      <c r="AI12" s="47"/>
      <c r="AJ12" s="47"/>
      <c r="AK12" s="47"/>
      <c r="AL12" s="47"/>
      <c r="AM12" s="47"/>
      <c r="AN12" s="47"/>
      <c r="AO12" s="47"/>
      <c r="AP12" s="50"/>
      <c r="AQ12" s="50"/>
      <c r="AR12" s="50"/>
      <c r="AS12" s="50"/>
      <c r="AT12" s="52"/>
      <c r="AU12" s="52"/>
      <c r="AV12" s="52"/>
      <c r="AW12" s="52"/>
      <c r="AX12" s="52"/>
      <c r="AY12" s="52"/>
      <c r="AZ12" s="52"/>
      <c r="BA12" s="52"/>
      <c r="BB12" s="52"/>
      <c r="BC12" s="52"/>
      <c r="BD12" s="52"/>
      <c r="BE12" s="52"/>
    </row>
    <row r="13" spans="1:57">
      <c r="A13" s="12"/>
      <c r="B13" s="33"/>
      <c r="C13" s="216"/>
      <c r="D13" s="33"/>
      <c r="E13" s="216"/>
      <c r="F13" s="33"/>
      <c r="G13" s="33"/>
      <c r="H13" s="12"/>
      <c r="I13" s="12"/>
      <c r="J13" s="12"/>
      <c r="K13" s="12"/>
      <c r="L13" s="12"/>
      <c r="M13" s="12"/>
      <c r="N13" s="12"/>
      <c r="O13" s="12"/>
      <c r="P13" s="12"/>
      <c r="Q13" s="28" t="s">
        <v>1481</v>
      </c>
      <c r="R13" s="28"/>
      <c r="S13" s="46" t="s">
        <v>1501</v>
      </c>
      <c r="T13" s="201"/>
      <c r="U13" s="325"/>
      <c r="V13" s="320"/>
      <c r="W13" s="320"/>
      <c r="X13" s="320"/>
      <c r="Y13" s="320"/>
      <c r="Z13" s="320"/>
      <c r="AA13" s="320"/>
      <c r="AB13" s="47"/>
      <c r="AC13" s="47"/>
      <c r="AD13" s="47"/>
      <c r="AE13" s="47"/>
      <c r="AF13" s="47"/>
      <c r="AG13" s="47"/>
      <c r="AH13" s="47"/>
      <c r="AI13" s="47"/>
      <c r="AJ13" s="47"/>
      <c r="AK13" s="47"/>
      <c r="AL13" s="47"/>
      <c r="AM13" s="47"/>
      <c r="AN13" s="47"/>
      <c r="AO13" s="47"/>
      <c r="AP13" s="50"/>
      <c r="AQ13" s="50"/>
      <c r="AR13" s="50"/>
      <c r="AS13" s="50"/>
      <c r="AT13" s="52"/>
      <c r="AU13" s="52"/>
      <c r="AV13" s="52"/>
      <c r="AW13" s="52"/>
      <c r="AX13" s="52"/>
      <c r="AY13" s="52"/>
      <c r="AZ13" s="52"/>
      <c r="BA13" s="52"/>
      <c r="BB13" s="52"/>
      <c r="BC13" s="52"/>
      <c r="BD13" s="52"/>
      <c r="BE13" s="52"/>
    </row>
    <row r="14" spans="1:57">
      <c r="A14" s="12"/>
      <c r="B14" s="33"/>
      <c r="C14" s="216"/>
      <c r="D14" s="33"/>
      <c r="E14" s="216"/>
      <c r="F14" s="33"/>
      <c r="G14" s="33"/>
      <c r="H14" s="12"/>
      <c r="I14" s="12"/>
      <c r="J14" s="12"/>
      <c r="K14" s="12"/>
      <c r="L14" s="12"/>
      <c r="M14" s="12"/>
      <c r="N14" s="12"/>
      <c r="O14" s="12"/>
      <c r="P14" s="12"/>
      <c r="Q14" s="28" t="s">
        <v>1482</v>
      </c>
      <c r="R14" s="28"/>
      <c r="S14" s="320"/>
      <c r="T14" s="320"/>
      <c r="U14" s="320"/>
      <c r="V14" s="320"/>
      <c r="W14" s="320"/>
      <c r="X14" s="320"/>
      <c r="Y14" s="320"/>
      <c r="Z14" s="320"/>
      <c r="AA14" s="320"/>
      <c r="AB14" s="47"/>
      <c r="AC14" s="47"/>
      <c r="AD14" s="47"/>
      <c r="AE14" s="47"/>
      <c r="AF14" s="47"/>
      <c r="AG14" s="47"/>
      <c r="AH14" s="47"/>
      <c r="AI14" s="47"/>
      <c r="AJ14" s="47"/>
      <c r="AK14" s="47"/>
      <c r="AL14" s="47"/>
      <c r="AM14" s="47"/>
      <c r="AN14" s="47"/>
      <c r="AO14" s="47"/>
      <c r="AP14" s="50"/>
      <c r="AQ14" s="50"/>
      <c r="AR14" s="50"/>
      <c r="AS14" s="50"/>
      <c r="AT14" s="52"/>
      <c r="AU14" s="52"/>
      <c r="AV14" s="52"/>
      <c r="AW14" s="52"/>
      <c r="AX14" s="52"/>
      <c r="AY14" s="52"/>
      <c r="AZ14" s="52"/>
      <c r="BA14" s="52"/>
      <c r="BB14" s="52"/>
      <c r="BC14" s="52"/>
      <c r="BD14" s="52"/>
      <c r="BE14" s="52"/>
    </row>
    <row r="15" spans="1:57">
      <c r="A15" s="12"/>
      <c r="B15" s="33"/>
      <c r="C15" s="216"/>
      <c r="D15" s="33"/>
      <c r="E15" s="216"/>
      <c r="F15" s="33"/>
      <c r="G15" s="33"/>
      <c r="H15" s="12"/>
      <c r="I15" s="12"/>
      <c r="J15" s="12"/>
      <c r="K15" s="12"/>
      <c r="L15" s="12"/>
      <c r="M15" s="12"/>
      <c r="N15" s="12"/>
      <c r="O15" s="12"/>
      <c r="P15" s="12"/>
      <c r="Q15" s="28" t="s">
        <v>1483</v>
      </c>
      <c r="R15" s="28"/>
      <c r="S15" s="327"/>
      <c r="T15" s="327"/>
      <c r="U15" s="327"/>
      <c r="V15" s="320"/>
      <c r="W15" s="320"/>
      <c r="X15" s="320"/>
      <c r="Y15" s="320"/>
      <c r="Z15" s="320"/>
      <c r="AA15" s="320"/>
      <c r="AB15" s="47"/>
      <c r="AC15" s="47"/>
      <c r="AD15" s="47"/>
      <c r="AE15" s="47"/>
      <c r="AF15" s="47"/>
      <c r="AG15" s="47"/>
      <c r="AH15" s="47"/>
      <c r="AI15" s="47"/>
      <c r="AJ15" s="47"/>
      <c r="AK15" s="47"/>
      <c r="AL15" s="47"/>
      <c r="AM15" s="47"/>
      <c r="AN15" s="47"/>
      <c r="AO15" s="47"/>
      <c r="AP15" s="50"/>
      <c r="AQ15" s="50"/>
      <c r="AR15" s="50"/>
      <c r="AS15" s="50"/>
      <c r="AT15" s="52"/>
      <c r="AU15" s="52"/>
      <c r="AV15" s="52"/>
      <c r="AW15" s="52"/>
      <c r="AX15" s="52"/>
      <c r="AY15" s="52"/>
      <c r="AZ15" s="52"/>
      <c r="BA15" s="52"/>
      <c r="BB15" s="52"/>
      <c r="BC15" s="52"/>
      <c r="BD15" s="52"/>
      <c r="BE15" s="52"/>
    </row>
    <row r="16" spans="1:57">
      <c r="A16" s="12"/>
      <c r="B16" s="33"/>
      <c r="C16" s="216"/>
      <c r="D16" s="33"/>
      <c r="E16" s="216"/>
      <c r="F16" s="33"/>
      <c r="G16" s="33"/>
      <c r="H16" s="12"/>
      <c r="I16" s="12"/>
      <c r="J16" s="12"/>
      <c r="K16" s="12"/>
      <c r="L16" s="12"/>
      <c r="M16" s="12"/>
      <c r="N16" s="12"/>
      <c r="O16" s="12"/>
      <c r="P16" s="12"/>
      <c r="Q16" s="28" t="s">
        <v>1484</v>
      </c>
      <c r="R16" s="28"/>
      <c r="S16" s="320"/>
      <c r="T16" s="320"/>
      <c r="U16" s="320"/>
      <c r="V16" s="320"/>
      <c r="W16" s="320"/>
      <c r="X16" s="320"/>
      <c r="Y16" s="320"/>
      <c r="Z16" s="320"/>
      <c r="AA16" s="320"/>
      <c r="AB16" s="47"/>
      <c r="AC16" s="47"/>
      <c r="AD16" s="47"/>
      <c r="AE16" s="47"/>
      <c r="AF16" s="47"/>
      <c r="AG16" s="47"/>
      <c r="AH16" s="47"/>
      <c r="AI16" s="47"/>
      <c r="AJ16" s="47"/>
      <c r="AK16" s="47"/>
      <c r="AL16" s="47"/>
      <c r="AM16" s="47"/>
      <c r="AN16" s="47"/>
      <c r="AO16" s="47"/>
      <c r="AP16" s="50"/>
      <c r="AQ16" s="50"/>
      <c r="AR16" s="50"/>
      <c r="AS16" s="50"/>
      <c r="AT16" s="52"/>
      <c r="AU16" s="52"/>
      <c r="AV16" s="52"/>
      <c r="AW16" s="52"/>
      <c r="AX16" s="52"/>
      <c r="AY16" s="52"/>
      <c r="AZ16" s="52"/>
      <c r="BA16" s="52"/>
      <c r="BB16" s="52"/>
      <c r="BC16" s="52"/>
      <c r="BD16" s="52"/>
      <c r="BE16" s="52"/>
    </row>
    <row r="17" spans="1:57" ht="17.25" customHeight="1">
      <c r="A17" s="12"/>
      <c r="B17" s="33"/>
      <c r="C17" s="216"/>
      <c r="D17" s="33"/>
      <c r="E17" s="216"/>
      <c r="F17" s="33"/>
      <c r="G17" s="33"/>
      <c r="H17" s="12"/>
      <c r="I17" s="12"/>
      <c r="J17" s="12"/>
      <c r="K17" s="12"/>
      <c r="L17" s="12"/>
      <c r="M17" s="12"/>
      <c r="N17" s="12"/>
      <c r="O17" s="12"/>
      <c r="P17" s="12"/>
      <c r="Q17" s="326"/>
      <c r="R17" s="327"/>
      <c r="S17" s="327"/>
      <c r="T17" s="327"/>
      <c r="U17" s="327"/>
      <c r="V17" s="327"/>
      <c r="W17" s="327"/>
      <c r="X17" s="320"/>
      <c r="Y17" s="320"/>
      <c r="Z17" s="320"/>
      <c r="AA17" s="320"/>
      <c r="AB17" s="47"/>
      <c r="AC17" s="47"/>
      <c r="AD17" s="47"/>
      <c r="AE17" s="47"/>
      <c r="AF17" s="47"/>
      <c r="AG17" s="47"/>
      <c r="AH17" s="47"/>
      <c r="AI17" s="47"/>
      <c r="AJ17" s="47"/>
      <c r="AK17" s="47"/>
      <c r="AL17" s="47"/>
      <c r="AM17" s="47"/>
      <c r="AN17" s="47"/>
      <c r="AO17" s="47"/>
      <c r="AP17" s="50"/>
      <c r="AQ17" s="50"/>
      <c r="AR17" s="50"/>
      <c r="AS17" s="50"/>
      <c r="AT17" s="52"/>
      <c r="AU17" s="52"/>
      <c r="AV17" s="52"/>
      <c r="AW17" s="52"/>
      <c r="AX17" s="52"/>
      <c r="AY17" s="52"/>
      <c r="AZ17" s="52"/>
      <c r="BA17" s="52"/>
      <c r="BB17" s="52"/>
      <c r="BC17" s="52"/>
      <c r="BD17" s="52"/>
      <c r="BE17" s="52"/>
    </row>
    <row r="18" spans="1:57">
      <c r="A18" s="12"/>
      <c r="B18" s="12"/>
      <c r="C18" s="12"/>
      <c r="D18" s="12"/>
      <c r="E18" s="12"/>
      <c r="F18" s="12"/>
      <c r="G18" s="12"/>
      <c r="H18" s="12"/>
      <c r="I18" s="12"/>
      <c r="J18" s="12"/>
      <c r="K18" s="12"/>
      <c r="L18" s="12"/>
      <c r="M18" s="12"/>
      <c r="N18" s="12"/>
      <c r="O18" s="12"/>
      <c r="P18" s="12"/>
      <c r="Q18" s="19" t="s">
        <v>774</v>
      </c>
      <c r="R18" s="19"/>
      <c r="S18" s="325"/>
      <c r="T18" s="320"/>
      <c r="U18" s="320"/>
      <c r="V18" s="320"/>
      <c r="W18" s="320"/>
      <c r="X18" s="320"/>
      <c r="Y18" s="320"/>
      <c r="Z18" s="320"/>
      <c r="AA18" s="320"/>
      <c r="AB18" s="47"/>
      <c r="AC18" s="47"/>
      <c r="AD18" s="47"/>
      <c r="AE18" s="47"/>
      <c r="AF18" s="47"/>
      <c r="AG18" s="47"/>
      <c r="AH18" s="47"/>
      <c r="AI18" s="47"/>
      <c r="AJ18" s="47"/>
      <c r="AK18" s="47"/>
      <c r="AL18" s="47"/>
      <c r="AM18" s="47"/>
      <c r="AN18" s="47"/>
      <c r="AO18" s="47"/>
      <c r="AP18" s="50"/>
      <c r="AQ18" s="50"/>
      <c r="AR18" s="50"/>
      <c r="AS18" s="50"/>
      <c r="AT18" s="52"/>
      <c r="AU18" s="52"/>
      <c r="AV18" s="52"/>
      <c r="AW18" s="52"/>
      <c r="AX18" s="52"/>
      <c r="AY18" s="52"/>
      <c r="AZ18" s="52"/>
      <c r="BA18" s="52"/>
      <c r="BB18" s="52"/>
      <c r="BC18" s="52"/>
      <c r="BD18" s="52"/>
      <c r="BE18" s="52"/>
    </row>
    <row r="19" spans="1:57">
      <c r="A19" s="46" t="s">
        <v>764</v>
      </c>
      <c r="B19" s="46"/>
      <c r="C19" s="46"/>
      <c r="D19" s="46"/>
      <c r="E19" s="46"/>
      <c r="F19" s="46"/>
      <c r="G19" s="46"/>
      <c r="H19" s="46"/>
      <c r="I19" s="46"/>
      <c r="J19" s="12"/>
      <c r="K19" s="12"/>
      <c r="L19" s="12"/>
      <c r="M19" s="12"/>
      <c r="N19" s="12"/>
      <c r="O19" s="12"/>
      <c r="P19" s="12"/>
      <c r="Q19" s="28" t="s">
        <v>1485</v>
      </c>
      <c r="R19" s="376"/>
      <c r="S19" s="327"/>
      <c r="T19" s="320"/>
      <c r="U19" s="320"/>
      <c r="V19" s="320"/>
      <c r="W19" s="320"/>
      <c r="X19" s="320"/>
      <c r="Y19" s="320"/>
      <c r="Z19" s="320"/>
      <c r="AA19" s="320"/>
      <c r="AB19" s="47"/>
      <c r="AC19" s="47"/>
      <c r="AD19" s="47"/>
      <c r="AE19" s="47"/>
      <c r="AF19" s="47"/>
      <c r="AG19" s="47"/>
      <c r="AH19" s="47"/>
      <c r="AI19" s="47"/>
      <c r="AJ19" s="47"/>
      <c r="AK19" s="47"/>
      <c r="AL19" s="47"/>
      <c r="AM19" s="47"/>
      <c r="AN19" s="47"/>
      <c r="AO19" s="47"/>
      <c r="AP19" s="50"/>
      <c r="AQ19" s="50"/>
      <c r="AR19" s="50"/>
      <c r="AS19" s="50"/>
      <c r="AT19" s="52"/>
      <c r="AU19" s="52"/>
      <c r="AV19" s="52"/>
      <c r="AW19" s="52"/>
      <c r="AX19" s="52"/>
      <c r="AY19" s="52"/>
      <c r="AZ19" s="52"/>
      <c r="BA19" s="52"/>
      <c r="BB19" s="52"/>
      <c r="BC19" s="52"/>
      <c r="BD19" s="52"/>
      <c r="BE19" s="52"/>
    </row>
    <row r="20" spans="1:57" ht="14.5" thickBot="1">
      <c r="A20" s="46"/>
      <c r="B20" s="46"/>
      <c r="C20" s="46"/>
      <c r="D20" s="46"/>
      <c r="E20" s="46"/>
      <c r="F20" s="46"/>
      <c r="G20" s="46"/>
      <c r="H20" s="46"/>
      <c r="I20" s="46"/>
      <c r="J20" s="12"/>
      <c r="K20" s="12"/>
      <c r="L20" s="12"/>
      <c r="M20" s="12"/>
      <c r="N20" s="12"/>
      <c r="O20" s="12"/>
      <c r="P20" s="12"/>
      <c r="Q20" s="19" t="s">
        <v>1489</v>
      </c>
      <c r="R20" s="19" t="s">
        <v>1490</v>
      </c>
      <c r="S20" s="46" t="s">
        <v>769</v>
      </c>
      <c r="T20" s="46" t="s">
        <v>1491</v>
      </c>
      <c r="U20" s="46" t="s">
        <v>782</v>
      </c>
      <c r="V20" s="320"/>
      <c r="W20" s="320"/>
      <c r="X20" s="320"/>
      <c r="Y20" s="320"/>
      <c r="Z20" s="320"/>
      <c r="AA20" s="320"/>
      <c r="AB20" s="47"/>
      <c r="AC20" s="47"/>
      <c r="AD20" s="47"/>
      <c r="AE20" s="47"/>
      <c r="AF20" s="47"/>
      <c r="AG20" s="47"/>
      <c r="AH20" s="47"/>
      <c r="AI20" s="47"/>
      <c r="AJ20" s="47"/>
      <c r="AK20" s="47"/>
      <c r="AL20" s="47"/>
      <c r="AM20" s="47"/>
      <c r="AN20" s="47"/>
      <c r="AO20" s="47"/>
      <c r="AP20" s="50"/>
      <c r="AQ20" s="50"/>
      <c r="AR20" s="50"/>
      <c r="AS20" s="50"/>
      <c r="AT20" s="52"/>
      <c r="AU20" s="52"/>
      <c r="AV20" s="52"/>
      <c r="AW20" s="52"/>
      <c r="AX20" s="52"/>
      <c r="AY20" s="52"/>
      <c r="AZ20" s="52"/>
      <c r="BA20" s="52"/>
      <c r="BB20" s="52"/>
      <c r="BC20" s="52"/>
      <c r="BD20" s="52"/>
      <c r="BE20" s="52"/>
    </row>
    <row r="21" spans="1:57">
      <c r="A21" s="479" t="s">
        <v>765</v>
      </c>
      <c r="B21" s="479"/>
      <c r="C21" s="46"/>
      <c r="D21" s="46"/>
      <c r="E21" s="46"/>
      <c r="F21" s="46"/>
      <c r="G21" s="46"/>
      <c r="H21" s="46"/>
      <c r="I21" s="46"/>
      <c r="J21" s="12"/>
      <c r="K21" s="12"/>
      <c r="L21" s="12"/>
      <c r="M21" s="12"/>
      <c r="N21" s="12"/>
      <c r="O21" s="12"/>
      <c r="P21" s="12"/>
      <c r="Q21" s="19" t="s">
        <v>1496</v>
      </c>
      <c r="R21" s="28" t="s">
        <v>1492</v>
      </c>
      <c r="S21" s="320"/>
      <c r="T21" s="320"/>
      <c r="U21" s="320"/>
      <c r="V21" s="320"/>
      <c r="W21" s="320"/>
      <c r="X21" s="320"/>
      <c r="Y21" s="320"/>
      <c r="Z21" s="320"/>
      <c r="AA21" s="320"/>
      <c r="AB21" s="47"/>
      <c r="AC21" s="47"/>
      <c r="AD21" s="47"/>
      <c r="AE21" s="47"/>
      <c r="AF21" s="47"/>
      <c r="AG21" s="47"/>
      <c r="AH21" s="47"/>
      <c r="AI21" s="47"/>
      <c r="AJ21" s="47"/>
      <c r="AK21" s="47"/>
      <c r="AL21" s="47"/>
      <c r="AM21" s="47"/>
      <c r="AN21" s="47"/>
      <c r="AO21" s="47"/>
      <c r="AP21" s="50"/>
      <c r="AQ21" s="50"/>
      <c r="AR21" s="50"/>
      <c r="AS21" s="50"/>
      <c r="AT21" s="52"/>
      <c r="AU21" s="52"/>
      <c r="AV21" s="52"/>
      <c r="AW21" s="52"/>
      <c r="AX21" s="52"/>
      <c r="AY21" s="52"/>
      <c r="AZ21" s="52"/>
      <c r="BA21" s="52"/>
      <c r="BB21" s="52"/>
      <c r="BC21" s="52"/>
      <c r="BD21" s="52"/>
      <c r="BE21" s="52"/>
    </row>
    <row r="22" spans="1:57">
      <c r="A22" s="46" t="s">
        <v>766</v>
      </c>
      <c r="B22" s="46">
        <v>0.62165158396991971</v>
      </c>
      <c r="C22" s="46"/>
      <c r="D22" s="46"/>
      <c r="E22" s="46"/>
      <c r="F22" s="46"/>
      <c r="G22" s="46"/>
      <c r="H22" s="46"/>
      <c r="I22" s="46"/>
      <c r="J22" s="12"/>
      <c r="K22" s="12"/>
      <c r="L22" s="12"/>
      <c r="M22" s="12"/>
      <c r="N22" s="12"/>
      <c r="O22" s="12"/>
      <c r="P22" s="12"/>
      <c r="Q22" s="28" t="s">
        <v>248</v>
      </c>
      <c r="R22" s="28">
        <v>293046.67</v>
      </c>
      <c r="S22" s="320">
        <v>83843.34</v>
      </c>
      <c r="T22" s="320">
        <v>3.49</v>
      </c>
      <c r="U22" s="320">
        <v>6.7000000000000002E-3</v>
      </c>
      <c r="V22" s="320"/>
      <c r="W22" s="320"/>
      <c r="X22" s="320"/>
      <c r="Y22" s="320"/>
      <c r="Z22" s="320"/>
      <c r="AA22" s="320"/>
      <c r="AB22" s="47"/>
      <c r="AC22" s="47"/>
      <c r="AD22" s="47"/>
      <c r="AE22" s="47"/>
      <c r="AF22" s="47"/>
      <c r="AG22" s="47"/>
      <c r="AH22" s="47"/>
      <c r="AI22" s="47"/>
      <c r="AJ22" s="47"/>
      <c r="AK22" s="47"/>
      <c r="AL22" s="47"/>
      <c r="AM22" s="47"/>
      <c r="AN22" s="47"/>
      <c r="AO22" s="47"/>
      <c r="AP22" s="50"/>
      <c r="AQ22" s="50"/>
      <c r="AR22" s="50"/>
      <c r="AS22" s="50"/>
      <c r="AT22" s="52"/>
      <c r="AU22" s="52"/>
      <c r="AV22" s="52"/>
      <c r="AW22" s="52"/>
      <c r="AX22" s="52"/>
      <c r="AY22" s="52"/>
      <c r="AZ22" s="52"/>
      <c r="BA22" s="52"/>
      <c r="BB22" s="52"/>
      <c r="BC22" s="52"/>
      <c r="BD22" s="52"/>
      <c r="BE22" s="52"/>
    </row>
    <row r="23" spans="1:57">
      <c r="A23" s="46" t="s">
        <v>767</v>
      </c>
      <c r="B23" s="46">
        <v>0.38645069185231012</v>
      </c>
      <c r="C23" s="46"/>
      <c r="D23" s="46"/>
      <c r="E23" s="46"/>
      <c r="F23" s="46"/>
      <c r="G23" s="46"/>
      <c r="H23" s="46"/>
      <c r="I23" s="46"/>
      <c r="J23" s="12"/>
      <c r="K23" s="12"/>
      <c r="L23" s="12"/>
      <c r="M23" s="12"/>
      <c r="N23" s="12"/>
      <c r="O23" s="12"/>
      <c r="P23" s="12"/>
      <c r="Q23" s="28" t="s">
        <v>1489</v>
      </c>
      <c r="R23" s="28" t="s">
        <v>1490</v>
      </c>
      <c r="S23" s="320" t="s">
        <v>1497</v>
      </c>
      <c r="T23" s="320" t="s">
        <v>1491</v>
      </c>
      <c r="U23" s="320" t="s">
        <v>782</v>
      </c>
      <c r="V23" s="320"/>
      <c r="W23" s="320"/>
      <c r="X23" s="320"/>
      <c r="Y23" s="320"/>
      <c r="Z23" s="320"/>
      <c r="AA23" s="320"/>
      <c r="AB23" s="47"/>
      <c r="AC23" s="47"/>
      <c r="AD23" s="47"/>
      <c r="AE23" s="47"/>
      <c r="AF23" s="47"/>
      <c r="AG23" s="47"/>
      <c r="AH23" s="47"/>
      <c r="AI23" s="47"/>
      <c r="AJ23" s="47"/>
      <c r="AK23" s="47"/>
      <c r="AL23" s="47"/>
      <c r="AM23" s="47"/>
      <c r="AN23" s="47"/>
      <c r="AO23" s="47"/>
      <c r="AP23" s="50"/>
      <c r="AQ23" s="50"/>
      <c r="AR23" s="50"/>
      <c r="AS23" s="50"/>
      <c r="AT23" s="52"/>
      <c r="AU23" s="52"/>
      <c r="AV23" s="52"/>
      <c r="AW23" s="52"/>
      <c r="AX23" s="52"/>
      <c r="AY23" s="52"/>
      <c r="AZ23" s="52"/>
      <c r="BA23" s="52"/>
      <c r="BB23" s="52"/>
      <c r="BC23" s="52"/>
      <c r="BD23" s="52"/>
      <c r="BE23" s="52"/>
    </row>
    <row r="24" spans="1:57">
      <c r="A24" s="46" t="s">
        <v>768</v>
      </c>
      <c r="B24" s="46">
        <v>0.29880079068835441</v>
      </c>
      <c r="C24" s="46"/>
      <c r="D24" s="46"/>
      <c r="E24" s="46"/>
      <c r="F24" s="46"/>
      <c r="G24" s="46"/>
      <c r="H24" s="46"/>
      <c r="I24" s="46"/>
      <c r="J24" s="12"/>
      <c r="K24" s="12"/>
      <c r="L24" s="12"/>
      <c r="M24" s="12"/>
      <c r="N24" s="12"/>
      <c r="O24" s="12"/>
      <c r="P24" s="12"/>
      <c r="Q24" s="19" t="s">
        <v>1499</v>
      </c>
      <c r="R24" s="28" t="s">
        <v>1498</v>
      </c>
      <c r="S24" s="320" t="s">
        <v>1498</v>
      </c>
      <c r="T24" s="320" t="s">
        <v>1498</v>
      </c>
      <c r="U24" s="320" t="s">
        <v>1498</v>
      </c>
      <c r="V24" s="320"/>
      <c r="W24" s="320"/>
      <c r="X24" s="320"/>
      <c r="Y24" s="320"/>
      <c r="Z24" s="320"/>
      <c r="AA24" s="320"/>
      <c r="AB24" s="47"/>
      <c r="AC24" s="47"/>
      <c r="AD24" s="47"/>
      <c r="AE24" s="47"/>
      <c r="AF24" s="47"/>
      <c r="AG24" s="47"/>
      <c r="AH24" s="47"/>
      <c r="AI24" s="47"/>
      <c r="AJ24" s="47"/>
      <c r="AK24" s="47"/>
      <c r="AL24" s="47"/>
      <c r="AM24" s="47"/>
      <c r="AN24" s="47"/>
      <c r="AO24" s="47"/>
      <c r="AP24" s="50"/>
      <c r="AQ24" s="50"/>
      <c r="AR24" s="50"/>
      <c r="AS24" s="50"/>
      <c r="AT24" s="52"/>
      <c r="AU24" s="52"/>
      <c r="AV24" s="52"/>
      <c r="AW24" s="52"/>
      <c r="AX24" s="52"/>
      <c r="AY24" s="52"/>
      <c r="AZ24" s="52"/>
      <c r="BA24" s="52"/>
      <c r="BB24" s="52"/>
      <c r="BC24" s="52"/>
      <c r="BD24" s="52"/>
      <c r="BE24" s="52"/>
    </row>
    <row r="25" spans="1:57">
      <c r="A25" s="46" t="s">
        <v>769</v>
      </c>
      <c r="B25" s="46">
        <v>11701.417418513238</v>
      </c>
      <c r="C25" s="46"/>
      <c r="D25" s="46"/>
      <c r="E25" s="46"/>
      <c r="F25" s="46"/>
      <c r="G25" s="46"/>
      <c r="H25" s="46"/>
      <c r="I25" s="46"/>
      <c r="J25" s="12"/>
      <c r="K25" s="12"/>
      <c r="L25" s="12"/>
      <c r="M25" s="12"/>
      <c r="N25" s="12"/>
      <c r="O25" s="12"/>
      <c r="P25" s="12"/>
      <c r="Q25" s="327" t="s">
        <v>1502</v>
      </c>
      <c r="R25" s="327">
        <v>0.43378885700000003</v>
      </c>
      <c r="S25" s="327">
        <v>4.2509069999999999E-3</v>
      </c>
      <c r="T25" s="327">
        <v>102.04600000000001</v>
      </c>
      <c r="U25" s="377">
        <f>E70</f>
        <v>0</v>
      </c>
      <c r="V25" s="320"/>
      <c r="W25" s="320"/>
      <c r="X25" s="320"/>
      <c r="Y25" s="320"/>
      <c r="Z25" s="320"/>
      <c r="AA25" s="320"/>
      <c r="AB25" s="47"/>
      <c r="AC25" s="47"/>
      <c r="AD25" s="47"/>
      <c r="AE25" s="47"/>
      <c r="AF25" s="47"/>
      <c r="AG25" s="47"/>
      <c r="AH25" s="47"/>
      <c r="AI25" s="47"/>
      <c r="AJ25" s="47"/>
      <c r="AK25" s="47"/>
      <c r="AL25" s="47"/>
      <c r="AM25" s="47"/>
      <c r="AN25" s="47"/>
      <c r="AO25" s="47"/>
      <c r="AP25" s="50"/>
      <c r="AQ25" s="50"/>
      <c r="AR25" s="50"/>
      <c r="AS25" s="50"/>
      <c r="AT25" s="52"/>
      <c r="AU25" s="52"/>
      <c r="AV25" s="52"/>
      <c r="AW25" s="52"/>
      <c r="AX25" s="52"/>
      <c r="AY25" s="52"/>
      <c r="AZ25" s="52"/>
      <c r="BA25" s="52"/>
      <c r="BB25" s="52"/>
      <c r="BC25" s="52"/>
      <c r="BD25" s="52"/>
      <c r="BE25" s="52"/>
    </row>
    <row r="26" spans="1:57" ht="14.5" thickBot="1">
      <c r="A26" s="480" t="s">
        <v>770</v>
      </c>
      <c r="B26" s="480">
        <v>9</v>
      </c>
      <c r="C26" s="46"/>
      <c r="D26" s="46"/>
      <c r="E26" s="46"/>
      <c r="F26" s="46"/>
      <c r="G26" s="46"/>
      <c r="H26" s="46"/>
      <c r="I26" s="46"/>
      <c r="J26" s="12"/>
      <c r="K26" s="12"/>
      <c r="L26" s="12"/>
      <c r="M26" s="12"/>
      <c r="N26" s="12"/>
      <c r="O26" s="12"/>
      <c r="P26" s="12"/>
      <c r="Q26" s="19" t="s">
        <v>1046</v>
      </c>
      <c r="R26" s="19"/>
      <c r="S26" s="320"/>
      <c r="T26" s="320"/>
      <c r="U26" s="320"/>
      <c r="V26" s="320"/>
      <c r="W26" s="320"/>
      <c r="X26" s="320"/>
      <c r="Y26" s="320"/>
      <c r="Z26" s="320"/>
      <c r="AA26" s="320"/>
      <c r="AB26" s="47"/>
      <c r="AC26" s="47"/>
      <c r="AD26" s="47"/>
      <c r="AE26" s="47"/>
      <c r="AF26" s="47"/>
      <c r="AG26" s="47"/>
      <c r="AH26" s="47"/>
      <c r="AI26" s="47"/>
      <c r="AJ26" s="47"/>
      <c r="AK26" s="47"/>
      <c r="AL26" s="47"/>
      <c r="AM26" s="47"/>
      <c r="AN26" s="47"/>
      <c r="AO26" s="47"/>
      <c r="AP26" s="50"/>
      <c r="AQ26" s="50"/>
      <c r="AR26" s="50"/>
      <c r="AS26" s="50"/>
      <c r="AT26" s="52"/>
      <c r="AU26" s="52"/>
      <c r="AV26" s="52"/>
      <c r="AW26" s="52"/>
      <c r="AX26" s="52"/>
      <c r="AY26" s="52"/>
      <c r="AZ26" s="52"/>
      <c r="BA26" s="52"/>
      <c r="BB26" s="52"/>
      <c r="BC26" s="52"/>
      <c r="BD26" s="52"/>
      <c r="BE26" s="52"/>
    </row>
    <row r="27" spans="1:57" ht="74.5" customHeight="1">
      <c r="A27" s="46"/>
      <c r="B27" s="46"/>
      <c r="C27" s="46"/>
      <c r="D27" s="46"/>
      <c r="E27" s="46"/>
      <c r="F27" s="46"/>
      <c r="G27" s="46"/>
      <c r="H27" s="46"/>
      <c r="I27" s="46"/>
      <c r="J27" s="12"/>
      <c r="K27" s="12"/>
      <c r="L27" s="12"/>
      <c r="M27" s="12"/>
      <c r="N27" s="12"/>
      <c r="O27" s="12"/>
      <c r="P27" s="12"/>
      <c r="Q27" s="378" t="s">
        <v>2297</v>
      </c>
      <c r="R27" s="28"/>
      <c r="S27" s="320" t="s">
        <v>1806</v>
      </c>
      <c r="T27" s="320"/>
      <c r="U27" s="320"/>
      <c r="V27" s="320"/>
      <c r="W27" s="320"/>
      <c r="X27" s="320"/>
      <c r="Y27" s="320"/>
      <c r="Z27" s="320"/>
      <c r="AA27" s="320"/>
      <c r="AB27" s="47"/>
      <c r="AC27" s="47"/>
      <c r="AD27" s="47"/>
      <c r="AE27" s="47"/>
      <c r="AF27" s="47"/>
      <c r="AG27" s="47"/>
      <c r="AH27" s="47"/>
      <c r="AI27" s="47"/>
      <c r="AJ27" s="47"/>
      <c r="AK27" s="47"/>
      <c r="AL27" s="47"/>
      <c r="AM27" s="47"/>
      <c r="AN27" s="47"/>
      <c r="AO27" s="47"/>
      <c r="AP27" s="50"/>
      <c r="AQ27" s="50"/>
      <c r="AR27" s="50"/>
      <c r="AS27" s="50"/>
      <c r="AT27" s="52"/>
      <c r="AU27" s="52"/>
      <c r="AV27" s="52"/>
      <c r="AW27" s="52"/>
      <c r="AX27" s="52"/>
      <c r="AY27" s="52"/>
      <c r="AZ27" s="52"/>
      <c r="BA27" s="52"/>
      <c r="BB27" s="52"/>
      <c r="BC27" s="52"/>
      <c r="BD27" s="52"/>
      <c r="BE27" s="52"/>
    </row>
    <row r="28" spans="1:57" ht="16.5" customHeight="1" thickBot="1">
      <c r="A28" s="46" t="s">
        <v>771</v>
      </c>
      <c r="B28" s="46"/>
      <c r="C28" s="46"/>
      <c r="D28" s="46"/>
      <c r="E28" s="46"/>
      <c r="F28" s="46"/>
      <c r="G28" s="46"/>
      <c r="H28" s="46"/>
      <c r="I28" s="46"/>
      <c r="J28" s="12"/>
      <c r="K28" s="12"/>
      <c r="L28" s="12"/>
      <c r="M28" s="12"/>
      <c r="N28" s="12"/>
      <c r="O28" s="12"/>
      <c r="P28" s="12"/>
      <c r="Q28" s="250" t="s">
        <v>1478</v>
      </c>
      <c r="R28" s="28"/>
      <c r="S28" s="320"/>
      <c r="T28" s="320"/>
      <c r="U28" s="320"/>
      <c r="V28" s="320"/>
      <c r="W28" s="320"/>
      <c r="X28" s="320"/>
      <c r="Y28" s="320"/>
      <c r="Z28" s="320"/>
      <c r="AA28" s="320"/>
      <c r="AB28" s="47"/>
      <c r="AC28" s="47"/>
      <c r="AD28" s="47"/>
      <c r="AE28" s="47"/>
      <c r="AF28" s="47"/>
      <c r="AG28" s="47"/>
      <c r="AH28" s="47"/>
      <c r="AI28" s="47"/>
      <c r="AJ28" s="47"/>
      <c r="AK28" s="47"/>
      <c r="AL28" s="47"/>
      <c r="AM28" s="47"/>
      <c r="AN28" s="47"/>
      <c r="AO28" s="47"/>
      <c r="AP28" s="50"/>
      <c r="AQ28" s="50"/>
      <c r="AR28" s="50"/>
      <c r="AS28" s="50"/>
      <c r="AT28" s="52"/>
      <c r="AU28" s="52"/>
      <c r="AV28" s="52"/>
      <c r="AW28" s="52"/>
      <c r="AX28" s="52"/>
      <c r="AY28" s="52"/>
      <c r="AZ28" s="52"/>
      <c r="BA28" s="52"/>
      <c r="BB28" s="52"/>
      <c r="BC28" s="52"/>
      <c r="BD28" s="52"/>
      <c r="BE28" s="52"/>
    </row>
    <row r="29" spans="1:57">
      <c r="A29" s="481"/>
      <c r="B29" s="481" t="s">
        <v>775</v>
      </c>
      <c r="C29" s="481" t="s">
        <v>776</v>
      </c>
      <c r="D29" s="481" t="s">
        <v>777</v>
      </c>
      <c r="E29" s="481" t="s">
        <v>778</v>
      </c>
      <c r="F29" s="481" t="s">
        <v>779</v>
      </c>
      <c r="G29" s="46"/>
      <c r="H29" s="46"/>
      <c r="I29" s="46"/>
      <c r="J29" s="12"/>
      <c r="K29" s="12"/>
      <c r="L29" s="12"/>
      <c r="M29" s="12"/>
      <c r="N29" s="12"/>
      <c r="O29" s="12"/>
      <c r="P29" s="12"/>
      <c r="Q29" s="28" t="s">
        <v>1479</v>
      </c>
      <c r="R29" s="28"/>
      <c r="S29" s="320" t="s">
        <v>2294</v>
      </c>
      <c r="T29" s="320"/>
      <c r="U29" s="320"/>
      <c r="V29" s="320"/>
      <c r="W29" s="320"/>
      <c r="X29" s="320"/>
      <c r="Y29" s="320"/>
      <c r="Z29" s="320"/>
      <c r="AA29" s="320"/>
      <c r="AB29" s="47"/>
      <c r="AC29" s="47"/>
      <c r="AD29" s="47"/>
      <c r="AE29" s="47"/>
      <c r="AF29" s="47"/>
      <c r="AG29" s="47"/>
      <c r="AH29" s="47"/>
      <c r="AI29" s="47"/>
      <c r="AJ29" s="47"/>
      <c r="AK29" s="47"/>
      <c r="AL29" s="47"/>
      <c r="AM29" s="47"/>
      <c r="AN29" s="47"/>
      <c r="AO29" s="47"/>
      <c r="AP29" s="50"/>
      <c r="AQ29" s="50"/>
      <c r="AR29" s="50"/>
      <c r="AS29" s="50"/>
      <c r="AT29" s="52"/>
      <c r="AU29" s="52"/>
      <c r="AV29" s="52"/>
      <c r="AW29" s="52"/>
      <c r="AX29" s="52"/>
      <c r="AY29" s="52"/>
      <c r="AZ29" s="52"/>
      <c r="BA29" s="52"/>
      <c r="BB29" s="52"/>
      <c r="BC29" s="52"/>
      <c r="BD29" s="52"/>
      <c r="BE29" s="52"/>
    </row>
    <row r="30" spans="1:57">
      <c r="A30" s="46" t="s">
        <v>772</v>
      </c>
      <c r="B30" s="46">
        <v>1</v>
      </c>
      <c r="C30" s="46">
        <v>603697812.78400469</v>
      </c>
      <c r="D30" s="46">
        <v>603697812.78400469</v>
      </c>
      <c r="E30" s="46">
        <v>4.4090259854306648</v>
      </c>
      <c r="F30" s="46">
        <v>7.3896497636723651E-2</v>
      </c>
      <c r="G30" s="46"/>
      <c r="H30" s="46"/>
      <c r="I30" s="46"/>
      <c r="J30" s="12"/>
      <c r="K30" s="12"/>
      <c r="L30" s="12"/>
      <c r="M30" s="12"/>
      <c r="N30" s="12"/>
      <c r="O30" s="12"/>
      <c r="P30" s="12"/>
      <c r="Q30" s="28" t="s">
        <v>1480</v>
      </c>
      <c r="R30" s="28"/>
      <c r="S30" s="320"/>
      <c r="T30" s="320"/>
      <c r="U30" s="320"/>
      <c r="V30" s="320"/>
      <c r="W30" s="320"/>
      <c r="X30" s="320"/>
      <c r="Y30" s="320"/>
      <c r="Z30" s="320"/>
      <c r="AA30" s="320"/>
      <c r="AB30" s="47"/>
      <c r="AC30" s="47"/>
      <c r="AD30" s="47"/>
      <c r="AE30" s="47"/>
      <c r="AF30" s="47"/>
      <c r="AG30" s="47"/>
      <c r="AH30" s="47"/>
      <c r="AI30" s="47"/>
      <c r="AJ30" s="47"/>
      <c r="AK30" s="47"/>
      <c r="AL30" s="47"/>
      <c r="AM30" s="47"/>
      <c r="AN30" s="47"/>
      <c r="AO30" s="47"/>
      <c r="AP30" s="50"/>
      <c r="AQ30" s="50"/>
      <c r="AR30" s="50"/>
      <c r="AS30" s="50"/>
      <c r="AT30" s="52"/>
      <c r="AU30" s="52"/>
      <c r="AV30" s="52"/>
      <c r="AW30" s="52"/>
      <c r="AX30" s="52"/>
      <c r="AY30" s="52"/>
      <c r="AZ30" s="52"/>
      <c r="BA30" s="52"/>
      <c r="BB30" s="52"/>
      <c r="BC30" s="52"/>
      <c r="BD30" s="52"/>
      <c r="BE30" s="52"/>
    </row>
    <row r="31" spans="1:57">
      <c r="A31" s="46" t="s">
        <v>773</v>
      </c>
      <c r="B31" s="46">
        <v>7</v>
      </c>
      <c r="C31" s="46">
        <v>958462187.21599507</v>
      </c>
      <c r="D31" s="46">
        <v>136923169.602285</v>
      </c>
      <c r="E31" s="46"/>
      <c r="F31" s="46"/>
      <c r="G31" s="46"/>
      <c r="H31" s="46"/>
      <c r="I31" s="46"/>
      <c r="J31" s="12"/>
      <c r="K31" s="12"/>
      <c r="L31" s="12"/>
      <c r="M31" s="12"/>
      <c r="N31" s="12"/>
      <c r="O31" s="12"/>
      <c r="P31" s="12"/>
      <c r="Q31" s="198"/>
      <c r="R31" s="198"/>
      <c r="S31" s="47"/>
      <c r="T31" s="47"/>
      <c r="U31" s="47"/>
      <c r="V31" s="47"/>
      <c r="W31" s="47"/>
      <c r="X31" s="47"/>
      <c r="Y31" s="47"/>
      <c r="Z31" s="47"/>
      <c r="AA31" s="47"/>
      <c r="AB31" s="47"/>
      <c r="AC31" s="47"/>
      <c r="AD31" s="47"/>
      <c r="AE31" s="47"/>
      <c r="AF31" s="47"/>
      <c r="AG31" s="47"/>
      <c r="AH31" s="47"/>
      <c r="AI31" s="47"/>
      <c r="AJ31" s="47"/>
      <c r="AK31" s="47"/>
      <c r="AL31" s="47"/>
      <c r="AM31" s="47"/>
      <c r="AN31" s="47"/>
      <c r="AO31" s="47"/>
      <c r="AP31" s="50"/>
      <c r="AQ31" s="50"/>
      <c r="AR31" s="50"/>
      <c r="AS31" s="50"/>
      <c r="AT31" s="52"/>
      <c r="AU31" s="52"/>
      <c r="AV31" s="52"/>
      <c r="AW31" s="52"/>
      <c r="AX31" s="52"/>
      <c r="AY31" s="52"/>
      <c r="AZ31" s="52"/>
      <c r="BA31" s="52"/>
      <c r="BB31" s="52"/>
      <c r="BC31" s="52"/>
      <c r="BD31" s="52"/>
      <c r="BE31" s="52"/>
    </row>
    <row r="32" spans="1:57" ht="28.5" thickBot="1">
      <c r="A32" s="480" t="s">
        <v>273</v>
      </c>
      <c r="B32" s="480">
        <v>8</v>
      </c>
      <c r="C32" s="480">
        <v>1562159999.9999998</v>
      </c>
      <c r="D32" s="480"/>
      <c r="E32" s="480"/>
      <c r="F32" s="480"/>
      <c r="G32" s="46"/>
      <c r="H32" s="46"/>
      <c r="I32" s="46"/>
      <c r="J32" s="12"/>
      <c r="K32" s="12"/>
      <c r="L32" s="12"/>
      <c r="M32" s="12"/>
      <c r="N32" s="12"/>
      <c r="O32" s="12"/>
      <c r="P32" s="12"/>
      <c r="Q32" s="513" t="s">
        <v>2327</v>
      </c>
      <c r="R32" s="3"/>
      <c r="S32" s="47"/>
      <c r="T32" s="47"/>
      <c r="U32" s="47"/>
      <c r="V32" s="47"/>
      <c r="W32" s="47"/>
      <c r="X32" s="47"/>
      <c r="Y32" s="47"/>
      <c r="Z32" s="47"/>
      <c r="AA32" s="47"/>
      <c r="AB32" s="47"/>
      <c r="AC32" s="47"/>
      <c r="AD32" s="47"/>
      <c r="AE32" s="47"/>
      <c r="AF32" s="47"/>
      <c r="AG32" s="47"/>
      <c r="AH32" s="47"/>
      <c r="AI32" s="47"/>
      <c r="AJ32" s="47"/>
      <c r="AK32" s="47"/>
      <c r="AL32" s="47"/>
      <c r="AM32" s="47"/>
      <c r="AN32" s="47"/>
      <c r="AO32" s="47"/>
      <c r="AP32" s="50"/>
      <c r="AQ32" s="50"/>
      <c r="AR32" s="50"/>
      <c r="AS32" s="50"/>
      <c r="AT32" s="52"/>
      <c r="AU32" s="52"/>
      <c r="AV32" s="52"/>
      <c r="AW32" s="52"/>
      <c r="AX32" s="52"/>
      <c r="AY32" s="52"/>
      <c r="AZ32" s="52"/>
      <c r="BA32" s="52"/>
      <c r="BB32" s="52"/>
      <c r="BC32" s="52"/>
      <c r="BD32" s="52"/>
      <c r="BE32" s="52"/>
    </row>
    <row r="33" spans="1:57" ht="14.5" thickBot="1">
      <c r="A33" s="46"/>
      <c r="B33" s="46"/>
      <c r="C33" s="46"/>
      <c r="D33" s="46"/>
      <c r="E33" s="46"/>
      <c r="F33" s="46"/>
      <c r="G33" s="46"/>
      <c r="H33" s="46"/>
      <c r="I33" s="46"/>
      <c r="J33" s="12"/>
      <c r="K33" s="12"/>
      <c r="L33" s="12"/>
      <c r="M33" s="12"/>
      <c r="N33" s="12"/>
      <c r="O33" s="12"/>
      <c r="P33" s="12"/>
      <c r="Q33" s="63" t="s">
        <v>2328</v>
      </c>
      <c r="R33" s="63"/>
      <c r="S33" s="47"/>
      <c r="T33" s="47"/>
      <c r="U33" s="47"/>
      <c r="V33" s="47"/>
      <c r="W33" s="47"/>
      <c r="X33" s="47"/>
      <c r="Y33" s="47"/>
      <c r="Z33" s="47"/>
      <c r="AA33" s="47"/>
      <c r="AB33" s="47"/>
      <c r="AC33" s="47"/>
      <c r="AD33" s="47"/>
      <c r="AE33" s="47"/>
      <c r="AF33" s="47"/>
      <c r="AG33" s="47"/>
      <c r="AH33" s="47"/>
      <c r="AI33" s="47"/>
      <c r="AJ33" s="47"/>
      <c r="AK33" s="47"/>
      <c r="AL33" s="47"/>
      <c r="AM33" s="47"/>
      <c r="AN33" s="47"/>
      <c r="AO33" s="47"/>
      <c r="AP33" s="50"/>
      <c r="AQ33" s="50"/>
      <c r="AR33" s="50"/>
      <c r="AS33" s="50"/>
      <c r="AT33" s="52"/>
      <c r="AU33" s="52"/>
      <c r="AV33" s="52"/>
      <c r="AW33" s="52"/>
      <c r="AX33" s="52"/>
      <c r="AY33" s="52"/>
      <c r="AZ33" s="52"/>
      <c r="BA33" s="52"/>
      <c r="BB33" s="52"/>
      <c r="BC33" s="52"/>
      <c r="BD33" s="52"/>
      <c r="BE33" s="52"/>
    </row>
    <row r="34" spans="1:57">
      <c r="A34" s="481"/>
      <c r="B34" s="481" t="s">
        <v>780</v>
      </c>
      <c r="C34" s="481" t="s">
        <v>769</v>
      </c>
      <c r="D34" s="481" t="s">
        <v>781</v>
      </c>
      <c r="E34" s="481" t="s">
        <v>782</v>
      </c>
      <c r="F34" s="481" t="s">
        <v>783</v>
      </c>
      <c r="G34" s="481" t="s">
        <v>784</v>
      </c>
      <c r="H34" s="481" t="s">
        <v>785</v>
      </c>
      <c r="I34" s="481" t="s">
        <v>786</v>
      </c>
      <c r="J34" s="12"/>
      <c r="K34" s="12"/>
      <c r="L34" s="12"/>
      <c r="M34" s="12"/>
      <c r="N34" s="12"/>
      <c r="O34" s="12"/>
      <c r="P34" s="12"/>
      <c r="Q34" s="64" t="s">
        <v>2329</v>
      </c>
      <c r="R34" s="3"/>
      <c r="S34" s="47"/>
      <c r="T34" s="47"/>
      <c r="U34" s="47"/>
      <c r="V34" s="47"/>
      <c r="W34" s="47"/>
      <c r="X34" s="47"/>
      <c r="Y34" s="47"/>
      <c r="Z34" s="47"/>
      <c r="AA34" s="47"/>
      <c r="AB34" s="47"/>
      <c r="AC34" s="47"/>
      <c r="AD34" s="47"/>
      <c r="AE34" s="47"/>
      <c r="AF34" s="47"/>
      <c r="AG34" s="47"/>
      <c r="AH34" s="47"/>
      <c r="AI34" s="47"/>
      <c r="AJ34" s="47"/>
      <c r="AK34" s="47"/>
      <c r="AL34" s="47"/>
      <c r="AM34" s="47"/>
      <c r="AN34" s="47"/>
      <c r="AO34" s="47"/>
      <c r="AP34" s="50"/>
      <c r="AQ34" s="50"/>
      <c r="AR34" s="50"/>
      <c r="AS34" s="50"/>
      <c r="AT34" s="52"/>
      <c r="AU34" s="52"/>
      <c r="AV34" s="52"/>
      <c r="AW34" s="52"/>
      <c r="AX34" s="52"/>
      <c r="AY34" s="52"/>
      <c r="AZ34" s="52"/>
      <c r="BA34" s="52"/>
      <c r="BB34" s="52"/>
      <c r="BC34" s="52"/>
      <c r="BD34" s="52"/>
      <c r="BE34" s="52"/>
    </row>
    <row r="35" spans="1:57">
      <c r="A35" s="46" t="s">
        <v>774</v>
      </c>
      <c r="B35" s="46">
        <v>147416.35867918812</v>
      </c>
      <c r="C35" s="46">
        <v>15523.337073000695</v>
      </c>
      <c r="D35" s="46">
        <v>9.496434818489206</v>
      </c>
      <c r="E35" s="46">
        <v>3.0044797585640859E-5</v>
      </c>
      <c r="F35" s="46">
        <v>110709.49937072131</v>
      </c>
      <c r="G35" s="46">
        <v>184123.21798765493</v>
      </c>
      <c r="H35" s="46">
        <v>110709.49937072131</v>
      </c>
      <c r="I35" s="46">
        <v>184123.21798765493</v>
      </c>
      <c r="J35" s="12"/>
      <c r="K35" s="12"/>
      <c r="L35" s="12"/>
      <c r="M35" s="12"/>
      <c r="N35" s="12"/>
      <c r="O35" s="12"/>
      <c r="P35" s="12"/>
      <c r="Q35" s="64" t="s">
        <v>2330</v>
      </c>
      <c r="R35" s="3"/>
      <c r="S35" s="198"/>
      <c r="T35" s="47"/>
      <c r="U35" s="47"/>
      <c r="V35" s="47"/>
      <c r="W35" s="47"/>
      <c r="X35" s="47"/>
      <c r="Y35" s="47"/>
      <c r="Z35" s="47"/>
      <c r="AA35" s="47"/>
      <c r="AB35" s="47"/>
      <c r="AC35" s="47"/>
      <c r="AD35" s="47"/>
      <c r="AE35" s="47"/>
      <c r="AF35" s="47"/>
      <c r="AG35" s="47"/>
      <c r="AH35" s="47"/>
      <c r="AI35" s="47"/>
      <c r="AJ35" s="47"/>
      <c r="AK35" s="47"/>
      <c r="AL35" s="47"/>
      <c r="AM35" s="47"/>
      <c r="AN35" s="47"/>
      <c r="AO35" s="47"/>
      <c r="AP35" s="50"/>
      <c r="AQ35" s="50"/>
      <c r="AR35" s="50"/>
      <c r="AS35" s="50"/>
      <c r="AT35" s="52"/>
      <c r="AU35" s="52"/>
      <c r="AV35" s="52"/>
      <c r="AW35" s="52"/>
      <c r="AX35" s="52"/>
      <c r="AY35" s="52"/>
      <c r="AZ35" s="52"/>
      <c r="BA35" s="52"/>
      <c r="BB35" s="52"/>
      <c r="BC35" s="52"/>
      <c r="BD35" s="52"/>
      <c r="BE35" s="52"/>
    </row>
    <row r="36" spans="1:57" ht="14.5" thickBot="1">
      <c r="A36" s="480">
        <v>-3.1E-2</v>
      </c>
      <c r="B36" s="480">
        <v>-907179.64253256598</v>
      </c>
      <c r="C36" s="480">
        <v>432038.01963725599</v>
      </c>
      <c r="D36" s="480">
        <v>-2.0997680789626902</v>
      </c>
      <c r="E36" s="480">
        <v>7.3896497636723596E-2</v>
      </c>
      <c r="F36" s="480">
        <v>-1928787.2213769413</v>
      </c>
      <c r="G36" s="480">
        <v>114427.93631180935</v>
      </c>
      <c r="H36" s="480">
        <v>-1928787.2213769413</v>
      </c>
      <c r="I36" s="480">
        <v>114427.93631180935</v>
      </c>
      <c r="J36" s="12"/>
      <c r="K36" s="12"/>
      <c r="L36" s="12"/>
      <c r="M36" s="12"/>
      <c r="N36" s="12"/>
      <c r="O36" s="12"/>
      <c r="P36" s="12"/>
      <c r="Q36" s="64" t="s">
        <v>2331</v>
      </c>
      <c r="R36" s="3"/>
      <c r="S36" s="47"/>
      <c r="T36" s="47"/>
      <c r="U36" s="47"/>
      <c r="V36" s="47"/>
      <c r="W36" s="47"/>
      <c r="X36" s="47"/>
      <c r="Y36" s="47"/>
      <c r="Z36" s="47"/>
      <c r="AA36" s="47"/>
      <c r="AB36" s="47"/>
      <c r="AC36" s="47"/>
      <c r="AD36" s="47"/>
      <c r="AE36" s="47"/>
      <c r="AF36" s="47"/>
      <c r="AG36" s="47"/>
      <c r="AH36" s="47"/>
      <c r="AI36" s="47"/>
      <c r="AJ36" s="47"/>
      <c r="AK36" s="47"/>
      <c r="AL36" s="47"/>
      <c r="AM36" s="47"/>
      <c r="AN36" s="47"/>
      <c r="AO36" s="47"/>
      <c r="AP36" s="50"/>
      <c r="AQ36" s="50"/>
      <c r="AR36" s="50"/>
      <c r="AS36" s="50"/>
      <c r="AT36" s="52"/>
      <c r="AU36" s="52"/>
      <c r="AV36" s="52"/>
      <c r="AW36" s="52"/>
      <c r="AX36" s="52"/>
      <c r="AY36" s="52"/>
      <c r="AZ36" s="52"/>
      <c r="BA36" s="52"/>
      <c r="BB36" s="52"/>
      <c r="BC36" s="52"/>
      <c r="BD36" s="52"/>
      <c r="BE36" s="52"/>
    </row>
    <row r="37" spans="1:57">
      <c r="A37" s="46"/>
      <c r="B37" s="46"/>
      <c r="C37" s="46"/>
      <c r="D37" s="46"/>
      <c r="E37" s="46"/>
      <c r="F37" s="46"/>
      <c r="G37" s="46"/>
      <c r="H37" s="46"/>
      <c r="I37" s="46"/>
      <c r="J37" s="12"/>
      <c r="K37" s="12"/>
      <c r="L37" s="12"/>
      <c r="M37" s="12"/>
      <c r="N37" s="12"/>
      <c r="O37" s="12"/>
      <c r="P37" s="12"/>
      <c r="Q37" s="64" t="s">
        <v>2332</v>
      </c>
      <c r="R37" s="64"/>
      <c r="S37" s="47"/>
      <c r="T37" s="47"/>
      <c r="U37" s="47"/>
      <c r="V37" s="47"/>
      <c r="W37" s="47"/>
      <c r="X37" s="47"/>
      <c r="Y37" s="47"/>
      <c r="Z37" s="47"/>
      <c r="AA37" s="47"/>
      <c r="AB37" s="47"/>
      <c r="AC37" s="47"/>
      <c r="AD37" s="47"/>
      <c r="AE37" s="47"/>
      <c r="AF37" s="47"/>
      <c r="AG37" s="47"/>
      <c r="AH37" s="47"/>
      <c r="AI37" s="47"/>
      <c r="AJ37" s="47"/>
      <c r="AK37" s="47"/>
      <c r="AL37" s="47"/>
      <c r="AM37" s="47"/>
      <c r="AN37" s="47"/>
      <c r="AO37" s="47"/>
      <c r="AP37" s="50"/>
      <c r="AQ37" s="50"/>
      <c r="AR37" s="50"/>
      <c r="AS37" s="50"/>
      <c r="AT37" s="52"/>
      <c r="AU37" s="52"/>
      <c r="AV37" s="52"/>
      <c r="AW37" s="52"/>
      <c r="AX37" s="52"/>
      <c r="AY37" s="52"/>
      <c r="AZ37" s="52"/>
      <c r="BA37" s="52"/>
      <c r="BB37" s="52"/>
      <c r="BC37" s="52"/>
      <c r="BD37" s="52"/>
      <c r="BE37" s="52"/>
    </row>
    <row r="38" spans="1:57">
      <c r="A38" s="46" t="s">
        <v>764</v>
      </c>
      <c r="B38" s="46"/>
      <c r="C38" s="46"/>
      <c r="D38" s="46"/>
      <c r="E38" s="46"/>
      <c r="F38" s="46"/>
      <c r="G38" s="46"/>
      <c r="H38" s="46"/>
      <c r="I38" s="46"/>
      <c r="J38" s="12"/>
      <c r="K38" s="12"/>
      <c r="L38" s="12"/>
      <c r="M38" s="12"/>
      <c r="N38" s="12"/>
      <c r="O38" s="12"/>
      <c r="P38" s="12"/>
      <c r="Q38" s="64" t="s">
        <v>2333</v>
      </c>
      <c r="R38" s="3"/>
      <c r="S38" s="47"/>
      <c r="T38" s="47"/>
      <c r="U38" s="47"/>
      <c r="V38" s="47"/>
      <c r="W38" s="47"/>
      <c r="X38" s="47"/>
      <c r="Y38" s="47"/>
      <c r="Z38" s="47"/>
      <c r="AA38" s="47"/>
      <c r="AB38" s="47"/>
      <c r="AC38" s="47"/>
      <c r="AD38" s="47"/>
      <c r="AE38" s="47"/>
      <c r="AF38" s="47"/>
      <c r="AG38" s="47"/>
      <c r="AH38" s="47"/>
      <c r="AI38" s="47"/>
      <c r="AJ38" s="47"/>
      <c r="AK38" s="47"/>
      <c r="AL38" s="47"/>
      <c r="AM38" s="47"/>
      <c r="AN38" s="47"/>
      <c r="AO38" s="47"/>
      <c r="AP38" s="50"/>
      <c r="AQ38" s="50"/>
      <c r="AR38" s="50"/>
      <c r="AS38" s="50"/>
      <c r="AT38" s="52"/>
      <c r="AU38" s="52"/>
      <c r="AV38" s="52"/>
      <c r="AW38" s="52"/>
      <c r="AX38" s="52"/>
      <c r="AY38" s="52"/>
      <c r="AZ38" s="52"/>
      <c r="BA38" s="52"/>
      <c r="BB38" s="52"/>
      <c r="BC38" s="52"/>
      <c r="BD38" s="52"/>
      <c r="BE38" s="52"/>
    </row>
    <row r="39" spans="1:57" ht="14.5" thickBot="1">
      <c r="A39" s="46"/>
      <c r="B39" s="46"/>
      <c r="C39" s="46"/>
      <c r="D39" s="46"/>
      <c r="E39" s="46"/>
      <c r="F39" s="46"/>
      <c r="G39" s="46"/>
      <c r="H39" s="46"/>
      <c r="I39" s="46"/>
      <c r="J39" s="12"/>
      <c r="K39" s="12"/>
      <c r="L39" s="12"/>
      <c r="M39" s="12"/>
      <c r="N39" s="12"/>
      <c r="O39" s="12"/>
      <c r="P39" s="12"/>
      <c r="Q39" s="63" t="s">
        <v>2334</v>
      </c>
      <c r="R39" s="390"/>
      <c r="S39" s="63"/>
      <c r="T39" s="63"/>
      <c r="U39" s="63"/>
      <c r="V39" s="63"/>
      <c r="W39" s="63"/>
      <c r="X39" s="63"/>
      <c r="Y39" s="63"/>
      <c r="Z39" s="63"/>
      <c r="AA39" s="63"/>
      <c r="AB39" s="63"/>
      <c r="AC39" s="63"/>
      <c r="AD39" s="63"/>
      <c r="AE39" s="63"/>
      <c r="AF39" s="63"/>
      <c r="AG39" s="63"/>
      <c r="AH39" s="63"/>
      <c r="AI39" s="63"/>
      <c r="AJ39" s="63"/>
      <c r="AK39" s="63"/>
      <c r="AL39" s="63"/>
      <c r="AM39" s="63"/>
      <c r="AN39" s="63"/>
      <c r="AO39" s="47"/>
      <c r="AP39" s="50"/>
      <c r="AQ39" s="50"/>
      <c r="AR39" s="50"/>
      <c r="AS39" s="50"/>
      <c r="AT39" s="52"/>
      <c r="AU39" s="52"/>
      <c r="AV39" s="52"/>
      <c r="AW39" s="52"/>
      <c r="AX39" s="52"/>
      <c r="AY39" s="52"/>
      <c r="AZ39" s="52"/>
      <c r="BA39" s="52"/>
      <c r="BB39" s="52"/>
      <c r="BC39" s="52"/>
      <c r="BD39" s="52"/>
      <c r="BE39" s="52"/>
    </row>
    <row r="40" spans="1:57">
      <c r="A40" s="479" t="s">
        <v>765</v>
      </c>
      <c r="B40" s="479"/>
      <c r="C40" s="46"/>
      <c r="D40" s="46"/>
      <c r="E40" s="46"/>
      <c r="F40" s="46"/>
      <c r="G40" s="46"/>
      <c r="H40" s="46"/>
      <c r="I40" s="46"/>
      <c r="J40" s="12"/>
      <c r="K40" s="12"/>
      <c r="L40" s="12"/>
      <c r="M40" s="12"/>
      <c r="N40" s="12"/>
      <c r="O40" s="12"/>
      <c r="P40" s="12"/>
      <c r="Q40" s="63"/>
      <c r="R40" s="201"/>
      <c r="S40" s="47"/>
      <c r="T40" s="47"/>
      <c r="U40" s="47"/>
      <c r="V40" s="47"/>
      <c r="W40" s="47"/>
      <c r="X40" s="47"/>
      <c r="Y40" s="47"/>
      <c r="Z40" s="47"/>
      <c r="AA40" s="47"/>
      <c r="AB40" s="47"/>
      <c r="AC40" s="47"/>
      <c r="AD40" s="47"/>
      <c r="AE40" s="47"/>
      <c r="AF40" s="47"/>
      <c r="AG40" s="47"/>
      <c r="AH40" s="47"/>
      <c r="AI40" s="47"/>
      <c r="AJ40" s="47"/>
      <c r="AK40" s="47"/>
      <c r="AL40" s="47"/>
      <c r="AM40" s="47"/>
      <c r="AN40" s="47"/>
      <c r="AO40" s="47"/>
      <c r="AP40" s="50"/>
      <c r="AQ40" s="50"/>
      <c r="AR40" s="50"/>
      <c r="AS40" s="50"/>
      <c r="AT40" s="52"/>
      <c r="AU40" s="52"/>
      <c r="AV40" s="52"/>
      <c r="AW40" s="52"/>
      <c r="AX40" s="52"/>
      <c r="AY40" s="52"/>
      <c r="AZ40" s="52"/>
      <c r="BA40" s="52"/>
      <c r="BB40" s="52"/>
      <c r="BC40" s="52"/>
      <c r="BD40" s="52"/>
      <c r="BE40" s="52"/>
    </row>
    <row r="41" spans="1:57">
      <c r="A41" s="46" t="s">
        <v>766</v>
      </c>
      <c r="B41" s="46">
        <v>0.70921031212517005</v>
      </c>
      <c r="C41" s="46"/>
      <c r="D41" s="46"/>
      <c r="E41" s="46"/>
      <c r="F41" s="46"/>
      <c r="G41" s="46"/>
      <c r="H41" s="46"/>
      <c r="I41" s="46"/>
      <c r="J41" s="12"/>
      <c r="K41" s="12"/>
      <c r="L41" s="12"/>
      <c r="M41" s="12"/>
      <c r="N41" s="12"/>
      <c r="O41" s="12"/>
      <c r="P41" s="12"/>
      <c r="Q41" s="64" t="s">
        <v>2335</v>
      </c>
      <c r="R41" s="3"/>
      <c r="S41" s="47"/>
      <c r="T41" s="47"/>
      <c r="U41" s="47"/>
      <c r="V41" s="47"/>
      <c r="W41" s="47"/>
      <c r="X41" s="47"/>
      <c r="Y41" s="47"/>
      <c r="Z41" s="47"/>
      <c r="AA41" s="47"/>
      <c r="AB41" s="47"/>
      <c r="AC41" s="47"/>
      <c r="AD41" s="47"/>
      <c r="AE41" s="47"/>
      <c r="AF41" s="47"/>
      <c r="AG41" s="47"/>
      <c r="AH41" s="47"/>
      <c r="AI41" s="47"/>
      <c r="AJ41" s="47"/>
      <c r="AK41" s="47"/>
      <c r="AL41" s="47"/>
      <c r="AM41" s="47"/>
      <c r="AN41" s="47"/>
      <c r="AO41" s="47"/>
      <c r="AP41" s="50"/>
      <c r="AQ41" s="50"/>
      <c r="AR41" s="50"/>
      <c r="AS41" s="50"/>
      <c r="AT41" s="52"/>
      <c r="AU41" s="52"/>
      <c r="AV41" s="52"/>
      <c r="AW41" s="52"/>
      <c r="AX41" s="52"/>
      <c r="AY41" s="52"/>
      <c r="AZ41" s="52"/>
      <c r="BA41" s="52"/>
      <c r="BB41" s="52"/>
      <c r="BC41" s="52"/>
      <c r="BD41" s="52"/>
      <c r="BE41" s="52"/>
    </row>
    <row r="42" spans="1:57">
      <c r="A42" s="46" t="s">
        <v>767</v>
      </c>
      <c r="B42" s="46">
        <v>0.50297926682468119</v>
      </c>
      <c r="C42" s="46"/>
      <c r="D42" s="46"/>
      <c r="E42" s="46"/>
      <c r="F42" s="46"/>
      <c r="G42" s="46"/>
      <c r="H42" s="46"/>
      <c r="I42" s="46"/>
      <c r="J42" s="12"/>
      <c r="K42" s="12"/>
      <c r="L42" s="12"/>
      <c r="M42" s="12"/>
      <c r="N42" s="12"/>
      <c r="O42" s="12"/>
      <c r="P42" s="12"/>
      <c r="Q42" s="63"/>
      <c r="R42" s="198"/>
      <c r="S42" s="47"/>
      <c r="T42" s="47"/>
      <c r="U42" s="47"/>
      <c r="V42" s="47"/>
      <c r="W42" s="47"/>
      <c r="X42" s="47"/>
      <c r="Y42" s="47"/>
      <c r="Z42" s="47"/>
      <c r="AA42" s="47"/>
      <c r="AB42" s="47"/>
      <c r="AC42" s="47"/>
      <c r="AD42" s="47"/>
      <c r="AE42" s="47"/>
      <c r="AF42" s="47"/>
      <c r="AG42" s="47"/>
      <c r="AH42" s="47"/>
      <c r="AI42" s="47"/>
      <c r="AJ42" s="47"/>
      <c r="AK42" s="47"/>
      <c r="AL42" s="47"/>
      <c r="AM42" s="47"/>
      <c r="AN42" s="47"/>
      <c r="AO42" s="47"/>
      <c r="AP42" s="50"/>
      <c r="AQ42" s="50"/>
      <c r="AR42" s="50"/>
      <c r="AS42" s="50"/>
      <c r="AT42" s="52"/>
      <c r="AU42" s="52"/>
      <c r="AV42" s="52"/>
      <c r="AW42" s="52"/>
      <c r="AX42" s="52"/>
      <c r="AY42" s="52"/>
      <c r="AZ42" s="52"/>
      <c r="BA42" s="52"/>
      <c r="BB42" s="52"/>
      <c r="BC42" s="52"/>
      <c r="BD42" s="52"/>
      <c r="BE42" s="52"/>
    </row>
    <row r="43" spans="1:57">
      <c r="A43" s="46" t="s">
        <v>768</v>
      </c>
      <c r="B43" s="46">
        <v>0.43197630494249278</v>
      </c>
      <c r="C43" s="46"/>
      <c r="D43" s="46"/>
      <c r="E43" s="46"/>
      <c r="F43" s="46"/>
      <c r="G43" s="46"/>
      <c r="H43" s="46"/>
      <c r="I43" s="46"/>
      <c r="J43" s="12"/>
      <c r="K43" s="12"/>
      <c r="L43" s="12"/>
      <c r="M43" s="12"/>
      <c r="N43" s="12"/>
      <c r="O43" s="12"/>
      <c r="P43" s="12"/>
      <c r="Q43" s="64" t="s">
        <v>2336</v>
      </c>
      <c r="R43" s="3"/>
      <c r="S43" s="47"/>
      <c r="T43" s="47"/>
      <c r="U43" s="47"/>
      <c r="V43" s="47"/>
      <c r="W43" s="47"/>
      <c r="X43" s="47"/>
      <c r="Y43" s="47"/>
      <c r="Z43" s="47"/>
      <c r="AA43" s="47"/>
      <c r="AB43" s="47"/>
      <c r="AC43" s="47"/>
      <c r="AD43" s="47"/>
      <c r="AE43" s="47"/>
      <c r="AF43" s="47"/>
      <c r="AG43" s="47"/>
      <c r="AH43" s="47"/>
      <c r="AI43" s="47"/>
      <c r="AJ43" s="47"/>
      <c r="AK43" s="47"/>
      <c r="AL43" s="47"/>
      <c r="AM43" s="47"/>
      <c r="AN43" s="47"/>
      <c r="AO43" s="47"/>
      <c r="AP43" s="50"/>
      <c r="AQ43" s="50"/>
      <c r="AR43" s="50"/>
      <c r="AS43" s="50"/>
      <c r="AT43" s="52"/>
      <c r="AU43" s="52"/>
      <c r="AV43" s="52"/>
      <c r="AW43" s="52"/>
      <c r="AX43" s="52"/>
      <c r="AY43" s="52"/>
      <c r="AZ43" s="52"/>
      <c r="BA43" s="52"/>
      <c r="BB43" s="52"/>
      <c r="BC43" s="52"/>
      <c r="BD43" s="52"/>
      <c r="BE43" s="52"/>
    </row>
    <row r="44" spans="1:57">
      <c r="A44" s="46" t="s">
        <v>769</v>
      </c>
      <c r="B44" s="46">
        <v>12.460962579927729</v>
      </c>
      <c r="C44" s="46"/>
      <c r="D44" s="46"/>
      <c r="E44" s="46"/>
      <c r="F44" s="46"/>
      <c r="G44" s="46"/>
      <c r="H44" s="46"/>
      <c r="I44" s="46"/>
      <c r="J44" s="12"/>
      <c r="K44" s="12"/>
      <c r="L44" s="12"/>
      <c r="M44" s="12"/>
      <c r="N44" s="12"/>
      <c r="O44" s="12"/>
      <c r="P44" s="12"/>
      <c r="Q44" s="198"/>
      <c r="R44" s="198"/>
      <c r="S44" s="198"/>
      <c r="T44" s="47"/>
      <c r="U44" s="47"/>
      <c r="V44" s="47"/>
      <c r="W44" s="47"/>
      <c r="X44" s="47"/>
      <c r="Y44" s="47"/>
      <c r="Z44" s="47"/>
      <c r="AA44" s="47"/>
      <c r="AB44" s="47"/>
      <c r="AC44" s="47"/>
      <c r="AD44" s="47"/>
      <c r="AE44" s="47"/>
      <c r="AF44" s="47"/>
      <c r="AG44" s="47"/>
      <c r="AH44" s="47"/>
      <c r="AI44" s="47"/>
      <c r="AJ44" s="47"/>
      <c r="AK44" s="47"/>
      <c r="AL44" s="47"/>
      <c r="AM44" s="47"/>
      <c r="AN44" s="47"/>
      <c r="AO44" s="47"/>
      <c r="AP44" s="50"/>
      <c r="AQ44" s="50"/>
      <c r="AR44" s="50"/>
      <c r="AS44" s="50"/>
      <c r="AT44" s="52"/>
      <c r="AU44" s="52"/>
      <c r="AV44" s="52"/>
      <c r="AW44" s="52"/>
      <c r="AX44" s="52"/>
      <c r="AY44" s="52"/>
      <c r="AZ44" s="52"/>
      <c r="BA44" s="52"/>
      <c r="BB44" s="52"/>
      <c r="BC44" s="52"/>
      <c r="BD44" s="52"/>
      <c r="BE44" s="52"/>
    </row>
    <row r="45" spans="1:57" ht="14.5" thickBot="1">
      <c r="A45" s="480" t="s">
        <v>770</v>
      </c>
      <c r="B45" s="480">
        <v>9</v>
      </c>
      <c r="C45" s="46"/>
      <c r="D45" s="46"/>
      <c r="E45" s="46"/>
      <c r="F45" s="46"/>
      <c r="G45" s="46"/>
      <c r="H45" s="46"/>
      <c r="I45" s="46"/>
      <c r="J45" s="12"/>
      <c r="K45" s="12"/>
      <c r="L45" s="12"/>
      <c r="M45" s="12"/>
      <c r="N45" s="12"/>
      <c r="O45" s="12"/>
      <c r="P45" s="12"/>
      <c r="Q45" s="198"/>
      <c r="R45" s="198"/>
      <c r="S45" s="198"/>
      <c r="T45" s="47"/>
      <c r="U45" s="47"/>
      <c r="V45" s="47"/>
      <c r="W45" s="47"/>
      <c r="X45" s="47"/>
      <c r="Y45" s="47"/>
      <c r="Z45" s="47"/>
      <c r="AA45" s="47"/>
      <c r="AB45" s="47"/>
      <c r="AC45" s="47"/>
      <c r="AD45" s="47"/>
      <c r="AE45" s="47"/>
      <c r="AF45" s="47"/>
      <c r="AG45" s="47"/>
      <c r="AH45" s="47"/>
      <c r="AI45" s="47"/>
      <c r="AJ45" s="47"/>
      <c r="AK45" s="47"/>
      <c r="AL45" s="47"/>
      <c r="AM45" s="47"/>
      <c r="AN45" s="47"/>
      <c r="AO45" s="47"/>
      <c r="AP45" s="50"/>
      <c r="AQ45" s="50"/>
      <c r="AR45" s="50"/>
      <c r="AS45" s="50"/>
      <c r="AT45" s="52"/>
      <c r="AU45" s="52"/>
      <c r="AV45" s="52"/>
      <c r="AW45" s="52"/>
      <c r="AX45" s="52"/>
      <c r="AY45" s="52"/>
      <c r="AZ45" s="52"/>
      <c r="BA45" s="52"/>
      <c r="BB45" s="52"/>
      <c r="BC45" s="52"/>
      <c r="BD45" s="52"/>
      <c r="BE45" s="52"/>
    </row>
    <row r="46" spans="1:57">
      <c r="A46" s="46"/>
      <c r="B46" s="46"/>
      <c r="C46" s="46"/>
      <c r="D46" s="46"/>
      <c r="E46" s="46"/>
      <c r="F46" s="46"/>
      <c r="G46" s="46"/>
      <c r="H46" s="46"/>
      <c r="I46" s="46"/>
      <c r="J46" s="12"/>
      <c r="K46" s="12"/>
      <c r="L46" s="12"/>
      <c r="M46" s="12"/>
      <c r="N46" s="12"/>
      <c r="O46" s="12"/>
      <c r="P46" s="12"/>
      <c r="Q46" s="198"/>
      <c r="R46" s="198"/>
      <c r="S46" s="198"/>
      <c r="T46" s="47"/>
      <c r="U46" s="47"/>
      <c r="V46" s="47"/>
      <c r="W46" s="47"/>
      <c r="X46" s="47"/>
      <c r="Y46" s="47"/>
      <c r="Z46" s="47"/>
      <c r="AA46" s="47"/>
      <c r="AB46" s="47"/>
      <c r="AC46" s="47"/>
      <c r="AD46" s="47"/>
      <c r="AE46" s="47"/>
      <c r="AF46" s="47"/>
      <c r="AG46" s="47"/>
      <c r="AH46" s="47"/>
      <c r="AI46" s="47"/>
      <c r="AJ46" s="47"/>
      <c r="AK46" s="47"/>
      <c r="AL46" s="47"/>
      <c r="AM46" s="47"/>
      <c r="AN46" s="47"/>
      <c r="AO46" s="47"/>
      <c r="AP46" s="50"/>
      <c r="AQ46" s="50"/>
      <c r="AR46" s="50"/>
      <c r="AS46" s="50"/>
      <c r="AT46" s="52"/>
      <c r="AU46" s="52"/>
      <c r="AV46" s="52"/>
      <c r="AW46" s="52"/>
      <c r="AX46" s="52"/>
      <c r="AY46" s="52"/>
      <c r="AZ46" s="52"/>
      <c r="BA46" s="52"/>
      <c r="BB46" s="52"/>
      <c r="BC46" s="52"/>
      <c r="BD46" s="52"/>
      <c r="BE46" s="52"/>
    </row>
    <row r="47" spans="1:57" ht="14.5" thickBot="1">
      <c r="A47" s="46" t="s">
        <v>771</v>
      </c>
      <c r="B47" s="46"/>
      <c r="C47" s="46"/>
      <c r="D47" s="46"/>
      <c r="E47" s="46"/>
      <c r="F47" s="46"/>
      <c r="G47" s="46"/>
      <c r="H47" s="46"/>
      <c r="I47" s="46"/>
      <c r="J47" s="12"/>
      <c r="K47" s="12"/>
      <c r="L47" s="12"/>
      <c r="M47" s="12"/>
      <c r="N47" s="12"/>
      <c r="O47" s="12"/>
      <c r="P47" s="12"/>
      <c r="Q47" s="198"/>
      <c r="R47" s="198"/>
      <c r="S47" s="198"/>
      <c r="T47" s="47"/>
      <c r="U47" s="47"/>
      <c r="V47" s="47"/>
      <c r="W47" s="47"/>
      <c r="X47" s="47"/>
      <c r="Y47" s="47"/>
      <c r="Z47" s="47"/>
      <c r="AA47" s="47"/>
      <c r="AB47" s="47"/>
      <c r="AC47" s="47"/>
      <c r="AD47" s="47"/>
      <c r="AE47" s="47"/>
      <c r="AF47" s="47"/>
      <c r="AG47" s="47"/>
      <c r="AH47" s="47"/>
      <c r="AI47" s="47"/>
      <c r="AJ47" s="47"/>
      <c r="AK47" s="47"/>
      <c r="AL47" s="47"/>
      <c r="AM47" s="47"/>
      <c r="AN47" s="47"/>
      <c r="AO47" s="47"/>
      <c r="AP47" s="50"/>
      <c r="AQ47" s="50"/>
      <c r="AR47" s="50"/>
      <c r="AS47" s="50"/>
      <c r="AT47" s="52"/>
      <c r="AU47" s="52"/>
      <c r="AV47" s="52"/>
      <c r="AW47" s="52"/>
      <c r="AX47" s="52"/>
      <c r="AY47" s="52"/>
      <c r="AZ47" s="52"/>
      <c r="BA47" s="52"/>
      <c r="BB47" s="52"/>
      <c r="BC47" s="52"/>
      <c r="BD47" s="52"/>
      <c r="BE47" s="52"/>
    </row>
    <row r="48" spans="1:57">
      <c r="A48" s="481"/>
      <c r="B48" s="481" t="s">
        <v>775</v>
      </c>
      <c r="C48" s="481" t="s">
        <v>776</v>
      </c>
      <c r="D48" s="481" t="s">
        <v>777</v>
      </c>
      <c r="E48" s="481" t="s">
        <v>778</v>
      </c>
      <c r="F48" s="481" t="s">
        <v>779</v>
      </c>
      <c r="G48" s="46"/>
      <c r="H48" s="46"/>
      <c r="I48" s="46"/>
      <c r="J48" s="12"/>
      <c r="K48" s="12"/>
      <c r="L48" s="12"/>
      <c r="M48" s="12"/>
      <c r="N48" s="12"/>
      <c r="O48" s="12"/>
      <c r="P48" s="12"/>
      <c r="Q48" s="198"/>
      <c r="R48" s="198"/>
      <c r="S48" s="198"/>
      <c r="T48" s="47"/>
      <c r="U48" s="47"/>
      <c r="V48" s="47"/>
      <c r="W48" s="47"/>
      <c r="X48" s="47"/>
      <c r="Y48" s="47"/>
      <c r="Z48" s="47"/>
      <c r="AA48" s="47"/>
      <c r="AB48" s="47"/>
      <c r="AC48" s="47"/>
      <c r="AD48" s="47"/>
      <c r="AE48" s="47"/>
      <c r="AF48" s="47"/>
      <c r="AG48" s="47"/>
      <c r="AH48" s="47"/>
      <c r="AI48" s="47"/>
      <c r="AJ48" s="47"/>
      <c r="AK48" s="47"/>
      <c r="AL48" s="47"/>
      <c r="AM48" s="47"/>
      <c r="AN48" s="47"/>
      <c r="AO48" s="47"/>
      <c r="AP48" s="50"/>
      <c r="AQ48" s="50"/>
      <c r="AR48" s="50"/>
      <c r="AS48" s="50"/>
      <c r="AT48" s="52"/>
      <c r="AU48" s="52"/>
      <c r="AV48" s="52"/>
      <c r="AW48" s="52"/>
      <c r="AX48" s="52"/>
      <c r="AY48" s="52"/>
      <c r="AZ48" s="52"/>
      <c r="BA48" s="52"/>
      <c r="BB48" s="52"/>
      <c r="BC48" s="52"/>
      <c r="BD48" s="52"/>
      <c r="BE48" s="52"/>
    </row>
    <row r="49" spans="1:57">
      <c r="A49" s="46" t="s">
        <v>772</v>
      </c>
      <c r="B49" s="46">
        <v>1</v>
      </c>
      <c r="C49" s="46">
        <v>1099.9597699603748</v>
      </c>
      <c r="D49" s="46">
        <v>1099.9597699603748</v>
      </c>
      <c r="E49" s="46">
        <v>7.0839195083051463</v>
      </c>
      <c r="F49" s="46">
        <v>3.2393585659699353E-2</v>
      </c>
      <c r="G49" s="46"/>
      <c r="H49" s="46"/>
      <c r="I49" s="46"/>
      <c r="J49" s="12"/>
      <c r="K49" s="12"/>
      <c r="L49" s="12"/>
      <c r="M49" s="12"/>
      <c r="N49" s="12"/>
      <c r="O49" s="12"/>
      <c r="P49" s="12"/>
      <c r="Q49" s="3"/>
      <c r="R49" s="3"/>
      <c r="S49" s="47"/>
      <c r="T49" s="47"/>
      <c r="U49" s="47"/>
      <c r="V49" s="47"/>
      <c r="W49" s="47"/>
      <c r="X49" s="47"/>
      <c r="Y49" s="47"/>
      <c r="Z49" s="47"/>
      <c r="AA49" s="47"/>
      <c r="AB49" s="47"/>
      <c r="AC49" s="47"/>
      <c r="AD49" s="47"/>
      <c r="AE49" s="47"/>
      <c r="AF49" s="47"/>
      <c r="AG49" s="47"/>
      <c r="AH49" s="47"/>
      <c r="AI49" s="47"/>
      <c r="AJ49" s="47"/>
      <c r="AK49" s="47"/>
      <c r="AL49" s="47"/>
      <c r="AM49" s="47"/>
      <c r="AN49" s="47"/>
      <c r="AO49" s="47"/>
      <c r="AP49" s="50"/>
      <c r="AQ49" s="50"/>
      <c r="AR49" s="50"/>
      <c r="AS49" s="50"/>
      <c r="AT49" s="52"/>
      <c r="AU49" s="52"/>
      <c r="AV49" s="52"/>
      <c r="AW49" s="52"/>
      <c r="AX49" s="52"/>
      <c r="AY49" s="52"/>
      <c r="AZ49" s="52"/>
      <c r="BA49" s="52"/>
      <c r="BB49" s="52"/>
      <c r="BC49" s="52"/>
      <c r="BD49" s="52"/>
      <c r="BE49" s="52"/>
    </row>
    <row r="50" spans="1:57">
      <c r="A50" s="46" t="s">
        <v>773</v>
      </c>
      <c r="B50" s="46">
        <v>7</v>
      </c>
      <c r="C50" s="46">
        <v>1086.9291189285138</v>
      </c>
      <c r="D50" s="46">
        <v>155.27558841835912</v>
      </c>
      <c r="E50" s="46"/>
      <c r="F50" s="46"/>
      <c r="G50" s="46"/>
      <c r="H50" s="46"/>
      <c r="I50" s="46"/>
      <c r="J50" s="12"/>
      <c r="K50" s="12"/>
      <c r="L50" s="12"/>
      <c r="M50" s="12"/>
      <c r="N50" s="12"/>
      <c r="O50" s="12"/>
      <c r="P50" s="12"/>
      <c r="Q50" s="3"/>
      <c r="R50" s="3"/>
      <c r="S50" s="47"/>
      <c r="T50" s="47"/>
      <c r="U50" s="47"/>
      <c r="V50" s="47"/>
      <c r="W50" s="47"/>
      <c r="X50" s="47"/>
      <c r="Y50" s="47"/>
      <c r="Z50" s="47"/>
      <c r="AA50" s="47"/>
      <c r="AB50" s="47"/>
      <c r="AC50" s="47"/>
      <c r="AD50" s="47"/>
      <c r="AE50" s="47"/>
      <c r="AF50" s="47"/>
      <c r="AG50" s="47"/>
      <c r="AH50" s="47"/>
      <c r="AI50" s="47"/>
      <c r="AJ50" s="47"/>
      <c r="AK50" s="47"/>
      <c r="AL50" s="47"/>
      <c r="AM50" s="47"/>
      <c r="AN50" s="47"/>
      <c r="AO50" s="47"/>
      <c r="AP50" s="50"/>
      <c r="AQ50" s="50"/>
      <c r="AR50" s="50"/>
      <c r="AS50" s="50"/>
      <c r="AT50" s="52"/>
      <c r="AU50" s="52"/>
      <c r="AV50" s="52"/>
      <c r="AW50" s="52"/>
      <c r="AX50" s="52"/>
      <c r="AY50" s="52"/>
      <c r="AZ50" s="52"/>
      <c r="BA50" s="52"/>
      <c r="BB50" s="52"/>
      <c r="BC50" s="52"/>
      <c r="BD50" s="52"/>
      <c r="BE50" s="52"/>
    </row>
    <row r="51" spans="1:57" ht="14.5" thickBot="1">
      <c r="A51" s="480" t="s">
        <v>273</v>
      </c>
      <c r="B51" s="480">
        <v>8</v>
      </c>
      <c r="C51" s="480">
        <v>2186.8888888888887</v>
      </c>
      <c r="D51" s="480"/>
      <c r="E51" s="480"/>
      <c r="F51" s="480"/>
      <c r="G51" s="46"/>
      <c r="H51" s="46"/>
      <c r="I51" s="46"/>
      <c r="J51" s="12"/>
      <c r="K51" s="12"/>
      <c r="L51" s="12"/>
      <c r="M51" s="12"/>
      <c r="N51" s="12"/>
      <c r="O51" s="12"/>
      <c r="P51" s="12"/>
      <c r="Q51" s="198"/>
      <c r="R51" s="198"/>
      <c r="S51" s="47"/>
      <c r="T51" s="47"/>
      <c r="U51" s="47"/>
      <c r="V51" s="47"/>
      <c r="W51" s="47"/>
      <c r="X51" s="47"/>
      <c r="Y51" s="47"/>
      <c r="Z51" s="47"/>
      <c r="AA51" s="47"/>
      <c r="AB51" s="47"/>
      <c r="AC51" s="47"/>
      <c r="AD51" s="47"/>
      <c r="AE51" s="47"/>
      <c r="AF51" s="47"/>
      <c r="AG51" s="47"/>
      <c r="AH51" s="47"/>
      <c r="AI51" s="47"/>
      <c r="AJ51" s="47"/>
      <c r="AK51" s="47"/>
      <c r="AL51" s="47"/>
      <c r="AM51" s="47"/>
      <c r="AN51" s="47"/>
      <c r="AO51" s="47"/>
      <c r="AP51" s="50"/>
      <c r="AQ51" s="50"/>
      <c r="AR51" s="50"/>
      <c r="AS51" s="50"/>
      <c r="AT51" s="52"/>
      <c r="AU51" s="52"/>
      <c r="AV51" s="52"/>
      <c r="AW51" s="52"/>
      <c r="AX51" s="52"/>
      <c r="AY51" s="52"/>
      <c r="AZ51" s="52"/>
      <c r="BA51" s="52"/>
      <c r="BB51" s="52"/>
      <c r="BC51" s="52"/>
      <c r="BD51" s="52"/>
      <c r="BE51" s="52"/>
    </row>
    <row r="52" spans="1:57" ht="14.5" thickBot="1">
      <c r="A52" s="46"/>
      <c r="B52" s="46"/>
      <c r="C52" s="46"/>
      <c r="D52" s="46"/>
      <c r="E52" s="46"/>
      <c r="F52" s="46"/>
      <c r="G52" s="46"/>
      <c r="H52" s="46"/>
      <c r="I52" s="46"/>
      <c r="J52" s="12"/>
      <c r="K52" s="12"/>
      <c r="L52" s="12"/>
      <c r="M52" s="12"/>
      <c r="N52" s="12"/>
      <c r="O52" s="12"/>
      <c r="P52" s="12"/>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57"/>
      <c r="AQ52" s="57"/>
      <c r="AR52" s="57"/>
      <c r="AS52" s="57"/>
      <c r="AT52" s="52"/>
      <c r="AU52" s="52"/>
      <c r="AV52" s="52"/>
      <c r="AW52" s="52"/>
      <c r="AX52" s="52"/>
      <c r="AY52" s="52"/>
      <c r="AZ52" s="52"/>
      <c r="BA52" s="52"/>
      <c r="BB52" s="52"/>
      <c r="BC52" s="52"/>
      <c r="BD52" s="52"/>
      <c r="BE52" s="52"/>
    </row>
    <row r="53" spans="1:57">
      <c r="A53" s="481"/>
      <c r="B53" s="481" t="s">
        <v>780</v>
      </c>
      <c r="C53" s="481" t="s">
        <v>769</v>
      </c>
      <c r="D53" s="481" t="s">
        <v>781</v>
      </c>
      <c r="E53" s="481" t="s">
        <v>782</v>
      </c>
      <c r="F53" s="481" t="s">
        <v>783</v>
      </c>
      <c r="G53" s="481" t="s">
        <v>784</v>
      </c>
      <c r="H53" s="481" t="s">
        <v>785</v>
      </c>
      <c r="I53" s="481" t="s">
        <v>786</v>
      </c>
      <c r="J53" s="12"/>
      <c r="K53" s="12"/>
      <c r="L53" s="12"/>
      <c r="M53" s="12"/>
      <c r="N53" s="12"/>
      <c r="O53" s="12"/>
      <c r="P53" s="12"/>
      <c r="Q53" s="3"/>
      <c r="R53" s="3"/>
      <c r="S53" s="47"/>
      <c r="T53" s="47"/>
      <c r="U53" s="47"/>
      <c r="V53" s="47"/>
      <c r="W53" s="47"/>
      <c r="X53" s="47"/>
      <c r="Y53" s="47"/>
      <c r="Z53" s="47"/>
      <c r="AA53" s="198"/>
      <c r="AB53" s="198"/>
      <c r="AC53" s="198"/>
      <c r="AD53" s="198"/>
      <c r="AE53" s="198"/>
      <c r="AF53" s="198"/>
      <c r="AG53" s="198"/>
      <c r="AH53" s="198"/>
      <c r="AI53" s="198"/>
      <c r="AJ53" s="198"/>
      <c r="AK53" s="198"/>
      <c r="AL53" s="198"/>
      <c r="AM53" s="198"/>
      <c r="AN53" s="198"/>
      <c r="AO53" s="198"/>
      <c r="AP53" s="57"/>
      <c r="AQ53" s="57"/>
      <c r="AR53" s="57"/>
      <c r="AS53" s="57"/>
      <c r="AT53" s="52"/>
      <c r="AU53" s="52"/>
      <c r="AV53" s="52"/>
      <c r="AW53" s="52"/>
      <c r="AX53" s="52"/>
      <c r="AY53" s="52"/>
      <c r="AZ53" s="52"/>
      <c r="BA53" s="52"/>
      <c r="BB53" s="52"/>
      <c r="BC53" s="52"/>
      <c r="BD53" s="52"/>
      <c r="BE53" s="52"/>
    </row>
    <row r="54" spans="1:57">
      <c r="A54" s="46" t="s">
        <v>774</v>
      </c>
      <c r="B54" s="46">
        <v>166.79623204776507</v>
      </c>
      <c r="C54" s="46">
        <v>12.254399678790774</v>
      </c>
      <c r="D54" s="46">
        <v>13.611130403755853</v>
      </c>
      <c r="E54" s="46">
        <v>2.7188561195300432E-6</v>
      </c>
      <c r="F54" s="46">
        <v>137.81918137858557</v>
      </c>
      <c r="G54" s="46">
        <v>195.77328271694458</v>
      </c>
      <c r="H54" s="46">
        <v>137.81918137858557</v>
      </c>
      <c r="I54" s="46">
        <v>195.77328271694458</v>
      </c>
      <c r="J54" s="12"/>
      <c r="K54" s="12"/>
      <c r="L54" s="12"/>
      <c r="M54" s="12"/>
      <c r="N54" s="12"/>
      <c r="O54" s="12"/>
      <c r="P54" s="12"/>
      <c r="Q54" s="3"/>
      <c r="R54" s="3"/>
      <c r="S54" s="47"/>
      <c r="T54" s="47"/>
      <c r="U54" s="47"/>
      <c r="V54" s="47"/>
      <c r="W54" s="47"/>
      <c r="X54" s="47"/>
      <c r="Y54" s="47"/>
      <c r="Z54" s="47"/>
      <c r="AA54" s="198"/>
      <c r="AB54" s="198"/>
      <c r="AC54" s="198"/>
      <c r="AD54" s="198"/>
      <c r="AE54" s="198"/>
      <c r="AF54" s="198"/>
      <c r="AG54" s="198"/>
      <c r="AH54" s="198"/>
      <c r="AI54" s="198"/>
      <c r="AJ54" s="198"/>
      <c r="AK54" s="198"/>
      <c r="AL54" s="198"/>
      <c r="AM54" s="198"/>
      <c r="AN54" s="198"/>
      <c r="AO54" s="198"/>
      <c r="AP54" s="57"/>
      <c r="AQ54" s="57"/>
      <c r="AR54" s="57"/>
      <c r="AS54" s="57"/>
      <c r="AT54" s="52"/>
      <c r="AU54" s="52"/>
      <c r="AV54" s="52"/>
      <c r="AW54" s="52"/>
      <c r="AX54" s="52"/>
      <c r="AY54" s="52"/>
      <c r="AZ54" s="52"/>
      <c r="BA54" s="52"/>
      <c r="BB54" s="52"/>
      <c r="BC54" s="52"/>
      <c r="BD54" s="52"/>
      <c r="BE54" s="52"/>
    </row>
    <row r="55" spans="1:57" ht="14.5" thickBot="1">
      <c r="A55" s="480">
        <v>3.2000000000000001E-2</v>
      </c>
      <c r="B55" s="480">
        <v>-631.95901242536729</v>
      </c>
      <c r="C55" s="480">
        <v>237.43902640572452</v>
      </c>
      <c r="D55" s="480">
        <v>-2.6615633579355475</v>
      </c>
      <c r="E55" s="480">
        <v>3.2393585659699325E-2</v>
      </c>
      <c r="F55" s="480">
        <v>-1193.4130925389231</v>
      </c>
      <c r="G55" s="480">
        <v>-70.504932311811444</v>
      </c>
      <c r="H55" s="480">
        <v>-1193.4130925389231</v>
      </c>
      <c r="I55" s="480">
        <v>-70.504932311811444</v>
      </c>
      <c r="J55" s="12"/>
      <c r="K55" s="12"/>
      <c r="L55" s="12"/>
      <c r="M55" s="12"/>
      <c r="N55" s="12"/>
      <c r="O55" s="12"/>
      <c r="P55" s="12"/>
      <c r="Q55" s="3"/>
      <c r="R55" s="3"/>
      <c r="S55" s="47"/>
      <c r="T55" s="47"/>
      <c r="U55" s="47"/>
      <c r="V55" s="47"/>
      <c r="W55" s="47"/>
      <c r="X55" s="47"/>
      <c r="Y55" s="47"/>
      <c r="Z55" s="47"/>
      <c r="AA55" s="198"/>
      <c r="AB55" s="198"/>
      <c r="AC55" s="198"/>
      <c r="AD55" s="198"/>
      <c r="AE55" s="198"/>
      <c r="AF55" s="198"/>
      <c r="AG55" s="198"/>
      <c r="AH55" s="198"/>
      <c r="AI55" s="198"/>
      <c r="AJ55" s="198"/>
      <c r="AK55" s="198"/>
      <c r="AL55" s="198"/>
      <c r="AM55" s="198"/>
      <c r="AN55" s="198"/>
      <c r="AO55" s="198"/>
      <c r="AP55" s="57"/>
      <c r="AQ55" s="57"/>
      <c r="AR55" s="57"/>
      <c r="AS55" s="57"/>
      <c r="AT55" s="52"/>
      <c r="AU55" s="52"/>
      <c r="AV55" s="52"/>
      <c r="AW55" s="52"/>
      <c r="AX55" s="52"/>
      <c r="AY55" s="52"/>
      <c r="AZ55" s="52"/>
      <c r="BA55" s="52"/>
      <c r="BB55" s="52"/>
      <c r="BC55" s="52"/>
      <c r="BD55" s="52"/>
      <c r="BE55" s="52"/>
    </row>
    <row r="56" spans="1:57">
      <c r="A56" s="46"/>
      <c r="B56" s="46"/>
      <c r="C56" s="46"/>
      <c r="D56" s="46"/>
      <c r="E56" s="46"/>
      <c r="F56" s="46"/>
      <c r="G56" s="46"/>
      <c r="H56" s="46"/>
      <c r="I56" s="46"/>
      <c r="J56" s="12"/>
      <c r="K56" s="12"/>
      <c r="L56" s="12"/>
      <c r="M56" s="12"/>
      <c r="N56" s="12"/>
      <c r="O56" s="12"/>
      <c r="P56" s="12"/>
      <c r="Q56" s="3"/>
      <c r="R56" s="3"/>
      <c r="S56" s="47"/>
      <c r="T56" s="47"/>
      <c r="U56" s="47"/>
      <c r="V56" s="47"/>
      <c r="W56" s="47"/>
      <c r="X56" s="47"/>
      <c r="Y56" s="47"/>
      <c r="Z56" s="47"/>
      <c r="AA56" s="198"/>
      <c r="AB56" s="198"/>
      <c r="AC56" s="198"/>
      <c r="AD56" s="198"/>
      <c r="AE56" s="198"/>
      <c r="AF56" s="198"/>
      <c r="AG56" s="198"/>
      <c r="AH56" s="198"/>
      <c r="AI56" s="198"/>
      <c r="AJ56" s="198"/>
      <c r="AK56" s="198"/>
      <c r="AL56" s="198"/>
      <c r="AM56" s="198"/>
      <c r="AN56" s="198"/>
      <c r="AO56" s="198"/>
      <c r="AP56" s="57"/>
      <c r="AQ56" s="57"/>
      <c r="AR56" s="57"/>
      <c r="AS56" s="57"/>
      <c r="AT56" s="52"/>
      <c r="AU56" s="52"/>
      <c r="AV56" s="52"/>
      <c r="AW56" s="52"/>
      <c r="AX56" s="52"/>
      <c r="AY56" s="52"/>
      <c r="AZ56" s="52"/>
      <c r="BA56" s="52"/>
      <c r="BB56" s="52"/>
      <c r="BC56" s="52"/>
      <c r="BD56" s="52"/>
      <c r="BE56" s="52"/>
    </row>
    <row r="57" spans="1:57">
      <c r="A57" s="46" t="s">
        <v>764</v>
      </c>
      <c r="B57" s="46"/>
      <c r="C57" s="46"/>
      <c r="D57" s="46"/>
      <c r="E57" s="46"/>
      <c r="F57" s="46"/>
      <c r="G57" s="46"/>
      <c r="H57" s="46"/>
      <c r="I57" s="46"/>
      <c r="J57" s="12"/>
      <c r="K57" s="12"/>
      <c r="L57" s="12"/>
      <c r="M57" s="12"/>
      <c r="N57" s="12"/>
      <c r="O57" s="12"/>
      <c r="P57" s="12"/>
      <c r="Q57" s="3"/>
      <c r="R57" s="3"/>
      <c r="S57" s="47"/>
      <c r="T57" s="47"/>
      <c r="U57" s="47"/>
      <c r="V57" s="47"/>
      <c r="W57" s="47"/>
      <c r="X57" s="47"/>
      <c r="Y57" s="47"/>
      <c r="Z57" s="47"/>
      <c r="AA57" s="198"/>
      <c r="AB57" s="198"/>
      <c r="AC57" s="198"/>
      <c r="AD57" s="198"/>
      <c r="AE57" s="198"/>
      <c r="AF57" s="198"/>
      <c r="AG57" s="198"/>
      <c r="AH57" s="198"/>
      <c r="AI57" s="198"/>
      <c r="AJ57" s="198"/>
      <c r="AK57" s="198"/>
      <c r="AL57" s="198"/>
      <c r="AM57" s="198"/>
      <c r="AN57" s="198"/>
      <c r="AO57" s="198"/>
      <c r="AP57" s="57"/>
      <c r="AQ57" s="57"/>
      <c r="AR57" s="57"/>
      <c r="AS57" s="57"/>
      <c r="AT57" s="52"/>
      <c r="AU57" s="52"/>
      <c r="AV57" s="52"/>
      <c r="AW57" s="52"/>
      <c r="AX57" s="52"/>
      <c r="AY57" s="52"/>
      <c r="AZ57" s="52"/>
      <c r="BA57" s="52"/>
      <c r="BB57" s="52"/>
      <c r="BC57" s="52"/>
      <c r="BD57" s="52"/>
      <c r="BE57" s="52"/>
    </row>
    <row r="58" spans="1:57" ht="14.5" thickBot="1">
      <c r="A58" s="46"/>
      <c r="B58" s="46"/>
      <c r="C58" s="46"/>
      <c r="D58" s="46"/>
      <c r="E58" s="46"/>
      <c r="F58" s="46"/>
      <c r="G58" s="46"/>
      <c r="H58" s="46"/>
      <c r="I58" s="46"/>
      <c r="J58" s="12"/>
      <c r="K58" s="12"/>
      <c r="L58" s="12"/>
      <c r="M58" s="12"/>
      <c r="N58" s="12"/>
      <c r="O58" s="12"/>
      <c r="P58" s="12"/>
      <c r="Q58" s="3"/>
      <c r="R58" s="3"/>
      <c r="S58" s="47"/>
      <c r="T58" s="47"/>
      <c r="U58" s="47"/>
      <c r="V58" s="47"/>
      <c r="W58" s="47"/>
      <c r="X58" s="47"/>
      <c r="Y58" s="47"/>
      <c r="Z58" s="47"/>
      <c r="AA58" s="198"/>
      <c r="AB58" s="198"/>
      <c r="AC58" s="198"/>
      <c r="AD58" s="198"/>
      <c r="AE58" s="198"/>
      <c r="AF58" s="198"/>
      <c r="AG58" s="198"/>
      <c r="AH58" s="198"/>
      <c r="AI58" s="198"/>
      <c r="AJ58" s="198"/>
      <c r="AK58" s="198"/>
      <c r="AL58" s="198"/>
      <c r="AM58" s="198"/>
      <c r="AN58" s="198"/>
      <c r="AO58" s="198"/>
      <c r="AP58" s="57"/>
      <c r="AQ58" s="57"/>
      <c r="AR58" s="57"/>
      <c r="AS58" s="57"/>
      <c r="AT58" s="52"/>
      <c r="AU58" s="52"/>
      <c r="AV58" s="52"/>
      <c r="AW58" s="52"/>
      <c r="AX58" s="52"/>
      <c r="AY58" s="52"/>
      <c r="AZ58" s="52"/>
      <c r="BA58" s="52"/>
      <c r="BB58" s="52"/>
      <c r="BC58" s="52"/>
      <c r="BD58" s="52"/>
      <c r="BE58" s="52"/>
    </row>
    <row r="59" spans="1:57">
      <c r="A59" s="479" t="s">
        <v>765</v>
      </c>
      <c r="B59" s="479"/>
      <c r="C59" s="46"/>
      <c r="D59" s="46"/>
      <c r="E59" s="46"/>
      <c r="F59" s="46"/>
      <c r="G59" s="46"/>
      <c r="H59" s="46"/>
      <c r="I59" s="46"/>
      <c r="J59" s="12"/>
      <c r="K59" s="12"/>
      <c r="L59" s="12"/>
      <c r="M59" s="12"/>
      <c r="N59" s="12"/>
      <c r="O59" s="12"/>
      <c r="P59" s="12"/>
      <c r="Q59" s="3"/>
      <c r="R59" s="3"/>
      <c r="S59" s="47"/>
      <c r="T59" s="47"/>
      <c r="U59" s="47"/>
      <c r="V59" s="47"/>
      <c r="W59" s="47"/>
      <c r="X59" s="47"/>
      <c r="Y59" s="47"/>
      <c r="Z59" s="47"/>
      <c r="AA59" s="198"/>
      <c r="AB59" s="198"/>
      <c r="AC59" s="198"/>
      <c r="AD59" s="198"/>
      <c r="AE59" s="198"/>
      <c r="AF59" s="198"/>
      <c r="AG59" s="198"/>
      <c r="AH59" s="198"/>
      <c r="AI59" s="198"/>
      <c r="AJ59" s="198"/>
      <c r="AK59" s="198"/>
      <c r="AL59" s="198"/>
      <c r="AM59" s="198"/>
      <c r="AN59" s="198"/>
      <c r="AO59" s="198"/>
      <c r="AP59" s="57"/>
      <c r="AQ59" s="57"/>
      <c r="AR59" s="57"/>
      <c r="AS59" s="57"/>
      <c r="AT59" s="52"/>
      <c r="AU59" s="52"/>
      <c r="AV59" s="52"/>
      <c r="AW59" s="52"/>
      <c r="AX59" s="52"/>
      <c r="AY59" s="52"/>
      <c r="AZ59" s="52"/>
      <c r="BA59" s="52"/>
      <c r="BB59" s="52"/>
      <c r="BC59" s="52"/>
      <c r="BD59" s="52"/>
      <c r="BE59" s="52"/>
    </row>
    <row r="60" spans="1:57">
      <c r="A60" s="46" t="s">
        <v>766</v>
      </c>
      <c r="B60" s="46">
        <v>0.99688926459796923</v>
      </c>
      <c r="C60" s="46"/>
      <c r="D60" s="46"/>
      <c r="E60" s="46"/>
      <c r="F60" s="46"/>
      <c r="G60" s="46"/>
      <c r="H60" s="46"/>
      <c r="I60" s="46"/>
      <c r="J60" s="12"/>
      <c r="K60" s="12"/>
      <c r="L60" s="12"/>
      <c r="M60" s="12"/>
      <c r="N60" s="12"/>
      <c r="O60" s="12"/>
      <c r="P60" s="12"/>
      <c r="Q60" s="3"/>
      <c r="R60" s="3"/>
      <c r="S60" s="47"/>
      <c r="T60" s="47"/>
      <c r="U60" s="47"/>
      <c r="V60" s="47"/>
      <c r="W60" s="47"/>
      <c r="X60" s="47"/>
      <c r="Y60" s="47"/>
      <c r="Z60" s="47"/>
      <c r="AA60" s="198"/>
      <c r="AB60" s="198"/>
      <c r="AC60" s="198"/>
      <c r="AD60" s="198"/>
      <c r="AE60" s="198"/>
      <c r="AF60" s="198"/>
      <c r="AG60" s="198"/>
      <c r="AH60" s="198"/>
      <c r="AI60" s="198"/>
      <c r="AJ60" s="198"/>
      <c r="AK60" s="198"/>
      <c r="AL60" s="198"/>
      <c r="AM60" s="198"/>
      <c r="AN60" s="198"/>
      <c r="AO60" s="198"/>
      <c r="AP60" s="57"/>
      <c r="AQ60" s="57"/>
      <c r="AR60" s="57"/>
      <c r="AS60" s="57"/>
      <c r="AT60" s="52"/>
      <c r="AU60" s="52"/>
      <c r="AV60" s="52"/>
      <c r="AW60" s="52"/>
      <c r="AX60" s="52"/>
      <c r="AY60" s="52"/>
      <c r="AZ60" s="52"/>
      <c r="BA60" s="52"/>
      <c r="BB60" s="52"/>
      <c r="BC60" s="52"/>
      <c r="BD60" s="52"/>
      <c r="BE60" s="52"/>
    </row>
    <row r="61" spans="1:57">
      <c r="A61" s="46" t="s">
        <v>767</v>
      </c>
      <c r="B61" s="46">
        <v>0.99378820587067984</v>
      </c>
      <c r="C61" s="46"/>
      <c r="D61" s="46"/>
      <c r="E61" s="46"/>
      <c r="F61" s="46"/>
      <c r="G61" s="46"/>
      <c r="H61" s="46"/>
      <c r="I61" s="46"/>
      <c r="J61" s="12"/>
      <c r="K61" s="12"/>
      <c r="L61" s="12"/>
      <c r="M61" s="12"/>
      <c r="N61" s="12"/>
      <c r="O61" s="12"/>
      <c r="P61" s="12"/>
      <c r="Q61" s="3"/>
      <c r="R61" s="3"/>
      <c r="S61" s="47"/>
      <c r="T61" s="47"/>
      <c r="U61" s="47"/>
      <c r="V61" s="47"/>
      <c r="W61" s="47"/>
      <c r="X61" s="47"/>
      <c r="Y61" s="47"/>
      <c r="Z61" s="47"/>
      <c r="AA61" s="198"/>
      <c r="AB61" s="198"/>
      <c r="AC61" s="198"/>
      <c r="AD61" s="198"/>
      <c r="AE61" s="198"/>
      <c r="AF61" s="198"/>
      <c r="AG61" s="198"/>
      <c r="AH61" s="198"/>
      <c r="AI61" s="198"/>
      <c r="AJ61" s="198"/>
      <c r="AK61" s="198"/>
      <c r="AL61" s="198"/>
      <c r="AM61" s="198"/>
      <c r="AN61" s="198"/>
      <c r="AO61" s="198"/>
      <c r="AP61" s="57"/>
      <c r="AQ61" s="57"/>
      <c r="AR61" s="57"/>
      <c r="AS61" s="57"/>
      <c r="AT61" s="52"/>
      <c r="AU61" s="52"/>
      <c r="AV61" s="52"/>
      <c r="AW61" s="52"/>
      <c r="AX61" s="52"/>
      <c r="AY61" s="52"/>
      <c r="AZ61" s="52"/>
      <c r="BA61" s="52"/>
      <c r="BB61" s="52"/>
      <c r="BC61" s="52"/>
      <c r="BD61" s="52"/>
      <c r="BE61" s="52"/>
    </row>
    <row r="62" spans="1:57">
      <c r="A62" s="46" t="s">
        <v>768</v>
      </c>
      <c r="B62" s="46">
        <v>0.99068230880601971</v>
      </c>
      <c r="C62" s="46"/>
      <c r="D62" s="46"/>
      <c r="E62" s="46"/>
      <c r="F62" s="46"/>
      <c r="G62" s="46"/>
      <c r="H62" s="46"/>
      <c r="I62" s="46"/>
      <c r="J62" s="12"/>
      <c r="K62" s="12"/>
      <c r="L62" s="12"/>
      <c r="M62" s="12"/>
      <c r="N62" s="12"/>
      <c r="O62" s="12"/>
      <c r="P62" s="12"/>
      <c r="Q62" s="3"/>
      <c r="R62" s="3"/>
      <c r="S62" s="47"/>
      <c r="T62" s="47"/>
      <c r="U62" s="47"/>
      <c r="V62" s="47"/>
      <c r="W62" s="47"/>
      <c r="X62" s="47"/>
      <c r="Y62" s="47"/>
      <c r="Z62" s="47"/>
      <c r="AA62" s="198"/>
      <c r="AB62" s="198"/>
      <c r="AC62" s="198"/>
      <c r="AD62" s="198"/>
      <c r="AE62" s="198"/>
      <c r="AF62" s="198"/>
      <c r="AG62" s="198"/>
      <c r="AH62" s="198"/>
      <c r="AI62" s="198"/>
      <c r="AJ62" s="198"/>
      <c r="AK62" s="198"/>
      <c r="AL62" s="198"/>
      <c r="AM62" s="198"/>
      <c r="AN62" s="198"/>
      <c r="AO62" s="198"/>
      <c r="AP62" s="57"/>
      <c r="AQ62" s="57"/>
      <c r="AR62" s="57"/>
      <c r="AS62" s="57"/>
      <c r="AT62" s="52"/>
      <c r="AU62" s="52"/>
      <c r="AV62" s="52"/>
      <c r="AW62" s="52"/>
      <c r="AX62" s="52"/>
      <c r="AY62" s="52"/>
      <c r="AZ62" s="52"/>
      <c r="BA62" s="52"/>
      <c r="BB62" s="52"/>
      <c r="BC62" s="52"/>
      <c r="BD62" s="52"/>
      <c r="BE62" s="52"/>
    </row>
    <row r="63" spans="1:57">
      <c r="A63" s="46" t="s">
        <v>769</v>
      </c>
      <c r="B63" s="46">
        <v>864.72233596508397</v>
      </c>
      <c r="C63" s="46"/>
      <c r="D63" s="46"/>
      <c r="E63" s="46"/>
      <c r="F63" s="46"/>
      <c r="G63" s="46"/>
      <c r="H63" s="46"/>
      <c r="I63" s="46"/>
      <c r="J63" s="12"/>
      <c r="K63" s="12"/>
      <c r="L63" s="12"/>
      <c r="M63" s="12"/>
      <c r="N63" s="12"/>
      <c r="O63" s="12"/>
      <c r="P63" s="12"/>
      <c r="Q63" s="3"/>
      <c r="R63" s="3"/>
      <c r="S63" s="47"/>
      <c r="T63" s="47"/>
      <c r="U63" s="47"/>
      <c r="V63" s="47"/>
      <c r="W63" s="47"/>
      <c r="X63" s="47"/>
      <c r="Y63" s="47"/>
      <c r="Z63" s="47"/>
      <c r="AA63" s="198"/>
      <c r="AB63" s="198"/>
      <c r="AC63" s="198"/>
      <c r="AD63" s="198"/>
      <c r="AE63" s="198"/>
      <c r="AF63" s="198"/>
      <c r="AG63" s="198"/>
      <c r="AH63" s="198"/>
      <c r="AI63" s="198"/>
      <c r="AJ63" s="198"/>
      <c r="AK63" s="198"/>
      <c r="AL63" s="198"/>
      <c r="AM63" s="198"/>
      <c r="AN63" s="198"/>
      <c r="AO63" s="198"/>
      <c r="AP63" s="57"/>
      <c r="AQ63" s="57"/>
      <c r="AR63" s="57"/>
      <c r="AS63" s="57"/>
      <c r="AT63" s="52"/>
      <c r="AU63" s="52"/>
      <c r="AV63" s="52"/>
      <c r="AW63" s="52"/>
      <c r="AX63" s="52"/>
      <c r="AY63" s="52"/>
      <c r="AZ63" s="52"/>
      <c r="BA63" s="52"/>
      <c r="BB63" s="52"/>
      <c r="BC63" s="52"/>
      <c r="BD63" s="52"/>
      <c r="BE63" s="52"/>
    </row>
    <row r="64" spans="1:57" ht="14.5" thickBot="1">
      <c r="A64" s="480" t="s">
        <v>770</v>
      </c>
      <c r="B64" s="480">
        <v>4</v>
      </c>
      <c r="C64" s="46"/>
      <c r="D64" s="46"/>
      <c r="E64" s="46"/>
      <c r="F64" s="46"/>
      <c r="G64" s="46"/>
      <c r="H64" s="46"/>
      <c r="I64" s="46"/>
      <c r="J64" s="12"/>
      <c r="K64" s="12"/>
      <c r="L64" s="12"/>
      <c r="M64" s="12"/>
      <c r="N64" s="12"/>
      <c r="O64" s="12"/>
      <c r="P64" s="12"/>
      <c r="Q64" s="3"/>
      <c r="R64" s="3"/>
      <c r="S64" s="47"/>
      <c r="T64" s="47"/>
      <c r="U64" s="47"/>
      <c r="V64" s="47"/>
      <c r="W64" s="47"/>
      <c r="X64" s="47"/>
      <c r="Y64" s="47"/>
      <c r="Z64" s="47"/>
      <c r="AA64" s="198"/>
      <c r="AB64" s="198"/>
      <c r="AC64" s="198"/>
      <c r="AD64" s="198"/>
      <c r="AE64" s="198"/>
      <c r="AF64" s="198"/>
      <c r="AG64" s="198"/>
      <c r="AH64" s="198"/>
      <c r="AI64" s="198"/>
      <c r="AJ64" s="198"/>
      <c r="AK64" s="198"/>
      <c r="AL64" s="198"/>
      <c r="AM64" s="198"/>
      <c r="AN64" s="198"/>
      <c r="AO64" s="198"/>
      <c r="AP64" s="57"/>
      <c r="AQ64" s="57"/>
      <c r="AR64" s="57"/>
      <c r="AS64" s="57"/>
      <c r="AT64" s="52"/>
      <c r="AU64" s="52"/>
      <c r="AV64" s="52"/>
      <c r="AW64" s="52"/>
      <c r="AX64" s="52"/>
      <c r="AY64" s="52"/>
      <c r="AZ64" s="52"/>
      <c r="BA64" s="52"/>
      <c r="BB64" s="52"/>
      <c r="BC64" s="52"/>
      <c r="BD64" s="52"/>
      <c r="BE64" s="52"/>
    </row>
    <row r="65" spans="1:57">
      <c r="A65" s="46"/>
      <c r="B65" s="46"/>
      <c r="C65" s="46"/>
      <c r="D65" s="46"/>
      <c r="E65" s="46"/>
      <c r="F65" s="46"/>
      <c r="G65" s="46"/>
      <c r="H65" s="46"/>
      <c r="I65" s="46"/>
      <c r="J65" s="12"/>
      <c r="K65" s="12"/>
      <c r="L65" s="12"/>
      <c r="M65" s="12"/>
      <c r="N65" s="12"/>
      <c r="O65" s="12"/>
      <c r="P65" s="12"/>
      <c r="Q65" s="3"/>
      <c r="R65" s="3"/>
      <c r="S65" s="47"/>
      <c r="T65" s="47"/>
      <c r="U65" s="47"/>
      <c r="V65" s="47"/>
      <c r="W65" s="47"/>
      <c r="X65" s="47"/>
      <c r="Y65" s="47"/>
      <c r="Z65" s="47"/>
      <c r="AA65" s="198"/>
      <c r="AB65" s="198"/>
      <c r="AC65" s="198"/>
      <c r="AD65" s="198"/>
      <c r="AE65" s="198"/>
      <c r="AF65" s="198"/>
      <c r="AG65" s="198"/>
      <c r="AH65" s="198"/>
      <c r="AI65" s="198"/>
      <c r="AJ65" s="198"/>
      <c r="AK65" s="198"/>
      <c r="AL65" s="198"/>
      <c r="AM65" s="198"/>
      <c r="AN65" s="198"/>
      <c r="AO65" s="198"/>
      <c r="AP65" s="57"/>
      <c r="AQ65" s="57"/>
      <c r="AR65" s="57"/>
      <c r="AS65" s="57"/>
      <c r="AT65" s="52"/>
      <c r="AU65" s="52"/>
      <c r="AV65" s="52"/>
      <c r="AW65" s="52"/>
      <c r="AX65" s="52"/>
      <c r="AY65" s="52"/>
      <c r="AZ65" s="52"/>
      <c r="BA65" s="52"/>
      <c r="BB65" s="52"/>
      <c r="BC65" s="52"/>
      <c r="BD65" s="52"/>
      <c r="BE65" s="52"/>
    </row>
    <row r="66" spans="1:57" ht="14.5" thickBot="1">
      <c r="A66" s="46" t="s">
        <v>771</v>
      </c>
      <c r="B66" s="46"/>
      <c r="C66" s="46"/>
      <c r="D66" s="46"/>
      <c r="E66" s="46"/>
      <c r="F66" s="46"/>
      <c r="G66" s="46"/>
      <c r="H66" s="46"/>
      <c r="I66" s="46"/>
      <c r="J66" s="12"/>
      <c r="K66" s="12"/>
      <c r="L66" s="12"/>
      <c r="M66" s="12"/>
      <c r="N66" s="12"/>
      <c r="O66" s="12"/>
      <c r="P66" s="12"/>
      <c r="Q66" s="3"/>
      <c r="R66" s="3"/>
      <c r="S66" s="47"/>
      <c r="T66" s="47"/>
      <c r="U66" s="47"/>
      <c r="V66" s="47"/>
      <c r="W66" s="47"/>
      <c r="X66" s="47"/>
      <c r="Y66" s="47"/>
      <c r="Z66" s="47"/>
      <c r="AA66" s="198"/>
      <c r="AB66" s="198"/>
      <c r="AC66" s="198"/>
      <c r="AD66" s="198"/>
      <c r="AE66" s="198"/>
      <c r="AF66" s="198"/>
      <c r="AG66" s="198"/>
      <c r="AH66" s="198"/>
      <c r="AI66" s="198"/>
      <c r="AJ66" s="198"/>
      <c r="AK66" s="198"/>
      <c r="AL66" s="198"/>
      <c r="AM66" s="198"/>
      <c r="AN66" s="198"/>
      <c r="AO66" s="198"/>
      <c r="AP66" s="57"/>
      <c r="AQ66" s="57"/>
      <c r="AR66" s="57"/>
      <c r="AS66" s="57"/>
      <c r="AT66" s="52"/>
      <c r="AU66" s="52"/>
      <c r="AV66" s="52"/>
      <c r="AW66" s="52"/>
      <c r="AX66" s="52"/>
      <c r="AY66" s="52"/>
      <c r="AZ66" s="52"/>
      <c r="BA66" s="52"/>
      <c r="BB66" s="52"/>
      <c r="BC66" s="52"/>
      <c r="BD66" s="52"/>
      <c r="BE66" s="52"/>
    </row>
    <row r="67" spans="1:57">
      <c r="A67" s="481"/>
      <c r="B67" s="481" t="s">
        <v>775</v>
      </c>
      <c r="C67" s="481" t="s">
        <v>776</v>
      </c>
      <c r="D67" s="481" t="s">
        <v>777</v>
      </c>
      <c r="E67" s="481" t="s">
        <v>778</v>
      </c>
      <c r="F67" s="481" t="s">
        <v>779</v>
      </c>
      <c r="G67" s="46"/>
      <c r="H67" s="46"/>
      <c r="I67" s="46"/>
      <c r="J67" s="12"/>
      <c r="K67" s="12"/>
      <c r="L67" s="12"/>
      <c r="M67" s="12"/>
      <c r="N67" s="12"/>
      <c r="O67" s="12"/>
      <c r="P67" s="12"/>
      <c r="Q67" s="3"/>
      <c r="R67" s="3"/>
      <c r="S67" s="47"/>
      <c r="T67" s="47"/>
      <c r="U67" s="47"/>
      <c r="V67" s="47"/>
      <c r="W67" s="47"/>
      <c r="X67" s="47"/>
      <c r="Y67" s="47"/>
      <c r="Z67" s="47"/>
      <c r="AA67" s="198"/>
      <c r="AB67" s="198"/>
      <c r="AC67" s="198"/>
      <c r="AD67" s="198"/>
      <c r="AE67" s="198"/>
      <c r="AF67" s="198"/>
      <c r="AG67" s="198"/>
      <c r="AH67" s="198"/>
      <c r="AI67" s="198"/>
      <c r="AJ67" s="198"/>
      <c r="AK67" s="198"/>
      <c r="AL67" s="198"/>
      <c r="AM67" s="198"/>
      <c r="AN67" s="198"/>
      <c r="AO67" s="198"/>
      <c r="AP67" s="57"/>
      <c r="AQ67" s="57"/>
      <c r="AR67" s="57"/>
      <c r="AS67" s="57"/>
      <c r="AT67" s="52"/>
      <c r="AU67" s="52"/>
      <c r="AV67" s="52"/>
      <c r="AW67" s="52"/>
      <c r="AX67" s="52"/>
      <c r="AY67" s="52"/>
      <c r="AZ67" s="52"/>
      <c r="BA67" s="52"/>
      <c r="BB67" s="52"/>
      <c r="BC67" s="52"/>
      <c r="BD67" s="52"/>
      <c r="BE67" s="52"/>
    </row>
    <row r="68" spans="1:57">
      <c r="A68" s="46" t="s">
        <v>772</v>
      </c>
      <c r="B68" s="46">
        <v>1</v>
      </c>
      <c r="C68" s="46">
        <v>239254510.56336617</v>
      </c>
      <c r="D68" s="46">
        <v>239254510.56336617</v>
      </c>
      <c r="E68" s="46">
        <v>319.96817189414708</v>
      </c>
      <c r="F68" s="46">
        <v>3.1107354020307927E-3</v>
      </c>
      <c r="G68" s="46"/>
      <c r="H68" s="46"/>
      <c r="I68" s="46"/>
      <c r="J68" s="12"/>
      <c r="K68" s="12"/>
      <c r="L68" s="12"/>
      <c r="M68" s="12"/>
      <c r="N68" s="12"/>
      <c r="O68" s="12"/>
      <c r="P68" s="12"/>
      <c r="Q68" s="3"/>
      <c r="R68" s="3"/>
      <c r="S68" s="47"/>
      <c r="T68" s="47"/>
      <c r="U68" s="47"/>
      <c r="V68" s="47"/>
      <c r="W68" s="47"/>
      <c r="X68" s="47"/>
      <c r="Y68" s="47"/>
      <c r="Z68" s="47"/>
      <c r="AA68" s="198"/>
      <c r="AB68" s="198"/>
      <c r="AC68" s="198"/>
      <c r="AD68" s="198"/>
      <c r="AE68" s="198"/>
      <c r="AF68" s="198"/>
      <c r="AG68" s="198"/>
      <c r="AH68" s="198"/>
      <c r="AI68" s="198"/>
      <c r="AJ68" s="198"/>
      <c r="AK68" s="198"/>
      <c r="AL68" s="198"/>
      <c r="AM68" s="198"/>
      <c r="AN68" s="198"/>
      <c r="AO68" s="198"/>
      <c r="AP68" s="57"/>
      <c r="AQ68" s="57"/>
      <c r="AR68" s="57"/>
      <c r="AS68" s="57"/>
      <c r="AT68" s="52"/>
      <c r="AU68" s="52"/>
      <c r="AV68" s="52"/>
      <c r="AW68" s="52"/>
      <c r="AX68" s="52"/>
      <c r="AY68" s="52"/>
      <c r="AZ68" s="52"/>
      <c r="BA68" s="52"/>
      <c r="BB68" s="52"/>
      <c r="BC68" s="52"/>
      <c r="BD68" s="52"/>
      <c r="BE68" s="52"/>
    </row>
    <row r="69" spans="1:57">
      <c r="A69" s="46" t="s">
        <v>773</v>
      </c>
      <c r="B69" s="46">
        <v>2</v>
      </c>
      <c r="C69" s="46">
        <v>1495489.4366338232</v>
      </c>
      <c r="D69" s="46">
        <v>747744.7183169116</v>
      </c>
      <c r="E69" s="46"/>
      <c r="F69" s="46"/>
      <c r="G69" s="46"/>
      <c r="H69" s="46"/>
      <c r="I69" s="46"/>
      <c r="J69" s="12"/>
      <c r="K69" s="12"/>
      <c r="L69" s="12"/>
      <c r="M69" s="12"/>
      <c r="N69" s="12"/>
      <c r="O69" s="12"/>
      <c r="P69" s="12"/>
      <c r="Q69" s="3"/>
      <c r="R69" s="3"/>
      <c r="S69" s="47"/>
      <c r="T69" s="47"/>
      <c r="U69" s="47"/>
      <c r="V69" s="47"/>
      <c r="W69" s="47"/>
      <c r="X69" s="47"/>
      <c r="Y69" s="47"/>
      <c r="Z69" s="47"/>
      <c r="AA69" s="198"/>
      <c r="AB69" s="198"/>
      <c r="AC69" s="198"/>
      <c r="AD69" s="198"/>
      <c r="AE69" s="198"/>
      <c r="AF69" s="198"/>
      <c r="AG69" s="198"/>
      <c r="AH69" s="198"/>
      <c r="AI69" s="198"/>
      <c r="AJ69" s="198"/>
      <c r="AK69" s="198"/>
      <c r="AL69" s="198"/>
      <c r="AM69" s="198"/>
      <c r="AN69" s="198"/>
      <c r="AO69" s="198"/>
      <c r="AP69" s="57"/>
      <c r="AQ69" s="57"/>
      <c r="AR69" s="57"/>
      <c r="AS69" s="57"/>
      <c r="AT69" s="52"/>
      <c r="AU69" s="52"/>
      <c r="AV69" s="52"/>
      <c r="AW69" s="52"/>
      <c r="AX69" s="52"/>
      <c r="AY69" s="52"/>
      <c r="AZ69" s="52"/>
      <c r="BA69" s="52"/>
      <c r="BB69" s="52"/>
      <c r="BC69" s="52"/>
      <c r="BD69" s="52"/>
      <c r="BE69" s="52"/>
    </row>
    <row r="70" spans="1:57" ht="14.5" thickBot="1">
      <c r="A70" s="480" t="s">
        <v>273</v>
      </c>
      <c r="B70" s="480">
        <v>3</v>
      </c>
      <c r="C70" s="480">
        <v>240750000</v>
      </c>
      <c r="D70" s="480"/>
      <c r="E70" s="480"/>
      <c r="F70" s="480"/>
      <c r="G70" s="46"/>
      <c r="H70" s="46"/>
      <c r="I70" s="46"/>
      <c r="J70" s="12"/>
      <c r="K70" s="12"/>
      <c r="L70" s="12"/>
      <c r="M70" s="12"/>
      <c r="N70" s="12"/>
      <c r="O70" s="12"/>
      <c r="P70" s="12"/>
      <c r="Q70" s="3"/>
      <c r="R70" s="3"/>
      <c r="S70" s="47"/>
      <c r="T70" s="47"/>
      <c r="U70" s="47"/>
      <c r="V70" s="47"/>
      <c r="W70" s="47"/>
      <c r="X70" s="47"/>
      <c r="Y70" s="47"/>
      <c r="Z70" s="47"/>
      <c r="AA70" s="198"/>
      <c r="AB70" s="198"/>
      <c r="AC70" s="198"/>
      <c r="AD70" s="198"/>
      <c r="AE70" s="198"/>
      <c r="AF70" s="198"/>
      <c r="AG70" s="198"/>
      <c r="AH70" s="198"/>
      <c r="AI70" s="198"/>
      <c r="AJ70" s="198"/>
      <c r="AK70" s="198"/>
      <c r="AL70" s="198"/>
      <c r="AM70" s="198"/>
      <c r="AN70" s="198"/>
      <c r="AO70" s="198"/>
      <c r="AP70" s="57"/>
      <c r="AQ70" s="57"/>
      <c r="AR70" s="57"/>
      <c r="AS70" s="57"/>
      <c r="AT70" s="52"/>
      <c r="AU70" s="52"/>
      <c r="AV70" s="52"/>
      <c r="AW70" s="52"/>
      <c r="AX70" s="52"/>
      <c r="AY70" s="52"/>
      <c r="AZ70" s="52"/>
      <c r="BA70" s="52"/>
      <c r="BB70" s="52"/>
      <c r="BC70" s="52"/>
      <c r="BD70" s="52"/>
      <c r="BE70" s="52"/>
    </row>
    <row r="71" spans="1:57" ht="14.5" thickBot="1">
      <c r="A71" s="46"/>
      <c r="B71" s="46"/>
      <c r="C71" s="46"/>
      <c r="D71" s="46"/>
      <c r="E71" s="46"/>
      <c r="F71" s="46"/>
      <c r="G71" s="46"/>
      <c r="H71" s="46"/>
      <c r="I71" s="46"/>
      <c r="J71" s="12"/>
      <c r="K71" s="12"/>
      <c r="L71" s="12"/>
      <c r="M71" s="12"/>
      <c r="N71" s="12"/>
      <c r="O71" s="12"/>
      <c r="P71" s="12"/>
      <c r="Q71" s="3"/>
      <c r="R71" s="3"/>
      <c r="S71" s="47"/>
      <c r="T71" s="47"/>
      <c r="U71" s="47"/>
      <c r="V71" s="47"/>
      <c r="W71" s="47"/>
      <c r="X71" s="47"/>
      <c r="Y71" s="47"/>
      <c r="Z71" s="47"/>
      <c r="AA71" s="198"/>
      <c r="AB71" s="198"/>
      <c r="AC71" s="198"/>
      <c r="AD71" s="198"/>
      <c r="AE71" s="198"/>
      <c r="AF71" s="198"/>
      <c r="AG71" s="198"/>
      <c r="AH71" s="198"/>
      <c r="AI71" s="198"/>
      <c r="AJ71" s="198"/>
      <c r="AK71" s="198"/>
      <c r="AL71" s="198"/>
      <c r="AM71" s="198"/>
      <c r="AN71" s="198"/>
      <c r="AO71" s="198"/>
      <c r="AP71" s="57"/>
      <c r="AQ71" s="57"/>
      <c r="AR71" s="57"/>
      <c r="AS71" s="57"/>
      <c r="AT71" s="52"/>
      <c r="AU71" s="52"/>
      <c r="AV71" s="52"/>
      <c r="AW71" s="52"/>
      <c r="AX71" s="52"/>
      <c r="AY71" s="52"/>
      <c r="AZ71" s="52"/>
      <c r="BA71" s="52"/>
      <c r="BB71" s="52"/>
      <c r="BC71" s="52"/>
      <c r="BD71" s="52"/>
      <c r="BE71" s="52"/>
    </row>
    <row r="72" spans="1:57">
      <c r="A72" s="481"/>
      <c r="B72" s="481" t="s">
        <v>780</v>
      </c>
      <c r="C72" s="481" t="s">
        <v>769</v>
      </c>
      <c r="D72" s="481" t="s">
        <v>781</v>
      </c>
      <c r="E72" s="481" t="s">
        <v>782</v>
      </c>
      <c r="F72" s="481" t="s">
        <v>783</v>
      </c>
      <c r="G72" s="481" t="s">
        <v>784</v>
      </c>
      <c r="H72" s="481" t="s">
        <v>785</v>
      </c>
      <c r="I72" s="481" t="s">
        <v>786</v>
      </c>
      <c r="J72" s="12"/>
      <c r="K72" s="12"/>
      <c r="L72" s="12"/>
      <c r="M72" s="12"/>
      <c r="N72" s="12"/>
      <c r="O72" s="12"/>
      <c r="P72" s="12"/>
      <c r="Q72" s="3"/>
      <c r="R72" s="3"/>
      <c r="S72" s="47"/>
      <c r="T72" s="47"/>
      <c r="U72" s="47"/>
      <c r="V72" s="47"/>
      <c r="W72" s="47"/>
      <c r="X72" s="47"/>
      <c r="Y72" s="47"/>
      <c r="Z72" s="47"/>
      <c r="AA72" s="198"/>
      <c r="AB72" s="198"/>
      <c r="AC72" s="198"/>
      <c r="AD72" s="198"/>
      <c r="AE72" s="198"/>
      <c r="AF72" s="198"/>
      <c r="AG72" s="198"/>
      <c r="AH72" s="198"/>
      <c r="AI72" s="198"/>
      <c r="AJ72" s="198"/>
      <c r="AK72" s="198"/>
      <c r="AL72" s="198"/>
      <c r="AM72" s="198"/>
      <c r="AN72" s="198"/>
      <c r="AO72" s="198"/>
      <c r="AP72" s="57"/>
      <c r="AQ72" s="57"/>
      <c r="AR72" s="57"/>
      <c r="AS72" s="57"/>
      <c r="AT72" s="52"/>
      <c r="AU72" s="52"/>
      <c r="AV72" s="52"/>
      <c r="AW72" s="52"/>
      <c r="AX72" s="52"/>
      <c r="AY72" s="52"/>
      <c r="AZ72" s="52"/>
      <c r="BA72" s="52"/>
      <c r="BB72" s="52"/>
      <c r="BC72" s="52"/>
      <c r="BD72" s="52"/>
      <c r="BE72" s="52"/>
    </row>
    <row r="73" spans="1:57">
      <c r="A73" s="46" t="s">
        <v>774</v>
      </c>
      <c r="B73" s="46">
        <v>1123.9825580871766</v>
      </c>
      <c r="C73" s="46">
        <v>3001.2882941687244</v>
      </c>
      <c r="D73" s="46">
        <v>0.37450003062717752</v>
      </c>
      <c r="E73" s="46">
        <v>0.74401201784898174</v>
      </c>
      <c r="F73" s="46">
        <v>-11789.518713582996</v>
      </c>
      <c r="G73" s="46">
        <v>14037.48382975735</v>
      </c>
      <c r="H73" s="46">
        <v>-11789.518713582996</v>
      </c>
      <c r="I73" s="46">
        <v>14037.48382975735</v>
      </c>
      <c r="J73" s="12"/>
      <c r="K73" s="12"/>
      <c r="L73" s="12"/>
      <c r="M73" s="12"/>
      <c r="N73" s="12"/>
      <c r="O73" s="12"/>
      <c r="P73" s="12"/>
      <c r="Q73" s="3"/>
      <c r="R73" s="3"/>
      <c r="S73" s="47"/>
      <c r="T73" s="47"/>
      <c r="U73" s="47"/>
      <c r="V73" s="47"/>
      <c r="W73" s="47"/>
      <c r="X73" s="47"/>
      <c r="Y73" s="47"/>
      <c r="Z73" s="47"/>
      <c r="AA73" s="198"/>
      <c r="AB73" s="198"/>
      <c r="AC73" s="198"/>
      <c r="AD73" s="198"/>
      <c r="AE73" s="198"/>
      <c r="AF73" s="198"/>
      <c r="AG73" s="198"/>
      <c r="AH73" s="198"/>
      <c r="AI73" s="198"/>
      <c r="AJ73" s="198"/>
      <c r="AK73" s="198"/>
      <c r="AL73" s="198"/>
      <c r="AM73" s="198"/>
      <c r="AN73" s="198"/>
      <c r="AO73" s="198"/>
      <c r="AP73" s="57"/>
      <c r="AQ73" s="57"/>
      <c r="AR73" s="57"/>
      <c r="AS73" s="57"/>
      <c r="AT73" s="52"/>
      <c r="AU73" s="52"/>
      <c r="AV73" s="52"/>
      <c r="AW73" s="52"/>
      <c r="AX73" s="52"/>
      <c r="AY73" s="52"/>
      <c r="AZ73" s="52"/>
      <c r="BA73" s="52"/>
      <c r="BB73" s="52"/>
      <c r="BC73" s="52"/>
      <c r="BD73" s="52"/>
      <c r="BE73" s="52"/>
    </row>
    <row r="74" spans="1:57" ht="14.5" thickBot="1">
      <c r="A74" s="480">
        <v>15301</v>
      </c>
      <c r="B74" s="480">
        <v>2.2514363334355867</v>
      </c>
      <c r="C74" s="480">
        <v>0.12586537683336427</v>
      </c>
      <c r="D74" s="480">
        <v>17.887654175272594</v>
      </c>
      <c r="E74" s="480">
        <v>3.1107354020307927E-3</v>
      </c>
      <c r="F74" s="480">
        <v>1.7098813262225669</v>
      </c>
      <c r="G74" s="480">
        <v>2.7929913406486064</v>
      </c>
      <c r="H74" s="480">
        <v>1.7098813262225669</v>
      </c>
      <c r="I74" s="480">
        <v>2.7929913406486064</v>
      </c>
      <c r="J74" s="12"/>
      <c r="K74" s="12"/>
      <c r="L74" s="12"/>
      <c r="M74" s="12"/>
      <c r="N74" s="12"/>
      <c r="O74" s="12"/>
      <c r="P74" s="12"/>
      <c r="Q74" s="3"/>
      <c r="R74" s="3"/>
      <c r="S74" s="47"/>
      <c r="T74" s="47"/>
      <c r="U74" s="47"/>
      <c r="V74" s="47"/>
      <c r="W74" s="47"/>
      <c r="X74" s="47"/>
      <c r="Y74" s="47"/>
      <c r="Z74" s="47"/>
      <c r="AA74" s="198"/>
      <c r="AB74" s="198"/>
      <c r="AC74" s="198"/>
      <c r="AD74" s="198"/>
      <c r="AE74" s="198"/>
      <c r="AF74" s="198"/>
      <c r="AG74" s="198"/>
      <c r="AH74" s="198"/>
      <c r="AI74" s="198"/>
      <c r="AJ74" s="198"/>
      <c r="AK74" s="198"/>
      <c r="AL74" s="198"/>
      <c r="AM74" s="198"/>
      <c r="AN74" s="198"/>
      <c r="AO74" s="198"/>
      <c r="AP74" s="57"/>
      <c r="AQ74" s="57"/>
      <c r="AR74" s="57"/>
      <c r="AS74" s="57"/>
      <c r="AT74" s="52"/>
      <c r="AU74" s="52"/>
      <c r="AV74" s="52"/>
      <c r="AW74" s="52"/>
      <c r="AX74" s="52"/>
      <c r="AY74" s="52"/>
      <c r="AZ74" s="52"/>
      <c r="BA74" s="52"/>
      <c r="BB74" s="52"/>
      <c r="BC74" s="52"/>
      <c r="BD74" s="52"/>
      <c r="BE74" s="52"/>
    </row>
    <row r="75" spans="1:57">
      <c r="A75" s="46"/>
      <c r="B75" s="46"/>
      <c r="C75" s="46"/>
      <c r="D75" s="46"/>
      <c r="E75" s="46"/>
      <c r="F75" s="46"/>
      <c r="G75" s="46"/>
      <c r="H75" s="46"/>
      <c r="I75" s="46"/>
      <c r="J75" s="12"/>
      <c r="K75" s="12"/>
      <c r="L75" s="12"/>
      <c r="M75" s="12"/>
      <c r="N75" s="12"/>
      <c r="O75" s="12"/>
      <c r="P75" s="12"/>
      <c r="Q75" s="3"/>
      <c r="R75" s="3"/>
      <c r="S75" s="47"/>
      <c r="T75" s="47"/>
      <c r="U75" s="47"/>
      <c r="V75" s="47"/>
      <c r="W75" s="47"/>
      <c r="X75" s="47"/>
      <c r="Y75" s="47"/>
      <c r="Z75" s="47"/>
      <c r="AA75" s="198"/>
      <c r="AB75" s="198"/>
      <c r="AC75" s="198"/>
      <c r="AD75" s="198"/>
      <c r="AE75" s="198"/>
      <c r="AF75" s="198"/>
      <c r="AG75" s="198"/>
      <c r="AH75" s="198"/>
      <c r="AI75" s="198"/>
      <c r="AJ75" s="198"/>
      <c r="AK75" s="198"/>
      <c r="AL75" s="198"/>
      <c r="AM75" s="198"/>
      <c r="AN75" s="198"/>
      <c r="AO75" s="198"/>
      <c r="AP75" s="57"/>
      <c r="AQ75" s="57"/>
      <c r="AR75" s="57"/>
      <c r="AS75" s="57"/>
      <c r="AT75" s="52"/>
      <c r="AU75" s="52"/>
      <c r="AV75" s="52"/>
      <c r="AW75" s="52"/>
      <c r="AX75" s="52"/>
      <c r="AY75" s="52"/>
      <c r="AZ75" s="52"/>
      <c r="BA75" s="52"/>
      <c r="BB75" s="52"/>
      <c r="BC75" s="52"/>
      <c r="BD75" s="52"/>
      <c r="BE75" s="52"/>
    </row>
    <row r="76" spans="1:57">
      <c r="A76" s="46"/>
      <c r="B76" s="46"/>
      <c r="C76" s="46"/>
      <c r="D76" s="46"/>
      <c r="E76" s="46"/>
      <c r="F76" s="46"/>
      <c r="G76" s="46"/>
      <c r="H76" s="46"/>
      <c r="I76" s="46"/>
      <c r="J76" s="12"/>
      <c r="K76" s="12"/>
      <c r="L76" s="12"/>
      <c r="M76" s="12"/>
      <c r="N76" s="12"/>
      <c r="O76" s="12"/>
      <c r="P76" s="12"/>
      <c r="Q76" s="3"/>
      <c r="R76" s="3"/>
      <c r="S76" s="47"/>
      <c r="T76" s="47"/>
      <c r="U76" s="47"/>
      <c r="V76" s="47"/>
      <c r="W76" s="47"/>
      <c r="X76" s="47"/>
      <c r="Y76" s="47"/>
      <c r="Z76" s="47"/>
      <c r="AA76" s="198"/>
      <c r="AB76" s="198"/>
      <c r="AC76" s="198"/>
      <c r="AD76" s="198"/>
      <c r="AE76" s="198"/>
      <c r="AF76" s="198"/>
      <c r="AG76" s="198"/>
      <c r="AH76" s="198"/>
      <c r="AI76" s="198"/>
      <c r="AJ76" s="198"/>
      <c r="AK76" s="198"/>
      <c r="AL76" s="198"/>
      <c r="AM76" s="198"/>
      <c r="AN76" s="198"/>
      <c r="AO76" s="198"/>
      <c r="AP76" s="57"/>
      <c r="AQ76" s="57"/>
      <c r="AR76" s="57"/>
      <c r="AS76" s="57"/>
      <c r="AT76" s="52"/>
      <c r="AU76" s="52"/>
      <c r="AV76" s="52"/>
      <c r="AW76" s="52"/>
      <c r="AX76" s="52"/>
      <c r="AY76" s="52"/>
      <c r="AZ76" s="52"/>
      <c r="BA76" s="52"/>
      <c r="BB76" s="52"/>
      <c r="BC76" s="52"/>
      <c r="BD76" s="52"/>
      <c r="BE76" s="52"/>
    </row>
    <row r="77" spans="1:57">
      <c r="A77" s="46"/>
      <c r="B77" s="46"/>
      <c r="C77" s="46"/>
      <c r="D77" s="46"/>
      <c r="E77" s="46"/>
      <c r="F77" s="46"/>
      <c r="G77" s="46"/>
      <c r="H77" s="46"/>
      <c r="I77" s="46"/>
      <c r="J77" s="12"/>
      <c r="K77" s="12"/>
      <c r="L77" s="12"/>
      <c r="M77" s="12"/>
      <c r="N77" s="12"/>
      <c r="O77" s="12"/>
      <c r="P77" s="12"/>
      <c r="Q77" s="3"/>
      <c r="R77" s="3"/>
      <c r="S77" s="47"/>
      <c r="T77" s="47"/>
      <c r="U77" s="47"/>
      <c r="V77" s="47"/>
      <c r="W77" s="47"/>
      <c r="X77" s="47"/>
      <c r="Y77" s="47"/>
      <c r="Z77" s="47"/>
      <c r="AA77" s="198"/>
      <c r="AB77" s="198"/>
      <c r="AC77" s="198"/>
      <c r="AD77" s="198"/>
      <c r="AE77" s="198"/>
      <c r="AF77" s="198"/>
      <c r="AG77" s="198"/>
      <c r="AH77" s="198"/>
      <c r="AI77" s="198"/>
      <c r="AJ77" s="198"/>
      <c r="AK77" s="198"/>
      <c r="AL77" s="198"/>
      <c r="AM77" s="198"/>
      <c r="AN77" s="198"/>
      <c r="AO77" s="198"/>
      <c r="AP77" s="57"/>
      <c r="AQ77" s="57"/>
      <c r="AR77" s="57"/>
      <c r="AS77" s="57"/>
      <c r="AT77" s="52"/>
      <c r="AU77" s="52"/>
      <c r="AV77" s="52"/>
      <c r="AW77" s="52"/>
      <c r="AX77" s="52"/>
      <c r="AY77" s="52"/>
      <c r="AZ77" s="52"/>
      <c r="BA77" s="52"/>
      <c r="BB77" s="52"/>
      <c r="BC77" s="52"/>
      <c r="BD77" s="52"/>
      <c r="BE77" s="52"/>
    </row>
    <row r="78" spans="1:57">
      <c r="A78" s="482"/>
      <c r="B78" s="482"/>
      <c r="C78" s="482"/>
      <c r="D78" s="482"/>
      <c r="E78" s="482"/>
      <c r="F78" s="482"/>
      <c r="G78" s="482"/>
      <c r="H78" s="482"/>
      <c r="I78" s="482"/>
      <c r="J78" s="12"/>
      <c r="K78" s="12"/>
      <c r="L78" s="12"/>
      <c r="M78" s="12"/>
      <c r="N78" s="12"/>
      <c r="O78" s="12"/>
      <c r="P78" s="12"/>
      <c r="Q78" s="3"/>
      <c r="R78" s="3"/>
      <c r="S78" s="47"/>
      <c r="T78" s="47"/>
      <c r="U78" s="47"/>
      <c r="V78" s="47"/>
      <c r="W78" s="47"/>
      <c r="X78" s="47"/>
      <c r="Y78" s="47"/>
      <c r="Z78" s="47"/>
      <c r="AA78" s="198"/>
      <c r="AB78" s="198"/>
      <c r="AC78" s="198"/>
      <c r="AD78" s="198"/>
      <c r="AE78" s="198"/>
      <c r="AF78" s="198"/>
      <c r="AG78" s="198"/>
      <c r="AH78" s="198"/>
      <c r="AI78" s="198"/>
      <c r="AJ78" s="198"/>
      <c r="AK78" s="198"/>
      <c r="AL78" s="198"/>
      <c r="AM78" s="198"/>
      <c r="AN78" s="198"/>
      <c r="AO78" s="198"/>
      <c r="AP78" s="57"/>
      <c r="AQ78" s="57"/>
      <c r="AR78" s="57"/>
      <c r="AS78" s="57"/>
      <c r="AT78" s="52"/>
      <c r="AU78" s="52"/>
      <c r="AV78" s="52"/>
      <c r="AW78" s="52"/>
      <c r="AX78" s="52"/>
      <c r="AY78" s="52"/>
      <c r="AZ78" s="52"/>
      <c r="BA78" s="52"/>
      <c r="BB78" s="52"/>
      <c r="BC78" s="52"/>
      <c r="BD78" s="52"/>
      <c r="BE78" s="52"/>
    </row>
    <row r="79" spans="1:57">
      <c r="A79" s="482"/>
      <c r="B79" s="482"/>
      <c r="C79" s="482"/>
      <c r="D79" s="482"/>
      <c r="E79" s="482"/>
      <c r="F79" s="482"/>
      <c r="G79" s="482"/>
      <c r="H79" s="482"/>
      <c r="I79" s="482"/>
      <c r="J79" s="12"/>
      <c r="K79" s="12"/>
      <c r="L79" s="12"/>
      <c r="M79" s="12"/>
      <c r="N79" s="12"/>
      <c r="O79" s="12"/>
      <c r="P79" s="12"/>
      <c r="Q79" s="3"/>
      <c r="R79" s="3"/>
      <c r="S79" s="47"/>
      <c r="T79" s="47"/>
      <c r="U79" s="47"/>
      <c r="V79" s="47"/>
      <c r="W79" s="47"/>
      <c r="X79" s="47"/>
      <c r="Y79" s="47"/>
      <c r="Z79" s="47"/>
      <c r="AA79" s="198"/>
      <c r="AB79" s="198"/>
      <c r="AC79" s="198"/>
      <c r="AD79" s="198"/>
      <c r="AE79" s="198"/>
      <c r="AF79" s="198"/>
      <c r="AG79" s="198"/>
      <c r="AH79" s="198"/>
      <c r="AI79" s="198"/>
      <c r="AJ79" s="198"/>
      <c r="AK79" s="198"/>
      <c r="AL79" s="198"/>
      <c r="AM79" s="198"/>
      <c r="AN79" s="198"/>
      <c r="AO79" s="198"/>
      <c r="AP79" s="57"/>
      <c r="AQ79" s="57"/>
      <c r="AR79" s="57"/>
      <c r="AS79" s="57"/>
      <c r="AT79" s="52"/>
      <c r="AU79" s="52"/>
      <c r="AV79" s="52"/>
      <c r="AW79" s="52"/>
      <c r="AX79" s="52"/>
      <c r="AY79" s="52"/>
      <c r="AZ79" s="52"/>
      <c r="BA79" s="52"/>
      <c r="BB79" s="52"/>
      <c r="BC79" s="52"/>
      <c r="BD79" s="52"/>
      <c r="BE79" s="52"/>
    </row>
    <row r="80" spans="1:57">
      <c r="A80" s="482"/>
      <c r="B80" s="482"/>
      <c r="C80" s="482"/>
      <c r="D80" s="482"/>
      <c r="E80" s="482"/>
      <c r="F80" s="482"/>
      <c r="G80" s="482"/>
      <c r="H80" s="482"/>
      <c r="I80" s="482"/>
      <c r="J80" s="12"/>
      <c r="K80" s="12"/>
      <c r="L80" s="12"/>
      <c r="M80" s="12"/>
      <c r="N80" s="12"/>
      <c r="O80" s="12"/>
      <c r="P80" s="12"/>
      <c r="Q80" s="3"/>
      <c r="R80" s="3"/>
      <c r="S80" s="47"/>
      <c r="T80" s="47"/>
      <c r="U80" s="47"/>
      <c r="V80" s="47"/>
      <c r="W80" s="47"/>
      <c r="X80" s="47"/>
      <c r="Y80" s="47"/>
      <c r="Z80" s="47"/>
      <c r="AA80" s="198"/>
      <c r="AB80" s="198"/>
      <c r="AC80" s="198"/>
      <c r="AD80" s="198"/>
      <c r="AE80" s="198"/>
      <c r="AF80" s="198"/>
      <c r="AG80" s="198"/>
      <c r="AH80" s="198"/>
      <c r="AI80" s="198"/>
      <c r="AJ80" s="198"/>
      <c r="AK80" s="198"/>
      <c r="AL80" s="198"/>
      <c r="AM80" s="198"/>
      <c r="AN80" s="198"/>
      <c r="AO80" s="198"/>
      <c r="AP80" s="57"/>
      <c r="AQ80" s="57"/>
      <c r="AR80" s="57"/>
      <c r="AS80" s="57"/>
      <c r="AT80" s="52"/>
      <c r="AU80" s="52"/>
      <c r="AV80" s="52"/>
      <c r="AW80" s="52"/>
      <c r="AX80" s="52"/>
      <c r="AY80" s="52"/>
      <c r="AZ80" s="52"/>
      <c r="BA80" s="52"/>
      <c r="BB80" s="52"/>
      <c r="BC80" s="52"/>
      <c r="BD80" s="52"/>
      <c r="BE80" s="52"/>
    </row>
    <row r="81" spans="1:57">
      <c r="A81" s="165"/>
      <c r="B81" s="165"/>
      <c r="C81" s="165"/>
      <c r="D81" s="165"/>
      <c r="E81" s="165"/>
      <c r="F81" s="165"/>
      <c r="G81" s="165"/>
      <c r="H81" s="165"/>
      <c r="I81" s="165"/>
      <c r="J81" s="12"/>
      <c r="K81" s="12"/>
      <c r="L81" s="12"/>
      <c r="M81" s="12"/>
      <c r="N81" s="12"/>
      <c r="O81" s="12"/>
      <c r="P81" s="12"/>
      <c r="Q81" s="3"/>
      <c r="R81" s="3"/>
      <c r="S81" s="47"/>
      <c r="T81" s="47"/>
      <c r="U81" s="47"/>
      <c r="V81" s="47"/>
      <c r="W81" s="47"/>
      <c r="X81" s="47"/>
      <c r="Y81" s="47"/>
      <c r="Z81" s="47"/>
      <c r="AA81" s="198"/>
      <c r="AB81" s="198"/>
      <c r="AC81" s="198"/>
      <c r="AD81" s="198"/>
      <c r="AE81" s="198"/>
      <c r="AF81" s="198"/>
      <c r="AG81" s="198"/>
      <c r="AH81" s="198"/>
      <c r="AI81" s="198"/>
      <c r="AJ81" s="198"/>
      <c r="AK81" s="198"/>
      <c r="AL81" s="198"/>
      <c r="AM81" s="198"/>
      <c r="AN81" s="198"/>
      <c r="AO81" s="198"/>
      <c r="AP81" s="57"/>
      <c r="AQ81" s="57"/>
      <c r="AR81" s="57"/>
      <c r="AS81" s="57"/>
      <c r="AT81" s="52"/>
      <c r="AU81" s="52"/>
      <c r="AV81" s="52"/>
      <c r="AW81" s="52"/>
      <c r="AX81" s="52"/>
      <c r="AY81" s="52"/>
      <c r="AZ81" s="52"/>
      <c r="BA81" s="52"/>
      <c r="BB81" s="52"/>
      <c r="BC81" s="52"/>
      <c r="BD81" s="52"/>
      <c r="BE81" s="52"/>
    </row>
    <row r="82" spans="1:57">
      <c r="A82" s="165"/>
      <c r="B82" s="165"/>
      <c r="C82" s="165"/>
      <c r="D82" s="165"/>
      <c r="E82" s="165"/>
      <c r="F82" s="165"/>
      <c r="G82" s="165"/>
      <c r="H82" s="165"/>
      <c r="I82" s="165"/>
      <c r="J82" s="12"/>
      <c r="K82" s="12"/>
      <c r="L82" s="12"/>
      <c r="M82" s="12"/>
      <c r="N82" s="12"/>
      <c r="O82" s="12"/>
      <c r="P82" s="12"/>
      <c r="Q82" s="3"/>
      <c r="R82" s="3"/>
      <c r="S82" s="47"/>
      <c r="T82" s="47"/>
      <c r="U82" s="47"/>
      <c r="V82" s="47"/>
      <c r="W82" s="47"/>
      <c r="X82" s="47"/>
      <c r="Y82" s="47"/>
      <c r="Z82" s="47"/>
      <c r="AA82" s="198"/>
      <c r="AB82" s="198"/>
      <c r="AC82" s="198"/>
      <c r="AD82" s="198"/>
      <c r="AE82" s="198"/>
      <c r="AF82" s="198"/>
      <c r="AG82" s="198"/>
      <c r="AH82" s="198"/>
      <c r="AI82" s="198"/>
      <c r="AJ82" s="198"/>
      <c r="AK82" s="198"/>
      <c r="AL82" s="198"/>
      <c r="AM82" s="198"/>
      <c r="AN82" s="198"/>
      <c r="AO82" s="198"/>
      <c r="AP82" s="57"/>
      <c r="AQ82" s="57"/>
      <c r="AR82" s="57"/>
      <c r="AS82" s="57"/>
      <c r="AT82" s="52"/>
      <c r="AU82" s="52"/>
      <c r="AV82" s="52"/>
      <c r="AW82" s="52"/>
      <c r="AX82" s="52"/>
      <c r="AY82" s="52"/>
      <c r="AZ82" s="52"/>
      <c r="BA82" s="52"/>
      <c r="BB82" s="52"/>
      <c r="BC82" s="52"/>
      <c r="BD82" s="52"/>
      <c r="BE82" s="52"/>
    </row>
    <row r="83" spans="1:57">
      <c r="A83" s="165"/>
      <c r="B83" s="165"/>
      <c r="C83" s="165"/>
      <c r="D83" s="165"/>
      <c r="E83" s="165"/>
      <c r="F83" s="165"/>
      <c r="G83" s="165"/>
      <c r="H83" s="165"/>
      <c r="I83" s="165"/>
      <c r="J83" s="12"/>
      <c r="K83" s="12"/>
      <c r="L83" s="12"/>
      <c r="M83" s="12"/>
      <c r="N83" s="12"/>
      <c r="O83" s="12"/>
      <c r="P83" s="12"/>
      <c r="Q83" s="3"/>
      <c r="R83" s="3"/>
      <c r="S83" s="47"/>
      <c r="T83" s="47"/>
      <c r="U83" s="47"/>
      <c r="V83" s="47"/>
      <c r="W83" s="47"/>
      <c r="X83" s="47"/>
      <c r="Y83" s="47"/>
      <c r="Z83" s="47"/>
      <c r="AA83" s="198"/>
      <c r="AB83" s="198"/>
      <c r="AC83" s="198"/>
      <c r="AD83" s="198"/>
      <c r="AE83" s="198"/>
      <c r="AF83" s="198"/>
      <c r="AG83" s="198"/>
      <c r="AH83" s="198"/>
      <c r="AI83" s="198"/>
      <c r="AJ83" s="198"/>
      <c r="AK83" s="198"/>
      <c r="AL83" s="198"/>
      <c r="AM83" s="198"/>
      <c r="AN83" s="198"/>
      <c r="AO83" s="198"/>
      <c r="AP83" s="57"/>
      <c r="AQ83" s="57"/>
      <c r="AR83" s="57"/>
      <c r="AS83" s="57"/>
      <c r="AT83" s="52"/>
      <c r="AU83" s="52"/>
      <c r="AV83" s="52"/>
      <c r="AW83" s="52"/>
      <c r="AX83" s="52"/>
      <c r="AY83" s="52"/>
      <c r="AZ83" s="52"/>
      <c r="BA83" s="52"/>
      <c r="BB83" s="52"/>
      <c r="BC83" s="52"/>
      <c r="BD83" s="52"/>
      <c r="BE83" s="52"/>
    </row>
    <row r="84" spans="1:57">
      <c r="A84" s="165"/>
      <c r="B84" s="165"/>
      <c r="C84" s="165"/>
      <c r="D84" s="165"/>
      <c r="E84" s="165"/>
      <c r="F84" s="165"/>
      <c r="G84" s="165"/>
      <c r="H84" s="165"/>
      <c r="I84" s="165"/>
      <c r="J84" s="12"/>
      <c r="K84" s="12"/>
      <c r="L84" s="12"/>
      <c r="M84" s="12"/>
      <c r="N84" s="12"/>
      <c r="O84" s="12"/>
      <c r="P84" s="12"/>
      <c r="Q84" s="3"/>
      <c r="R84" s="3"/>
      <c r="S84" s="47"/>
      <c r="T84" s="47"/>
      <c r="U84" s="47"/>
      <c r="V84" s="47"/>
      <c r="W84" s="47"/>
      <c r="X84" s="47"/>
      <c r="Y84" s="47"/>
      <c r="Z84" s="47"/>
      <c r="AA84" s="198"/>
      <c r="AB84" s="198"/>
      <c r="AC84" s="198"/>
      <c r="AD84" s="198"/>
      <c r="AE84" s="198"/>
      <c r="AF84" s="198"/>
      <c r="AG84" s="198"/>
      <c r="AH84" s="198"/>
      <c r="AI84" s="198"/>
      <c r="AJ84" s="198"/>
      <c r="AK84" s="198"/>
      <c r="AL84" s="198"/>
      <c r="AM84" s="198"/>
      <c r="AN84" s="198"/>
      <c r="AO84" s="198"/>
      <c r="AP84" s="57"/>
      <c r="AQ84" s="57"/>
      <c r="AR84" s="57"/>
      <c r="AS84" s="57"/>
      <c r="AT84" s="52"/>
      <c r="AU84" s="52"/>
      <c r="AV84" s="52"/>
      <c r="AW84" s="52"/>
      <c r="AX84" s="52"/>
      <c r="AY84" s="52"/>
      <c r="AZ84" s="52"/>
      <c r="BA84" s="52"/>
      <c r="BB84" s="52"/>
      <c r="BC84" s="52"/>
      <c r="BD84" s="52"/>
      <c r="BE84" s="52"/>
    </row>
    <row r="85" spans="1:57">
      <c r="A85" s="165"/>
      <c r="B85" s="165"/>
      <c r="C85" s="165"/>
      <c r="D85" s="165"/>
      <c r="E85" s="165"/>
      <c r="F85" s="165"/>
      <c r="G85" s="165"/>
      <c r="H85" s="165"/>
      <c r="I85" s="165"/>
      <c r="J85" s="12"/>
      <c r="K85" s="12"/>
      <c r="L85" s="12"/>
      <c r="M85" s="12"/>
      <c r="N85" s="12"/>
      <c r="O85" s="12"/>
      <c r="P85" s="12"/>
      <c r="Q85" s="3"/>
      <c r="R85" s="3"/>
      <c r="S85" s="47"/>
      <c r="T85" s="47"/>
      <c r="U85" s="47"/>
      <c r="V85" s="47"/>
      <c r="W85" s="47"/>
      <c r="X85" s="47"/>
      <c r="Y85" s="47"/>
      <c r="Z85" s="47"/>
      <c r="AA85" s="198"/>
      <c r="AB85" s="198"/>
      <c r="AC85" s="198"/>
      <c r="AD85" s="198"/>
      <c r="AE85" s="198"/>
      <c r="AF85" s="198"/>
      <c r="AG85" s="198"/>
      <c r="AH85" s="198"/>
      <c r="AI85" s="198"/>
      <c r="AJ85" s="198"/>
      <c r="AK85" s="198"/>
      <c r="AL85" s="198"/>
      <c r="AM85" s="198"/>
      <c r="AN85" s="198"/>
      <c r="AO85" s="198"/>
      <c r="AP85" s="57"/>
      <c r="AQ85" s="57"/>
      <c r="AR85" s="57"/>
      <c r="AS85" s="57"/>
      <c r="AT85" s="52"/>
      <c r="AU85" s="52"/>
      <c r="AV85" s="52"/>
      <c r="AW85" s="52"/>
      <c r="AX85" s="52"/>
      <c r="AY85" s="52"/>
      <c r="AZ85" s="52"/>
      <c r="BA85" s="52"/>
      <c r="BB85" s="52"/>
      <c r="BC85" s="52"/>
      <c r="BD85" s="52"/>
      <c r="BE85" s="52"/>
    </row>
    <row r="86" spans="1:57" ht="14.5" thickBot="1">
      <c r="A86" s="358"/>
      <c r="B86" s="358"/>
      <c r="C86" s="358"/>
      <c r="D86" s="358"/>
      <c r="E86" s="165"/>
      <c r="F86" s="165"/>
      <c r="G86" s="165"/>
      <c r="H86" s="165"/>
      <c r="I86" s="165"/>
      <c r="J86" s="12"/>
      <c r="K86" s="12"/>
      <c r="L86" s="12"/>
      <c r="M86" s="12"/>
      <c r="N86" s="12"/>
      <c r="O86" s="12"/>
      <c r="P86" s="12"/>
      <c r="Q86" s="3"/>
      <c r="R86" s="3"/>
      <c r="S86" s="47"/>
      <c r="T86" s="47"/>
      <c r="U86" s="47"/>
      <c r="V86" s="47"/>
      <c r="W86" s="47"/>
      <c r="X86" s="47"/>
      <c r="Y86" s="47"/>
      <c r="Z86" s="47"/>
      <c r="AA86" s="198"/>
      <c r="AB86" s="198"/>
      <c r="AC86" s="198"/>
      <c r="AD86" s="198"/>
      <c r="AE86" s="198"/>
      <c r="AF86" s="198"/>
      <c r="AG86" s="198"/>
      <c r="AH86" s="198"/>
      <c r="AI86" s="198"/>
      <c r="AJ86" s="198"/>
      <c r="AK86" s="198"/>
      <c r="AL86" s="198"/>
      <c r="AM86" s="198"/>
      <c r="AN86" s="198"/>
      <c r="AO86" s="198"/>
      <c r="AP86" s="57"/>
      <c r="AQ86" s="57"/>
      <c r="AR86" s="57"/>
      <c r="AS86" s="57"/>
      <c r="AT86" s="52"/>
      <c r="AU86" s="52"/>
      <c r="AV86" s="52"/>
      <c r="AW86" s="52"/>
      <c r="AX86" s="52"/>
      <c r="AY86" s="52"/>
      <c r="AZ86" s="52"/>
      <c r="BA86" s="52"/>
      <c r="BB86" s="52"/>
      <c r="BC86" s="52"/>
      <c r="BD86" s="52"/>
      <c r="BE86" s="52"/>
    </row>
    <row r="87" spans="1:57">
      <c r="A87" s="12"/>
      <c r="B87" s="12"/>
      <c r="C87" s="12"/>
      <c r="D87" s="12"/>
      <c r="E87" s="12"/>
      <c r="F87" s="12"/>
      <c r="G87" s="12"/>
      <c r="H87" s="12"/>
      <c r="I87" s="12"/>
      <c r="J87" s="12"/>
      <c r="K87" s="12"/>
      <c r="L87" s="12"/>
      <c r="M87" s="12"/>
      <c r="N87" s="12"/>
      <c r="O87" s="12"/>
      <c r="P87" s="12"/>
      <c r="Q87" s="3"/>
      <c r="R87" s="3"/>
      <c r="S87" s="47"/>
      <c r="T87" s="47"/>
      <c r="U87" s="47"/>
      <c r="V87" s="47"/>
      <c r="W87" s="47"/>
      <c r="X87" s="47"/>
      <c r="Y87" s="47"/>
      <c r="Z87" s="47"/>
      <c r="AA87" s="198"/>
      <c r="AB87" s="198"/>
      <c r="AC87" s="198"/>
      <c r="AD87" s="198"/>
      <c r="AE87" s="198"/>
      <c r="AF87" s="198"/>
      <c r="AG87" s="198"/>
      <c r="AH87" s="198"/>
      <c r="AI87" s="198"/>
      <c r="AJ87" s="198"/>
      <c r="AK87" s="198"/>
      <c r="AL87" s="198"/>
      <c r="AM87" s="198"/>
      <c r="AN87" s="198"/>
      <c r="AO87" s="198"/>
      <c r="AP87" s="57"/>
      <c r="AQ87" s="57"/>
      <c r="AR87" s="57"/>
      <c r="AS87" s="57"/>
      <c r="AT87" s="52"/>
      <c r="AU87" s="52"/>
      <c r="AV87" s="52"/>
      <c r="AW87" s="52"/>
      <c r="AX87" s="52"/>
      <c r="AY87" s="52"/>
      <c r="AZ87" s="52"/>
      <c r="BA87" s="52"/>
      <c r="BB87" s="52"/>
      <c r="BC87" s="52"/>
      <c r="BD87" s="52"/>
      <c r="BE87" s="52"/>
    </row>
    <row r="88" spans="1:57">
      <c r="A88" s="12"/>
      <c r="B88" s="12"/>
      <c r="C88" s="12"/>
      <c r="D88" s="12"/>
      <c r="E88" s="12"/>
      <c r="F88" s="12"/>
      <c r="G88" s="12"/>
      <c r="H88" s="12"/>
      <c r="I88" s="12"/>
      <c r="J88" s="12"/>
      <c r="K88" s="12"/>
      <c r="L88" s="12"/>
      <c r="M88" s="12"/>
      <c r="N88" s="12"/>
      <c r="O88" s="12"/>
      <c r="P88" s="12"/>
      <c r="Q88" s="3"/>
      <c r="R88" s="3"/>
      <c r="S88" s="47"/>
      <c r="T88" s="47"/>
      <c r="U88" s="47"/>
      <c r="V88" s="47"/>
      <c r="W88" s="47"/>
      <c r="X88" s="47"/>
      <c r="Y88" s="47"/>
      <c r="Z88" s="47"/>
      <c r="AA88" s="198"/>
      <c r="AB88" s="198"/>
      <c r="AC88" s="198"/>
      <c r="AD88" s="198"/>
      <c r="AE88" s="198"/>
      <c r="AF88" s="198"/>
      <c r="AG88" s="198"/>
      <c r="AH88" s="198"/>
      <c r="AI88" s="198"/>
      <c r="AJ88" s="198"/>
      <c r="AK88" s="198"/>
      <c r="AL88" s="198"/>
      <c r="AM88" s="198"/>
      <c r="AN88" s="198"/>
      <c r="AO88" s="198"/>
      <c r="AP88" s="57"/>
      <c r="AQ88" s="57"/>
      <c r="AR88" s="57"/>
      <c r="AS88" s="57"/>
      <c r="AT88" s="52"/>
      <c r="AU88" s="52"/>
      <c r="AV88" s="52"/>
      <c r="AW88" s="52"/>
      <c r="AX88" s="52"/>
      <c r="AY88" s="52"/>
      <c r="AZ88" s="52"/>
      <c r="BA88" s="52"/>
      <c r="BB88" s="52"/>
      <c r="BC88" s="52"/>
      <c r="BD88" s="52"/>
      <c r="BE88" s="52"/>
    </row>
    <row r="89" spans="1:57">
      <c r="A89" s="174"/>
      <c r="B89" s="174"/>
      <c r="C89" s="174"/>
      <c r="D89" s="174"/>
      <c r="E89" s="174"/>
      <c r="F89" s="174"/>
      <c r="G89" s="174"/>
      <c r="H89" s="174"/>
      <c r="I89" s="174"/>
      <c r="J89" s="174"/>
      <c r="K89" s="174"/>
      <c r="L89" s="174"/>
      <c r="M89" s="174"/>
      <c r="N89" s="174"/>
      <c r="O89" s="174"/>
      <c r="P89" s="174"/>
      <c r="Q89" s="47"/>
      <c r="R89" s="47"/>
      <c r="S89" s="47"/>
      <c r="T89" s="47"/>
      <c r="U89" s="47"/>
      <c r="V89" s="47"/>
      <c r="W89" s="47"/>
      <c r="X89" s="47"/>
      <c r="Y89" s="47"/>
      <c r="Z89" s="47"/>
      <c r="AA89" s="198"/>
      <c r="AB89" s="198"/>
      <c r="AC89" s="198"/>
      <c r="AD89" s="198"/>
      <c r="AE89" s="198"/>
      <c r="AF89" s="198"/>
      <c r="AG89" s="198"/>
      <c r="AH89" s="198"/>
      <c r="AI89" s="198"/>
      <c r="AJ89" s="198"/>
      <c r="AK89" s="198"/>
      <c r="AL89" s="198"/>
      <c r="AM89" s="198"/>
      <c r="AN89" s="198"/>
      <c r="AO89" s="198"/>
      <c r="AP89" s="57"/>
      <c r="AQ89" s="57"/>
      <c r="AR89" s="57"/>
      <c r="AS89" s="57"/>
      <c r="AT89" s="52"/>
      <c r="AU89" s="52"/>
      <c r="AV89" s="52"/>
      <c r="AW89" s="52"/>
      <c r="AX89" s="52"/>
      <c r="AY89" s="52"/>
      <c r="AZ89" s="52"/>
      <c r="BA89" s="52"/>
      <c r="BB89" s="52"/>
      <c r="BC89" s="52"/>
      <c r="BD89" s="52"/>
      <c r="BE89" s="52"/>
    </row>
    <row r="90" spans="1:57">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c r="AD90" s="201"/>
      <c r="AE90" s="201"/>
      <c r="AF90" s="201"/>
      <c r="AG90" s="201"/>
      <c r="AH90" s="201"/>
      <c r="AI90" s="201"/>
      <c r="AJ90" s="201"/>
      <c r="AK90" s="201"/>
      <c r="AL90" s="201"/>
      <c r="AM90" s="201"/>
      <c r="AN90" s="201"/>
      <c r="AO90" s="201"/>
      <c r="AP90" s="52"/>
      <c r="AQ90" s="52"/>
      <c r="AR90" s="52"/>
      <c r="AS90" s="52"/>
      <c r="AT90" s="52"/>
      <c r="AU90" s="52"/>
      <c r="AV90" s="52"/>
      <c r="AW90" s="52"/>
      <c r="AX90" s="52"/>
      <c r="AY90" s="52"/>
      <c r="AZ90" s="52"/>
      <c r="BA90" s="52"/>
      <c r="BB90" s="52"/>
      <c r="BC90" s="52"/>
      <c r="BD90" s="52"/>
      <c r="BE90" s="52"/>
    </row>
    <row r="91" spans="1:57">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c r="AG91" s="201"/>
      <c r="AH91" s="201"/>
      <c r="AI91" s="201"/>
      <c r="AJ91" s="201"/>
      <c r="AK91" s="201"/>
      <c r="AL91" s="201"/>
      <c r="AM91" s="201"/>
      <c r="AN91" s="201"/>
      <c r="AO91" s="201"/>
      <c r="AP91" s="52"/>
      <c r="AQ91" s="52"/>
      <c r="AR91" s="52"/>
      <c r="AS91" s="52"/>
      <c r="AT91" s="52"/>
      <c r="AU91" s="52"/>
      <c r="AV91" s="52"/>
      <c r="AW91" s="52"/>
      <c r="AX91" s="52"/>
      <c r="AY91" s="52"/>
      <c r="AZ91" s="52"/>
      <c r="BA91" s="52"/>
      <c r="BB91" s="52"/>
      <c r="BC91" s="52"/>
      <c r="BD91" s="52"/>
      <c r="BE91" s="52"/>
    </row>
    <row r="92" spans="1:57">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row>
    <row r="93" spans="1:57">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row>
    <row r="94" spans="1:57">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row>
    <row r="95" spans="1:57">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row>
    <row r="96" spans="1:57">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row>
    <row r="97" spans="1:5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row>
    <row r="98" spans="1:57">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row>
    <row r="99" spans="1:57">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row>
    <row r="100" spans="1:57">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row>
    <row r="101" spans="1:57">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row>
    <row r="102" spans="1:57">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row>
    <row r="103" spans="1:57">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row>
    <row r="104" spans="1:57">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row>
    <row r="105" spans="1:57">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row>
    <row r="106" spans="1:57">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row>
    <row r="107" spans="1:5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row>
    <row r="108" spans="1:57">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row>
    <row r="109" spans="1:57">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row>
    <row r="110" spans="1:57">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row>
    <row r="111" spans="1:57">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row>
    <row r="112" spans="1:57">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row>
    <row r="113" spans="1:57">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row>
    <row r="114" spans="1:57">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row>
    <row r="115" spans="1:57">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row>
    <row r="116" spans="1:57">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row>
    <row r="117" spans="1:5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row>
    <row r="118" spans="1:57">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row>
    <row r="119" spans="1:57">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row>
    <row r="120" spans="1:57">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row>
    <row r="121" spans="1:57">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row>
    <row r="122" spans="1:57">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row>
    <row r="123" spans="1:57">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row>
    <row r="124" spans="1:57">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row>
    <row r="125" spans="1:57">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row>
    <row r="126" spans="1:57">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row>
    <row r="127" spans="1:5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row>
    <row r="128" spans="1:57">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row>
    <row r="129" spans="1:57">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row>
    <row r="130" spans="1:57">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row>
    <row r="131" spans="1:57">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row>
    <row r="132" spans="1:57">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row>
    <row r="133" spans="1:57">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row>
    <row r="134" spans="1:57">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row>
    <row r="135" spans="1:57">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row>
    <row r="136" spans="1:57">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row>
    <row r="137" spans="1:5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row>
    <row r="138" spans="1:57">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row>
    <row r="139" spans="1:57">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row>
    <row r="140" spans="1:57">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row>
    <row r="141" spans="1:57">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row>
    <row r="142" spans="1:57">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row>
    <row r="143" spans="1:57">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row>
    <row r="144" spans="1:57">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row>
    <row r="145" spans="1:57">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row>
    <row r="146" spans="1:57">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row>
    <row r="147" spans="1:5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row>
    <row r="148" spans="1:57">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row>
    <row r="149" spans="1:57">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row>
    <row r="150" spans="1:57">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row>
    <row r="151" spans="1:57">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row>
    <row r="152" spans="1:57">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row>
    <row r="153" spans="1:57">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row>
    <row r="154" spans="1:57">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row>
    <row r="155" spans="1:57">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row>
    <row r="156" spans="1:57">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row>
    <row r="157" spans="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row>
    <row r="158" spans="1:57">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row>
    <row r="159" spans="1:57">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row>
    <row r="160" spans="1:57">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row>
    <row r="161" spans="1:57">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row>
    <row r="162" spans="1:57">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row>
    <row r="163" spans="1:57">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row>
    <row r="164" spans="1:57">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row>
    <row r="165" spans="1:57">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row>
    <row r="166" spans="1:57">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row>
    <row r="167" spans="1:5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row>
    <row r="168" spans="1:57">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row>
    <row r="169" spans="1:57">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row>
    <row r="170" spans="1:57">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row>
    <row r="171" spans="1:57">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row>
    <row r="172" spans="1:57">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row>
    <row r="173" spans="1:57">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row>
    <row r="174" spans="1:57">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row>
    <row r="175" spans="1:57">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row>
    <row r="176" spans="1:57">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row>
    <row r="177" spans="1:5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row>
    <row r="178" spans="1:57">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row>
    <row r="179" spans="1:57">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row>
    <row r="180" spans="1:57">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row>
  </sheetData>
  <pageMargins left="0.7" right="0.7" top="0.75" bottom="0.75" header="0.3" footer="0.3"/>
  <pageSetup orientation="portrait" r:id="rId1"/>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E1539-EE6F-4AFC-BB06-063426F7B65D}">
  <dimension ref="A1:AF177"/>
  <sheetViews>
    <sheetView zoomScale="70" zoomScaleNormal="70" workbookViewId="0"/>
  </sheetViews>
  <sheetFormatPr defaultRowHeight="14"/>
  <cols>
    <col min="1" max="1" width="45.25" customWidth="1"/>
    <col min="2" max="2" width="17.1640625" customWidth="1"/>
    <col min="3" max="3" width="14.1640625" customWidth="1"/>
    <col min="4" max="4" width="18.1640625" customWidth="1"/>
    <col min="5" max="7" width="13.25" bestFit="1" customWidth="1"/>
    <col min="8" max="8" width="10.75" customWidth="1"/>
    <col min="14" max="14" width="12" customWidth="1"/>
  </cols>
  <sheetData>
    <row r="1" spans="1:32">
      <c r="A1" s="22" t="s">
        <v>973</v>
      </c>
      <c r="B1" s="137"/>
      <c r="C1" s="12"/>
      <c r="D1" s="12"/>
      <c r="E1" s="12"/>
      <c r="F1" s="12"/>
      <c r="G1" s="12"/>
      <c r="H1" s="3"/>
      <c r="I1" s="3"/>
      <c r="J1" s="293"/>
      <c r="K1" s="293"/>
      <c r="L1" s="293"/>
      <c r="M1" s="293"/>
      <c r="N1" s="293"/>
      <c r="O1" s="293"/>
      <c r="P1" s="293"/>
      <c r="Q1" s="293"/>
      <c r="R1" s="293"/>
      <c r="S1" s="293"/>
      <c r="T1" s="293"/>
      <c r="U1" s="261"/>
      <c r="V1" s="261"/>
      <c r="W1" s="261"/>
      <c r="X1" s="261"/>
      <c r="Y1" s="261"/>
      <c r="Z1" s="261"/>
      <c r="AA1" s="201"/>
      <c r="AB1" s="201"/>
      <c r="AC1" s="52"/>
      <c r="AD1" s="52"/>
      <c r="AE1" s="52"/>
      <c r="AF1" s="52"/>
    </row>
    <row r="2" spans="1:32">
      <c r="A2" s="22" t="s">
        <v>450</v>
      </c>
      <c r="B2" s="152"/>
      <c r="C2" s="12"/>
      <c r="D2" s="12"/>
      <c r="E2" s="12"/>
      <c r="F2" s="12"/>
      <c r="G2" s="12"/>
      <c r="H2" s="3"/>
      <c r="I2" s="3"/>
      <c r="J2" s="293"/>
      <c r="K2" s="293"/>
      <c r="L2" s="293"/>
      <c r="M2" s="293"/>
      <c r="N2" s="293"/>
      <c r="O2" s="293"/>
      <c r="P2" s="293"/>
      <c r="Q2" s="293"/>
      <c r="R2" s="293"/>
      <c r="S2" s="293"/>
      <c r="T2" s="293"/>
      <c r="U2" s="261"/>
      <c r="V2" s="261"/>
      <c r="W2" s="261"/>
      <c r="X2" s="261"/>
      <c r="Y2" s="261"/>
      <c r="Z2" s="261"/>
      <c r="AA2" s="201"/>
      <c r="AB2" s="201"/>
      <c r="AC2" s="52"/>
      <c r="AD2" s="52"/>
      <c r="AE2" s="52"/>
      <c r="AF2" s="52"/>
    </row>
    <row r="3" spans="1:32">
      <c r="A3" s="22" t="s">
        <v>974</v>
      </c>
      <c r="B3" s="26" t="s">
        <v>975</v>
      </c>
      <c r="C3" s="12"/>
      <c r="D3" s="12"/>
      <c r="E3" s="12"/>
      <c r="F3" s="12"/>
      <c r="G3" s="12"/>
      <c r="H3" s="3"/>
      <c r="I3" s="3"/>
      <c r="J3" s="293"/>
      <c r="K3" s="293"/>
      <c r="L3" s="293"/>
      <c r="M3" s="293"/>
      <c r="N3" s="293"/>
      <c r="O3" s="293"/>
      <c r="P3" s="293"/>
      <c r="Q3" s="293"/>
      <c r="R3" s="293"/>
      <c r="S3" s="293"/>
      <c r="T3" s="293"/>
      <c r="U3" s="261"/>
      <c r="V3" s="261"/>
      <c r="W3" s="261"/>
      <c r="X3" s="261"/>
      <c r="Y3" s="261"/>
      <c r="Z3" s="261"/>
      <c r="AA3" s="201"/>
      <c r="AB3" s="201"/>
      <c r="AC3" s="52"/>
      <c r="AD3" s="52"/>
      <c r="AE3" s="52"/>
      <c r="AF3" s="52"/>
    </row>
    <row r="4" spans="1:32">
      <c r="A4" s="30" t="s">
        <v>433</v>
      </c>
      <c r="B4" s="216">
        <f>WACC!B4</f>
        <v>4.2000000000000003E-2</v>
      </c>
      <c r="C4" s="12"/>
      <c r="D4" s="12"/>
      <c r="E4" s="12"/>
      <c r="F4" s="12"/>
      <c r="G4" s="12"/>
      <c r="H4" s="3"/>
      <c r="I4" s="3"/>
      <c r="J4" s="293"/>
      <c r="K4" s="293"/>
      <c r="L4" s="293"/>
      <c r="M4" s="293"/>
      <c r="N4" s="293"/>
      <c r="O4" s="293"/>
      <c r="P4" s="293"/>
      <c r="Q4" s="293"/>
      <c r="R4" s="293"/>
      <c r="S4" s="293"/>
      <c r="T4" s="293"/>
      <c r="U4" s="261"/>
      <c r="V4" s="261"/>
      <c r="W4" s="261"/>
      <c r="X4" s="261"/>
      <c r="Y4" s="261"/>
      <c r="Z4" s="261"/>
      <c r="AA4" s="201"/>
      <c r="AB4" s="201"/>
      <c r="AC4" s="52"/>
      <c r="AD4" s="52"/>
      <c r="AE4" s="52"/>
      <c r="AF4" s="52"/>
    </row>
    <row r="5" spans="1:32">
      <c r="A5" s="30" t="s">
        <v>434</v>
      </c>
      <c r="B5" s="216">
        <v>0.1</v>
      </c>
      <c r="C5" s="12"/>
      <c r="D5" s="12"/>
      <c r="E5" s="12"/>
      <c r="F5" s="12"/>
      <c r="G5" s="12"/>
      <c r="H5" s="3"/>
      <c r="I5" s="3"/>
      <c r="J5" s="293"/>
      <c r="K5" s="293"/>
      <c r="L5" s="293"/>
      <c r="M5" s="293"/>
      <c r="N5" s="293"/>
      <c r="O5" s="293"/>
      <c r="P5" s="293"/>
      <c r="Q5" s="293"/>
      <c r="R5" s="293"/>
      <c r="S5" s="293"/>
      <c r="T5" s="293"/>
      <c r="U5" s="261"/>
      <c r="V5" s="261"/>
      <c r="W5" s="261"/>
      <c r="X5" s="261"/>
      <c r="Y5" s="261"/>
      <c r="Z5" s="261"/>
      <c r="AA5" s="201"/>
      <c r="AB5" s="201"/>
      <c r="AC5" s="52"/>
      <c r="AD5" s="52"/>
      <c r="AE5" s="52"/>
      <c r="AF5" s="52"/>
    </row>
    <row r="6" spans="1:32">
      <c r="A6" s="30" t="s">
        <v>191</v>
      </c>
      <c r="B6" s="221" cm="1">
        <f t="array" ref="B6">Table23[Value]</f>
        <v>1.0354653976641053</v>
      </c>
      <c r="C6" s="12"/>
      <c r="D6" s="12"/>
      <c r="E6" s="12"/>
      <c r="F6" s="12"/>
      <c r="G6" s="12"/>
      <c r="H6" s="3"/>
      <c r="I6" s="3"/>
      <c r="J6" s="293"/>
      <c r="K6" s="293"/>
      <c r="L6" s="293"/>
      <c r="M6" s="293"/>
      <c r="N6" s="293"/>
      <c r="O6" s="293"/>
      <c r="P6" s="293"/>
      <c r="Q6" s="293"/>
      <c r="R6" s="293"/>
      <c r="S6" s="293"/>
      <c r="T6" s="293"/>
      <c r="U6" s="261"/>
      <c r="V6" s="261"/>
      <c r="W6" s="261"/>
      <c r="X6" s="261"/>
      <c r="Y6" s="261"/>
      <c r="Z6" s="261"/>
      <c r="AA6" s="201"/>
      <c r="AB6" s="201"/>
      <c r="AC6" s="52"/>
      <c r="AD6" s="52"/>
      <c r="AE6" s="52"/>
      <c r="AF6" s="52"/>
    </row>
    <row r="7" spans="1:32">
      <c r="A7" s="30" t="s">
        <v>118</v>
      </c>
      <c r="B7" s="217">
        <v>0.16</v>
      </c>
      <c r="C7" s="12"/>
      <c r="D7" s="12"/>
      <c r="E7" s="12"/>
      <c r="F7" s="12"/>
      <c r="G7" s="12"/>
      <c r="H7" s="3"/>
      <c r="I7" s="3"/>
      <c r="J7" s="293"/>
      <c r="K7" s="293"/>
      <c r="L7" s="293"/>
      <c r="M7" s="293"/>
      <c r="N7" s="293"/>
      <c r="O7" s="293"/>
      <c r="P7" s="293"/>
      <c r="Q7" s="293"/>
      <c r="R7" s="293"/>
      <c r="S7" s="293"/>
      <c r="T7" s="293"/>
      <c r="U7" s="261"/>
      <c r="V7" s="261"/>
      <c r="W7" s="261"/>
      <c r="X7" s="261"/>
      <c r="Y7" s="261"/>
      <c r="Z7" s="261"/>
      <c r="AA7" s="201"/>
      <c r="AB7" s="201"/>
      <c r="AC7" s="52"/>
      <c r="AD7" s="52"/>
      <c r="AE7" s="52"/>
      <c r="AF7" s="52"/>
    </row>
    <row r="8" spans="1:32">
      <c r="A8" s="30" t="s">
        <v>448</v>
      </c>
      <c r="B8" s="216">
        <v>0.03</v>
      </c>
      <c r="C8" s="137" t="s">
        <v>1640</v>
      </c>
      <c r="D8" s="137"/>
      <c r="E8" s="137"/>
      <c r="F8" s="137"/>
      <c r="G8" s="12"/>
      <c r="H8" s="3"/>
      <c r="I8" s="3"/>
      <c r="J8" s="293"/>
      <c r="K8" s="293"/>
      <c r="L8" s="293"/>
      <c r="M8" s="293"/>
      <c r="N8" s="293"/>
      <c r="O8" s="293"/>
      <c r="P8" s="293"/>
      <c r="Q8" s="293"/>
      <c r="R8" s="293"/>
      <c r="S8" s="293"/>
      <c r="T8" s="293"/>
      <c r="U8" s="261"/>
      <c r="V8" s="261"/>
      <c r="W8" s="261"/>
      <c r="X8" s="261"/>
      <c r="Y8" s="261"/>
      <c r="Z8" s="261"/>
      <c r="AA8" s="201"/>
      <c r="AB8" s="201"/>
      <c r="AC8" s="52"/>
      <c r="AD8" s="52"/>
      <c r="AE8" s="52"/>
      <c r="AF8" s="52"/>
    </row>
    <row r="9" spans="1:32">
      <c r="A9" s="30" t="s">
        <v>1308</v>
      </c>
      <c r="B9" s="216">
        <f>B4+B6*(B5-B4)</f>
        <v>0.10205699306451811</v>
      </c>
      <c r="C9" s="137" t="s">
        <v>1641</v>
      </c>
      <c r="D9" s="137"/>
      <c r="E9" s="137"/>
      <c r="F9" s="137"/>
      <c r="G9" s="12"/>
      <c r="H9" s="3"/>
      <c r="I9" s="3"/>
      <c r="J9" s="293"/>
      <c r="K9" s="293"/>
      <c r="L9" s="293"/>
      <c r="M9" s="293"/>
      <c r="N9" s="293"/>
      <c r="O9" s="293"/>
      <c r="P9" s="293"/>
      <c r="Q9" s="293"/>
      <c r="R9" s="293"/>
      <c r="S9" s="293"/>
      <c r="T9" s="293"/>
      <c r="U9" s="261"/>
      <c r="V9" s="261"/>
      <c r="W9" s="261"/>
      <c r="X9" s="261"/>
      <c r="Y9" s="261"/>
      <c r="Z9" s="261"/>
      <c r="AA9" s="201"/>
      <c r="AB9" s="201"/>
      <c r="AC9" s="52"/>
      <c r="AD9" s="52"/>
      <c r="AE9" s="52"/>
      <c r="AF9" s="52"/>
    </row>
    <row r="10" spans="1:32">
      <c r="A10" s="30" t="s">
        <v>937</v>
      </c>
      <c r="B10" s="216">
        <f>WACC!B13</f>
        <v>3.5000000000000003E-2</v>
      </c>
      <c r="C10" s="137" t="s">
        <v>1642</v>
      </c>
      <c r="D10" s="137"/>
      <c r="E10" s="137"/>
      <c r="F10" s="137"/>
      <c r="G10" s="12"/>
      <c r="H10" s="3"/>
      <c r="I10" s="3"/>
      <c r="J10" s="293"/>
      <c r="K10" s="293"/>
      <c r="L10" s="293"/>
      <c r="M10" s="293"/>
      <c r="N10" s="293"/>
      <c r="O10" s="293"/>
      <c r="P10" s="293"/>
      <c r="Q10" s="293"/>
      <c r="R10" s="293"/>
      <c r="S10" s="293"/>
      <c r="T10" s="293"/>
      <c r="U10" s="261"/>
      <c r="V10" s="261"/>
      <c r="W10" s="261"/>
      <c r="X10" s="261"/>
      <c r="Y10" s="261"/>
      <c r="Z10" s="261"/>
      <c r="AA10" s="201"/>
      <c r="AB10" s="201"/>
      <c r="AC10" s="52"/>
      <c r="AD10" s="52"/>
      <c r="AE10" s="52"/>
      <c r="AF10" s="52"/>
    </row>
    <row r="11" spans="1:32">
      <c r="A11" s="30" t="s">
        <v>939</v>
      </c>
      <c r="B11" s="216">
        <f>WACC!B23</f>
        <v>0.9</v>
      </c>
      <c r="C11" s="261"/>
      <c r="D11" s="261"/>
      <c r="E11" s="261"/>
      <c r="F11" s="261"/>
      <c r="G11" s="12"/>
      <c r="H11" s="3"/>
      <c r="I11" s="3"/>
      <c r="J11" s="293"/>
      <c r="K11" s="293"/>
      <c r="L11" s="293"/>
      <c r="M11" s="293"/>
      <c r="N11" s="293"/>
      <c r="O11" s="293"/>
      <c r="P11" s="293"/>
      <c r="Q11" s="293"/>
      <c r="R11" s="293"/>
      <c r="S11" s="293"/>
      <c r="T11" s="293"/>
      <c r="U11" s="261"/>
      <c r="V11" s="261"/>
      <c r="W11" s="261"/>
      <c r="X11" s="261"/>
      <c r="Y11" s="261"/>
      <c r="Z11" s="261"/>
      <c r="AA11" s="201"/>
      <c r="AB11" s="201"/>
      <c r="AC11" s="52"/>
      <c r="AD11" s="52"/>
      <c r="AE11" s="52"/>
      <c r="AF11" s="52"/>
    </row>
    <row r="12" spans="1:32">
      <c r="A12" s="30" t="s">
        <v>938</v>
      </c>
      <c r="B12" s="216">
        <f>WACC!B24</f>
        <v>0.1</v>
      </c>
      <c r="C12" s="12"/>
      <c r="D12" s="12"/>
      <c r="E12" s="12"/>
      <c r="F12" s="12"/>
      <c r="G12" s="12"/>
      <c r="H12" s="3"/>
      <c r="I12" s="3"/>
      <c r="J12" s="293"/>
      <c r="K12" s="293"/>
      <c r="L12" s="293"/>
      <c r="M12" s="293"/>
      <c r="N12" s="293"/>
      <c r="O12" s="293"/>
      <c r="P12" s="293"/>
      <c r="Q12" s="293"/>
      <c r="R12" s="293"/>
      <c r="S12" s="293"/>
      <c r="T12" s="293"/>
      <c r="U12" s="261"/>
      <c r="V12" s="261"/>
      <c r="W12" s="261"/>
      <c r="X12" s="261"/>
      <c r="Y12" s="261"/>
      <c r="Z12" s="261"/>
      <c r="AA12" s="201"/>
      <c r="AB12" s="201"/>
      <c r="AC12" s="52"/>
      <c r="AD12" s="52"/>
      <c r="AE12" s="52"/>
      <c r="AF12" s="52"/>
    </row>
    <row r="13" spans="1:32">
      <c r="A13" s="30" t="s">
        <v>198</v>
      </c>
      <c r="B13" s="216">
        <f>B11*B9+B12*B10*(1-B7)</f>
        <v>9.4791293758066303E-2</v>
      </c>
      <c r="C13" s="137" t="s">
        <v>1661</v>
      </c>
      <c r="D13" s="137"/>
      <c r="E13" s="137"/>
      <c r="F13" s="137"/>
      <c r="G13" s="137"/>
      <c r="H13" s="64"/>
      <c r="I13" s="3"/>
      <c r="J13" s="293"/>
      <c r="K13" s="293"/>
      <c r="L13" s="293"/>
      <c r="M13" s="293"/>
      <c r="N13" s="293"/>
      <c r="O13" s="293"/>
      <c r="P13" s="293"/>
      <c r="Q13" s="293"/>
      <c r="R13" s="293"/>
      <c r="S13" s="293"/>
      <c r="T13" s="293"/>
      <c r="U13" s="261"/>
      <c r="V13" s="261"/>
      <c r="W13" s="261"/>
      <c r="X13" s="261"/>
      <c r="Y13" s="261"/>
      <c r="Z13" s="261"/>
      <c r="AA13" s="201"/>
      <c r="AB13" s="201"/>
      <c r="AC13" s="52"/>
      <c r="AD13" s="52"/>
      <c r="AE13" s="52"/>
      <c r="AF13" s="52"/>
    </row>
    <row r="14" spans="1:32">
      <c r="A14" s="30" t="s">
        <v>143</v>
      </c>
      <c r="B14" s="217">
        <v>0.1</v>
      </c>
      <c r="C14" s="12"/>
      <c r="D14" s="12"/>
      <c r="E14" s="12"/>
      <c r="F14" s="12"/>
      <c r="G14" s="12"/>
      <c r="H14" s="3"/>
      <c r="I14" s="3"/>
      <c r="J14" s="293"/>
      <c r="K14" s="293"/>
      <c r="L14" s="293"/>
      <c r="M14" s="293"/>
      <c r="N14" s="293"/>
      <c r="O14" s="293"/>
      <c r="P14" s="293"/>
      <c r="Q14" s="293"/>
      <c r="R14" s="293"/>
      <c r="S14" s="293"/>
      <c r="T14" s="293"/>
      <c r="U14" s="261"/>
      <c r="V14" s="261"/>
      <c r="W14" s="261"/>
      <c r="X14" s="261"/>
      <c r="Y14" s="261"/>
      <c r="Z14" s="261"/>
      <c r="AA14" s="201"/>
      <c r="AB14" s="201"/>
      <c r="AC14" s="52"/>
      <c r="AD14" s="52"/>
      <c r="AE14" s="52"/>
      <c r="AF14" s="52"/>
    </row>
    <row r="15" spans="1:32">
      <c r="A15" s="30" t="s">
        <v>846</v>
      </c>
      <c r="B15" s="216">
        <f>B5-B4</f>
        <v>5.8000000000000003E-2</v>
      </c>
      <c r="C15" s="12"/>
      <c r="D15" s="12"/>
      <c r="E15" s="12"/>
      <c r="F15" s="12"/>
      <c r="G15" s="12"/>
      <c r="H15" s="3"/>
      <c r="I15" s="3"/>
      <c r="J15" s="293"/>
      <c r="K15" s="293"/>
      <c r="L15" s="293"/>
      <c r="M15" s="293"/>
      <c r="N15" s="293"/>
      <c r="O15" s="293"/>
      <c r="P15" s="293"/>
      <c r="Q15" s="293"/>
      <c r="R15" s="293"/>
      <c r="S15" s="293"/>
      <c r="T15" s="293"/>
      <c r="U15" s="261"/>
      <c r="V15" s="261"/>
      <c r="W15" s="261"/>
      <c r="X15" s="261"/>
      <c r="Y15" s="261"/>
      <c r="Z15" s="261"/>
      <c r="AA15" s="201"/>
      <c r="AB15" s="201"/>
      <c r="AC15" s="52"/>
      <c r="AD15" s="52"/>
      <c r="AE15" s="52"/>
      <c r="AF15" s="52"/>
    </row>
    <row r="16" spans="1:32">
      <c r="A16" s="153" t="s">
        <v>976</v>
      </c>
      <c r="B16" s="153" t="s">
        <v>124</v>
      </c>
      <c r="C16" s="153" t="s">
        <v>125</v>
      </c>
      <c r="D16" s="153" t="s">
        <v>126</v>
      </c>
      <c r="E16" s="153" t="s">
        <v>127</v>
      </c>
      <c r="F16" s="153" t="s">
        <v>128</v>
      </c>
      <c r="G16" s="153" t="s">
        <v>273</v>
      </c>
      <c r="H16" s="3"/>
      <c r="I16" s="3"/>
      <c r="J16" s="293"/>
      <c r="K16" s="293"/>
      <c r="L16" s="293"/>
      <c r="M16" s="293"/>
      <c r="N16" s="293"/>
      <c r="O16" s="293"/>
      <c r="P16" s="293"/>
      <c r="Q16" s="293"/>
      <c r="R16" s="293"/>
      <c r="S16" s="293"/>
      <c r="T16" s="293"/>
      <c r="U16" s="261"/>
      <c r="V16" s="261"/>
      <c r="W16" s="261"/>
      <c r="X16" s="261"/>
      <c r="Y16" s="261"/>
      <c r="Z16" s="261"/>
      <c r="AA16" s="201"/>
      <c r="AB16" s="201"/>
      <c r="AC16" s="52"/>
      <c r="AD16" s="52"/>
      <c r="AE16" s="52"/>
      <c r="AF16" s="52"/>
    </row>
    <row r="17" spans="1:32">
      <c r="A17" s="333" t="s">
        <v>492</v>
      </c>
      <c r="B17" s="218">
        <f>'Profit Loss'!F4*(1+Assumptions!B4)</f>
        <v>31547.040000000005</v>
      </c>
      <c r="C17" s="218">
        <f>'Profit Loss'!G4*(1+Assumptions!B5)</f>
        <v>35648.155200000001</v>
      </c>
      <c r="D17" s="218">
        <f>'Profit Loss'!H4*(1+Assumptions!B6)</f>
        <v>39925.933824000007</v>
      </c>
      <c r="E17" s="218">
        <f>'Profit Loss'!I4*(1+Assumptions!B7)</f>
        <v>44317.78654464001</v>
      </c>
      <c r="F17" s="218">
        <f>'Profit Loss'!J4*(1+Assumptions!B8)</f>
        <v>48749.565199104014</v>
      </c>
      <c r="G17" s="218">
        <f>SUM(B17:F17)</f>
        <v>200188.48076774404</v>
      </c>
      <c r="H17" s="3"/>
      <c r="I17" s="3"/>
      <c r="J17" s="293"/>
      <c r="K17" s="293"/>
      <c r="L17" s="293"/>
      <c r="M17" s="293"/>
      <c r="N17" s="293"/>
      <c r="O17" s="293"/>
      <c r="P17" s="293"/>
      <c r="Q17" s="293"/>
      <c r="R17" s="293"/>
      <c r="S17" s="293"/>
      <c r="T17" s="293"/>
      <c r="U17" s="261"/>
      <c r="V17" s="261"/>
      <c r="W17" s="261"/>
      <c r="X17" s="261"/>
      <c r="Y17" s="261"/>
      <c r="Z17" s="261"/>
      <c r="AA17" s="201"/>
      <c r="AB17" s="201"/>
      <c r="AC17" s="52"/>
      <c r="AD17" s="52"/>
      <c r="AE17" s="52"/>
      <c r="AF17" s="52"/>
    </row>
    <row r="18" spans="1:32">
      <c r="A18" s="333" t="s">
        <v>200</v>
      </c>
      <c r="B18" s="218">
        <f>'Profit Loss'!G11</f>
        <v>17350.872000000003</v>
      </c>
      <c r="C18" s="218">
        <f>'Profit Loss'!H11</f>
        <v>19962.966912</v>
      </c>
      <c r="D18" s="218">
        <f>'Profit Loss'!I11</f>
        <v>22558.152610560002</v>
      </c>
      <c r="E18" s="218">
        <f>'Profit Loss'!J11</f>
        <v>25261.138330444806</v>
      </c>
      <c r="F18" s="218">
        <f>'Profit Loss'!K11</f>
        <v>28030.999989484808</v>
      </c>
      <c r="G18" s="224">
        <f t="shared" ref="G18:G23" si="0">SUM(B18:F18)</f>
        <v>113164.12984248964</v>
      </c>
      <c r="H18" s="3"/>
      <c r="I18" s="3"/>
      <c r="J18" s="293"/>
      <c r="K18" s="293"/>
      <c r="L18" s="293"/>
      <c r="M18" s="293"/>
      <c r="N18" s="293"/>
      <c r="O18" s="293"/>
      <c r="P18" s="293"/>
      <c r="Q18" s="293"/>
      <c r="R18" s="293"/>
      <c r="S18" s="293"/>
      <c r="T18" s="293"/>
      <c r="U18" s="261"/>
      <c r="V18" s="261"/>
      <c r="W18" s="261"/>
      <c r="X18" s="261"/>
      <c r="Y18" s="261"/>
      <c r="Z18" s="261"/>
      <c r="AA18" s="201"/>
      <c r="AB18" s="201"/>
      <c r="AC18" s="52"/>
      <c r="AD18" s="52"/>
      <c r="AE18" s="52"/>
      <c r="AF18" s="52"/>
    </row>
    <row r="19" spans="1:32">
      <c r="A19" s="333" t="s">
        <v>762</v>
      </c>
      <c r="B19" s="219">
        <f t="shared" ref="B19:G19" si="1">B18*0.84</f>
        <v>14574.732480000002</v>
      </c>
      <c r="C19" s="219">
        <f t="shared" si="1"/>
        <v>16768.89220608</v>
      </c>
      <c r="D19" s="219">
        <f t="shared" si="1"/>
        <v>18948.848192870402</v>
      </c>
      <c r="E19" s="219">
        <f t="shared" si="1"/>
        <v>21219.356197573637</v>
      </c>
      <c r="F19" s="219">
        <f t="shared" si="1"/>
        <v>23546.039991167239</v>
      </c>
      <c r="G19" s="219">
        <f t="shared" si="1"/>
        <v>95057.869067691296</v>
      </c>
      <c r="H19" s="3"/>
      <c r="I19" s="3"/>
      <c r="J19" s="293"/>
      <c r="K19" s="293"/>
      <c r="L19" s="293"/>
      <c r="M19" s="293"/>
      <c r="N19" s="293"/>
      <c r="O19" s="293"/>
      <c r="P19" s="293"/>
      <c r="Q19" s="293"/>
      <c r="R19" s="293"/>
      <c r="S19" s="293"/>
      <c r="T19" s="293"/>
      <c r="U19" s="261"/>
      <c r="V19" s="261"/>
      <c r="W19" s="261"/>
      <c r="X19" s="261"/>
      <c r="Y19" s="261"/>
      <c r="Z19" s="261"/>
      <c r="AA19" s="201"/>
      <c r="AB19" s="201"/>
      <c r="AC19" s="52"/>
      <c r="AD19" s="52"/>
      <c r="AE19" s="52"/>
      <c r="AF19" s="52"/>
    </row>
    <row r="20" spans="1:32">
      <c r="A20" s="333" t="s">
        <v>977</v>
      </c>
      <c r="B20" s="218">
        <f>'Profit Loss'!G8</f>
        <v>946.41120000000012</v>
      </c>
      <c r="C20" s="218">
        <f>'Profit Loss'!H8</f>
        <v>1033.7965007999999</v>
      </c>
      <c r="D20" s="218">
        <f>'Profit Loss'!I8</f>
        <v>1117.926147072</v>
      </c>
      <c r="E20" s="218">
        <f>'Profit Loss'!J8</f>
        <v>1196.5802367052804</v>
      </c>
      <c r="F20" s="218">
        <f>'Profit Loss'!K8</f>
        <v>1267.4886951767044</v>
      </c>
      <c r="G20" s="224">
        <f t="shared" si="0"/>
        <v>5562.2027797539849</v>
      </c>
      <c r="H20" s="3"/>
      <c r="I20" s="3"/>
      <c r="J20" s="293"/>
      <c r="K20" s="293"/>
      <c r="L20" s="293"/>
      <c r="M20" s="293"/>
      <c r="N20" s="293"/>
      <c r="O20" s="293"/>
      <c r="P20" s="293"/>
      <c r="Q20" s="293"/>
      <c r="R20" s="293"/>
      <c r="S20" s="293"/>
      <c r="T20" s="293"/>
      <c r="U20" s="261"/>
      <c r="V20" s="261"/>
      <c r="W20" s="261"/>
      <c r="X20" s="261"/>
      <c r="Y20" s="261"/>
      <c r="Z20" s="261"/>
      <c r="AA20" s="201"/>
      <c r="AB20" s="201"/>
      <c r="AC20" s="52"/>
      <c r="AD20" s="52"/>
      <c r="AE20" s="52"/>
      <c r="AF20" s="52"/>
    </row>
    <row r="21" spans="1:32">
      <c r="A21" s="334" t="s">
        <v>203</v>
      </c>
      <c r="B21" s="220">
        <f>'Cash Flow'!G32-'Cash Flow'!G33</f>
        <v>258.29999999999995</v>
      </c>
      <c r="C21" s="220">
        <f>'Cash Flow'!H32-'Cash Flow'!H33</f>
        <v>271.21500000000003</v>
      </c>
      <c r="D21" s="220">
        <f>'Cash Flow'!I32-'Cash Flow'!I33</f>
        <v>284.77575000000002</v>
      </c>
      <c r="E21" s="220">
        <f>'Cash Flow'!J32-'Cash Flow'!J33</f>
        <v>299.01453750000007</v>
      </c>
      <c r="F21" s="220">
        <f>'Cash Flow'!K32-'Cash Flow'!K33</f>
        <v>313.96526437500006</v>
      </c>
      <c r="G21" s="224">
        <f t="shared" si="0"/>
        <v>1427.2705518750001</v>
      </c>
      <c r="H21" s="3"/>
      <c r="I21" s="3"/>
      <c r="J21" s="293"/>
      <c r="K21" s="293"/>
      <c r="L21" s="293"/>
      <c r="M21" s="293"/>
      <c r="N21" s="293"/>
      <c r="O21" s="293"/>
      <c r="P21" s="293"/>
      <c r="Q21" s="293"/>
      <c r="R21" s="293"/>
      <c r="S21" s="293"/>
      <c r="T21" s="293"/>
      <c r="U21" s="261"/>
      <c r="V21" s="261"/>
      <c r="W21" s="261"/>
      <c r="X21" s="261"/>
      <c r="Y21" s="261"/>
      <c r="Z21" s="261"/>
      <c r="AA21" s="201"/>
      <c r="AB21" s="201"/>
      <c r="AC21" s="52"/>
      <c r="AD21" s="52"/>
      <c r="AE21" s="52"/>
      <c r="AF21" s="52"/>
    </row>
    <row r="22" spans="1:32">
      <c r="A22" s="333" t="s">
        <v>204</v>
      </c>
      <c r="B22" s="219">
        <f>2%*(B17-'Profit Loss'!F4)</f>
        <v>67.600800000000092</v>
      </c>
      <c r="C22" s="219">
        <f>2%*(C17-'Profit Loss'!G4)</f>
        <v>82.022303999999934</v>
      </c>
      <c r="D22" s="219">
        <f>2%*(D17-'Profit Loss'!H4)</f>
        <v>85.555572480000123</v>
      </c>
      <c r="E22" s="219">
        <f>2%*(E17-'Profit Loss'!I4)</f>
        <v>87.837054412800057</v>
      </c>
      <c r="F22" s="219">
        <f>2%*(F17-'Profit Loss'!J4)</f>
        <v>88.635573089280086</v>
      </c>
      <c r="G22" s="224">
        <f t="shared" si="0"/>
        <v>411.65130398208032</v>
      </c>
      <c r="H22" s="3"/>
      <c r="I22" s="3"/>
      <c r="J22" s="293"/>
      <c r="K22" s="293"/>
      <c r="L22" s="293"/>
      <c r="M22" s="293"/>
      <c r="N22" s="293"/>
      <c r="O22" s="293"/>
      <c r="P22" s="293"/>
      <c r="Q22" s="293"/>
      <c r="R22" s="293"/>
      <c r="S22" s="293"/>
      <c r="T22" s="293"/>
      <c r="U22" s="261"/>
      <c r="V22" s="261"/>
      <c r="W22" s="261"/>
      <c r="X22" s="261"/>
      <c r="Y22" s="261"/>
      <c r="Z22" s="261"/>
      <c r="AA22" s="201"/>
      <c r="AB22" s="201"/>
      <c r="AC22" s="52"/>
      <c r="AD22" s="52"/>
      <c r="AE22" s="52"/>
      <c r="AF22" s="52"/>
    </row>
    <row r="23" spans="1:32">
      <c r="A23" s="30" t="s">
        <v>978</v>
      </c>
      <c r="B23" s="221">
        <f>'Cash Flow'!G61</f>
        <v>18784.948275775998</v>
      </c>
      <c r="C23" s="221">
        <f>'Cash Flow'!H61</f>
        <v>19435.741645375994</v>
      </c>
      <c r="D23" s="221">
        <f>'Cash Flow'!I61</f>
        <v>21798.440108364801</v>
      </c>
      <c r="E23" s="221">
        <f>'Cash Flow'!J61</f>
        <v>24283.100438018817</v>
      </c>
      <c r="F23" s="221">
        <f>'Cash Flow'!K61</f>
        <v>26858.748557578921</v>
      </c>
      <c r="G23" s="223">
        <f t="shared" si="0"/>
        <v>111160.97902511453</v>
      </c>
      <c r="H23" s="3"/>
      <c r="I23" s="3"/>
      <c r="J23" s="293"/>
      <c r="K23" s="293"/>
      <c r="L23" s="293"/>
      <c r="M23" s="293"/>
      <c r="N23" s="293"/>
      <c r="O23" s="293"/>
      <c r="P23" s="293"/>
      <c r="Q23" s="293"/>
      <c r="R23" s="293"/>
      <c r="S23" s="293"/>
      <c r="T23" s="293"/>
      <c r="U23" s="261"/>
      <c r="V23" s="261"/>
      <c r="W23" s="261"/>
      <c r="X23" s="261"/>
      <c r="Y23" s="261"/>
      <c r="Z23" s="261"/>
      <c r="AA23" s="201"/>
      <c r="AB23" s="201"/>
      <c r="AC23" s="52"/>
      <c r="AD23" s="52"/>
      <c r="AE23" s="52"/>
      <c r="AF23" s="52"/>
    </row>
    <row r="24" spans="1:32">
      <c r="A24" s="30" t="s">
        <v>426</v>
      </c>
      <c r="B24" s="33">
        <f>1/(1+$B$13)^1</f>
        <v>0.91341610560979314</v>
      </c>
      <c r="C24" s="33">
        <f>1/(1+$B$13)^2</f>
        <v>0.83432898198736083</v>
      </c>
      <c r="D24" s="33">
        <f>1/(1+$B$13)^3</f>
        <v>0.76208952952427833</v>
      </c>
      <c r="E24" s="33">
        <f>1/(1+$B$13)^4</f>
        <v>0.69610485018406576</v>
      </c>
      <c r="F24" s="33">
        <f>1/(1+$B$13)^5</f>
        <v>0.63583338135121781</v>
      </c>
      <c r="G24" s="33">
        <f>SUM(B24:F24)</f>
        <v>3.8417728486567162</v>
      </c>
      <c r="H24" s="3"/>
      <c r="I24" s="3"/>
      <c r="J24" s="293"/>
      <c r="K24" s="293"/>
      <c r="L24" s="293"/>
      <c r="M24" s="293"/>
      <c r="N24" s="293"/>
      <c r="O24" s="293"/>
      <c r="P24" s="293"/>
      <c r="Q24" s="293"/>
      <c r="R24" s="293"/>
      <c r="S24" s="293"/>
      <c r="T24" s="293"/>
      <c r="U24" s="261"/>
      <c r="V24" s="261"/>
      <c r="W24" s="261"/>
      <c r="X24" s="261"/>
      <c r="Y24" s="261"/>
      <c r="Z24" s="261"/>
      <c r="AA24" s="201"/>
      <c r="AB24" s="201"/>
      <c r="AC24" s="52"/>
      <c r="AD24" s="52"/>
      <c r="AE24" s="52"/>
      <c r="AF24" s="52"/>
    </row>
    <row r="25" spans="1:32">
      <c r="A25" s="30" t="s">
        <v>979</v>
      </c>
      <c r="B25" s="33">
        <f>B23*B24</f>
        <v>17158.474298140711</v>
      </c>
      <c r="C25" s="33">
        <f>C23*C24</f>
        <v>16215.802541155907</v>
      </c>
      <c r="D25" s="33">
        <f>D23*D24</f>
        <v>16612.362966546891</v>
      </c>
      <c r="E25" s="33">
        <f>E23*E24</f>
        <v>16903.58399241171</v>
      </c>
      <c r="F25" s="33">
        <f>F23*F24</f>
        <v>17077.68891422755</v>
      </c>
      <c r="G25" s="223">
        <f>SUM(B25:F25)</f>
        <v>83967.912712482765</v>
      </c>
      <c r="H25" s="3"/>
      <c r="I25" s="3"/>
      <c r="J25" s="293"/>
      <c r="K25" s="293"/>
      <c r="L25" s="293"/>
      <c r="M25" s="293"/>
      <c r="N25" s="293"/>
      <c r="O25" s="293"/>
      <c r="P25" s="293"/>
      <c r="Q25" s="293"/>
      <c r="R25" s="293"/>
      <c r="S25" s="293"/>
      <c r="T25" s="293"/>
      <c r="U25" s="261"/>
      <c r="V25" s="261"/>
      <c r="W25" s="261"/>
      <c r="X25" s="261"/>
      <c r="Y25" s="261"/>
      <c r="Z25" s="261"/>
      <c r="AA25" s="201"/>
      <c r="AB25" s="201"/>
      <c r="AC25" s="52"/>
      <c r="AD25" s="52"/>
      <c r="AE25" s="52"/>
      <c r="AF25" s="52"/>
    </row>
    <row r="26" spans="1:32">
      <c r="A26" s="30" t="s">
        <v>267</v>
      </c>
      <c r="B26" s="221">
        <f>F23*(1+$B$8)/($B$13-$B$8)</f>
        <v>426978.83326125355</v>
      </c>
      <c r="C26" s="12"/>
      <c r="D26" s="12"/>
      <c r="E26" s="12"/>
      <c r="F26" s="12"/>
      <c r="G26" s="12"/>
      <c r="H26" s="3"/>
      <c r="I26" s="3"/>
      <c r="J26" s="293"/>
      <c r="K26" s="293"/>
      <c r="L26" s="293"/>
      <c r="M26" s="293"/>
      <c r="N26" s="293"/>
      <c r="O26" s="293"/>
      <c r="P26" s="293"/>
      <c r="Q26" s="293"/>
      <c r="R26" s="293"/>
      <c r="S26" s="293"/>
      <c r="T26" s="293"/>
      <c r="U26" s="261"/>
      <c r="V26" s="261"/>
      <c r="W26" s="261"/>
      <c r="X26" s="261"/>
      <c r="Y26" s="261"/>
      <c r="Z26" s="261"/>
      <c r="AA26" s="201"/>
      <c r="AB26" s="201"/>
      <c r="AC26" s="52"/>
      <c r="AD26" s="52"/>
      <c r="AE26" s="52"/>
      <c r="AF26" s="52"/>
    </row>
    <row r="27" spans="1:32">
      <c r="A27" s="30" t="s">
        <v>858</v>
      </c>
      <c r="B27" s="33">
        <f>B26*F24</f>
        <v>271487.39531790069</v>
      </c>
      <c r="C27" s="137" t="s">
        <v>1643</v>
      </c>
      <c r="D27" s="137"/>
      <c r="E27" s="137"/>
      <c r="F27" s="12"/>
      <c r="G27" s="12"/>
      <c r="H27" s="3"/>
      <c r="I27" s="3"/>
      <c r="J27" s="293"/>
      <c r="K27" s="293"/>
      <c r="L27" s="293"/>
      <c r="M27" s="293"/>
      <c r="N27" s="293"/>
      <c r="O27" s="293"/>
      <c r="P27" s="293"/>
      <c r="Q27" s="293"/>
      <c r="R27" s="293"/>
      <c r="S27" s="293"/>
      <c r="T27" s="293"/>
      <c r="U27" s="261"/>
      <c r="V27" s="261"/>
      <c r="W27" s="261"/>
      <c r="X27" s="261"/>
      <c r="Y27" s="261"/>
      <c r="Z27" s="261"/>
      <c r="AA27" s="201"/>
      <c r="AB27" s="201"/>
      <c r="AC27" s="52"/>
      <c r="AD27" s="52"/>
      <c r="AE27" s="52"/>
      <c r="AF27" s="52"/>
    </row>
    <row r="28" spans="1:32">
      <c r="A28" s="30" t="s">
        <v>211</v>
      </c>
      <c r="B28" s="33">
        <f>G25+B27</f>
        <v>355455.30803038343</v>
      </c>
      <c r="C28" s="137" t="s">
        <v>1796</v>
      </c>
      <c r="D28" s="137"/>
      <c r="E28" s="137"/>
      <c r="F28" s="12"/>
      <c r="G28" s="12"/>
      <c r="H28" s="3"/>
      <c r="I28" s="3"/>
      <c r="J28" s="293"/>
      <c r="K28" s="293"/>
      <c r="L28" s="293"/>
      <c r="M28" s="293"/>
      <c r="N28" s="293"/>
      <c r="O28" s="293"/>
      <c r="P28" s="293"/>
      <c r="Q28" s="293"/>
      <c r="R28" s="293"/>
      <c r="S28" s="293"/>
      <c r="T28" s="293"/>
      <c r="U28" s="261"/>
      <c r="V28" s="261"/>
      <c r="W28" s="261"/>
      <c r="X28" s="261"/>
      <c r="Y28" s="261"/>
      <c r="Z28" s="261"/>
      <c r="AA28" s="201"/>
      <c r="AB28" s="201"/>
      <c r="AC28" s="52"/>
      <c r="AD28" s="52"/>
      <c r="AE28" s="52"/>
      <c r="AF28" s="52"/>
    </row>
    <row r="29" spans="1:32">
      <c r="A29" s="30" t="s">
        <v>430</v>
      </c>
      <c r="B29" s="222">
        <f>B28-B31</f>
        <v>350767.1208185532</v>
      </c>
      <c r="C29" s="63" t="s">
        <v>2298</v>
      </c>
      <c r="D29" s="137"/>
      <c r="E29" s="137"/>
      <c r="F29" s="12"/>
      <c r="G29" s="12"/>
      <c r="H29" s="3"/>
      <c r="I29" s="3"/>
      <c r="J29" s="293"/>
      <c r="K29" s="293"/>
      <c r="L29" s="293"/>
      <c r="M29" s="293"/>
      <c r="N29" s="293"/>
      <c r="O29" s="293"/>
      <c r="P29" s="293"/>
      <c r="Q29" s="293"/>
      <c r="R29" s="293"/>
      <c r="S29" s="293"/>
      <c r="T29" s="293"/>
      <c r="U29" s="261"/>
      <c r="V29" s="261"/>
      <c r="W29" s="261"/>
      <c r="X29" s="261"/>
      <c r="Y29" s="261"/>
      <c r="Z29" s="261"/>
      <c r="AA29" s="201"/>
      <c r="AB29" s="201"/>
      <c r="AC29" s="52"/>
      <c r="AD29" s="52"/>
      <c r="AE29" s="52"/>
      <c r="AF29" s="52"/>
    </row>
    <row r="30" spans="1:32">
      <c r="A30" s="30" t="s">
        <v>1805</v>
      </c>
      <c r="B30" s="33">
        <f>B29/'Profit Loss'!G24</f>
        <v>386.11179448578162</v>
      </c>
      <c r="C30" s="137" t="s">
        <v>1797</v>
      </c>
      <c r="D30" s="137"/>
      <c r="E30" s="137"/>
      <c r="F30" s="12"/>
      <c r="G30" s="12"/>
      <c r="H30" s="3"/>
      <c r="I30" s="3"/>
      <c r="J30" s="293"/>
      <c r="K30" s="293"/>
      <c r="L30" s="293"/>
      <c r="M30" s="293"/>
      <c r="N30" s="293"/>
      <c r="O30" s="293"/>
      <c r="P30" s="293"/>
      <c r="Q30" s="293"/>
      <c r="R30" s="293"/>
      <c r="S30" s="293"/>
      <c r="T30" s="293"/>
      <c r="U30" s="261"/>
      <c r="V30" s="261"/>
      <c r="W30" s="261"/>
      <c r="X30" s="261"/>
      <c r="Y30" s="261"/>
      <c r="Z30" s="261"/>
      <c r="AA30" s="201"/>
      <c r="AB30" s="201"/>
      <c r="AC30" s="52"/>
      <c r="AD30" s="52"/>
      <c r="AE30" s="52"/>
      <c r="AF30" s="52"/>
    </row>
    <row r="31" spans="1:32">
      <c r="A31" s="30" t="s">
        <v>992</v>
      </c>
      <c r="B31" s="221">
        <f>(Balance_Sheet!K27+Balance_Sheet!K24)-Balance_Sheet!K4</f>
        <v>4688.1872118302017</v>
      </c>
      <c r="C31" s="137"/>
      <c r="D31" s="137"/>
      <c r="E31" s="137"/>
      <c r="F31" s="12"/>
      <c r="G31" s="12"/>
      <c r="H31" s="3"/>
      <c r="I31" s="3"/>
      <c r="J31" s="293"/>
      <c r="K31" s="293"/>
      <c r="L31" s="293"/>
      <c r="M31" s="293"/>
      <c r="N31" s="293"/>
      <c r="O31" s="293"/>
      <c r="P31" s="293"/>
      <c r="Q31" s="293"/>
      <c r="R31" s="293"/>
      <c r="S31" s="293"/>
      <c r="T31" s="293"/>
      <c r="U31" s="261"/>
      <c r="V31" s="261"/>
      <c r="W31" s="261"/>
      <c r="X31" s="261"/>
      <c r="Y31" s="261"/>
      <c r="Z31" s="261"/>
      <c r="AA31" s="201"/>
      <c r="AB31" s="201"/>
      <c r="AC31" s="52"/>
      <c r="AD31" s="52"/>
      <c r="AE31" s="52"/>
      <c r="AF31" s="52"/>
    </row>
    <row r="32" spans="1:32">
      <c r="A32" s="22" t="s">
        <v>497</v>
      </c>
      <c r="B32" s="22" t="s">
        <v>284</v>
      </c>
      <c r="C32" s="137" t="s">
        <v>1798</v>
      </c>
      <c r="D32" s="137"/>
      <c r="E32" s="137"/>
      <c r="F32" s="12"/>
      <c r="G32" s="12"/>
      <c r="H32" s="3"/>
      <c r="I32" s="3"/>
      <c r="J32" s="293"/>
      <c r="K32" s="293"/>
      <c r="L32" s="293"/>
      <c r="M32" s="293"/>
      <c r="N32" s="293"/>
      <c r="O32" s="293"/>
      <c r="P32" s="293"/>
      <c r="Q32" s="293"/>
      <c r="R32" s="293"/>
      <c r="S32" s="293"/>
      <c r="T32" s="293"/>
      <c r="U32" s="261"/>
      <c r="V32" s="261"/>
      <c r="W32" s="261"/>
      <c r="X32" s="261"/>
      <c r="Y32" s="261"/>
      <c r="Z32" s="261"/>
      <c r="AA32" s="201"/>
      <c r="AB32" s="201"/>
      <c r="AC32" s="52"/>
      <c r="AD32" s="52"/>
      <c r="AE32" s="52"/>
      <c r="AF32" s="52"/>
    </row>
    <row r="33" spans="1:32">
      <c r="A33" s="30" t="s">
        <v>211</v>
      </c>
      <c r="B33" s="33">
        <f>B28</f>
        <v>355455.30803038343</v>
      </c>
      <c r="C33" s="137" t="s">
        <v>1799</v>
      </c>
      <c r="D33" s="137"/>
      <c r="E33" s="137"/>
      <c r="F33" s="12"/>
      <c r="G33" s="12"/>
      <c r="H33" s="3"/>
      <c r="I33" s="3"/>
      <c r="J33" s="293"/>
      <c r="K33" s="293"/>
      <c r="L33" s="293"/>
      <c r="M33" s="293"/>
      <c r="N33" s="293"/>
      <c r="O33" s="293"/>
      <c r="P33" s="293"/>
      <c r="Q33" s="293"/>
      <c r="R33" s="293"/>
      <c r="S33" s="293"/>
      <c r="T33" s="293"/>
      <c r="U33" s="261"/>
      <c r="V33" s="261"/>
      <c r="W33" s="261"/>
      <c r="X33" s="261"/>
      <c r="Y33" s="261"/>
      <c r="Z33" s="261"/>
      <c r="AA33" s="201"/>
      <c r="AB33" s="201"/>
      <c r="AC33" s="52"/>
      <c r="AD33" s="52"/>
      <c r="AE33" s="52"/>
      <c r="AF33" s="52"/>
    </row>
    <row r="34" spans="1:32">
      <c r="A34" s="30" t="s">
        <v>430</v>
      </c>
      <c r="B34" s="222">
        <f>B29</f>
        <v>350767.1208185532</v>
      </c>
      <c r="C34" s="137" t="s">
        <v>1800</v>
      </c>
      <c r="D34" s="137"/>
      <c r="E34" s="137"/>
      <c r="F34" s="12"/>
      <c r="G34" s="12"/>
      <c r="H34" s="3"/>
      <c r="I34" s="3"/>
      <c r="J34" s="293"/>
      <c r="K34" s="293"/>
      <c r="L34" s="293"/>
      <c r="M34" s="293"/>
      <c r="N34" s="293"/>
      <c r="O34" s="293"/>
      <c r="P34" s="293"/>
      <c r="Q34" s="293"/>
      <c r="R34" s="293"/>
      <c r="S34" s="293"/>
      <c r="T34" s="293"/>
      <c r="U34" s="261"/>
      <c r="V34" s="261"/>
      <c r="W34" s="261"/>
      <c r="X34" s="261"/>
      <c r="Y34" s="261"/>
      <c r="Z34" s="261"/>
      <c r="AA34" s="201"/>
      <c r="AB34" s="201"/>
      <c r="AC34" s="52"/>
      <c r="AD34" s="52"/>
      <c r="AE34" s="52"/>
      <c r="AF34" s="52"/>
    </row>
    <row r="35" spans="1:32">
      <c r="A35" s="30" t="s">
        <v>1805</v>
      </c>
      <c r="B35" s="435">
        <f>B30</f>
        <v>386.11179448578162</v>
      </c>
      <c r="C35" s="137" t="s">
        <v>1644</v>
      </c>
      <c r="D35" s="137"/>
      <c r="E35" s="137"/>
      <c r="F35" s="12"/>
      <c r="G35" s="12"/>
      <c r="H35" s="3"/>
      <c r="I35" s="3"/>
      <c r="J35" s="293"/>
      <c r="K35" s="293"/>
      <c r="L35" s="293"/>
      <c r="M35" s="293"/>
      <c r="N35" s="293"/>
      <c r="O35" s="293"/>
      <c r="P35" s="293"/>
      <c r="Q35" s="293"/>
      <c r="R35" s="293"/>
      <c r="S35" s="293"/>
      <c r="T35" s="293"/>
      <c r="U35" s="261"/>
      <c r="V35" s="261"/>
      <c r="W35" s="261"/>
      <c r="X35" s="261"/>
      <c r="Y35" s="261"/>
      <c r="Z35" s="261"/>
      <c r="AA35" s="201"/>
      <c r="AB35" s="201"/>
      <c r="AC35" s="52"/>
      <c r="AD35" s="52"/>
      <c r="AE35" s="52"/>
      <c r="AF35" s="52"/>
    </row>
    <row r="36" spans="1:32">
      <c r="A36" s="30" t="s">
        <v>865</v>
      </c>
      <c r="B36" s="435">
        <v>450</v>
      </c>
      <c r="C36" s="137"/>
      <c r="D36" s="137"/>
      <c r="E36" s="137"/>
      <c r="F36" s="12"/>
      <c r="G36" s="12"/>
      <c r="H36" s="3"/>
      <c r="I36" s="3"/>
      <c r="J36" s="293"/>
      <c r="K36" s="293"/>
      <c r="L36" s="293"/>
      <c r="M36" s="293"/>
      <c r="N36" s="293"/>
      <c r="O36" s="293"/>
      <c r="P36" s="293"/>
      <c r="Q36" s="293"/>
      <c r="R36" s="293"/>
      <c r="S36" s="293"/>
      <c r="T36" s="293"/>
      <c r="U36" s="261"/>
      <c r="V36" s="261"/>
      <c r="W36" s="261"/>
      <c r="X36" s="261"/>
      <c r="Y36" s="261"/>
      <c r="Z36" s="261"/>
      <c r="AA36" s="201"/>
      <c r="AB36" s="201"/>
      <c r="AC36" s="52"/>
      <c r="AD36" s="52"/>
      <c r="AE36" s="52"/>
      <c r="AF36" s="52"/>
    </row>
    <row r="37" spans="1:32">
      <c r="A37" s="30" t="s">
        <v>981</v>
      </c>
      <c r="B37" s="436">
        <f>(B35-B36)/B36</f>
        <v>-0.14197379003159641</v>
      </c>
      <c r="C37" s="137" t="s">
        <v>1801</v>
      </c>
      <c r="D37" s="137"/>
      <c r="E37" s="137"/>
      <c r="F37" s="12"/>
      <c r="G37" s="12"/>
      <c r="H37" s="3"/>
      <c r="I37" s="3"/>
      <c r="J37" s="293"/>
      <c r="K37" s="293"/>
      <c r="L37" s="293"/>
      <c r="M37" s="293"/>
      <c r="N37" s="293"/>
      <c r="O37" s="293"/>
      <c r="P37" s="293"/>
      <c r="Q37" s="293"/>
      <c r="R37" s="293"/>
      <c r="S37" s="293"/>
      <c r="T37" s="293"/>
      <c r="U37" s="261"/>
      <c r="V37" s="261"/>
      <c r="W37" s="261"/>
      <c r="X37" s="261"/>
      <c r="Y37" s="261"/>
      <c r="Z37" s="261"/>
      <c r="AA37" s="201"/>
      <c r="AB37" s="201"/>
      <c r="AC37" s="52"/>
      <c r="AD37" s="52"/>
      <c r="AE37" s="52"/>
      <c r="AF37" s="52"/>
    </row>
    <row r="38" spans="1:32">
      <c r="A38" s="30" t="s">
        <v>502</v>
      </c>
      <c r="B38" s="423" t="str">
        <f>IF(B35&gt;0.15,"SELL",IF(B36&gt;0.05,"HOLD","BUY"))</f>
        <v>SELL</v>
      </c>
      <c r="C38" s="137" t="s">
        <v>1802</v>
      </c>
      <c r="D38" s="137"/>
      <c r="E38" s="137"/>
      <c r="F38" s="12"/>
      <c r="G38" s="12"/>
      <c r="H38" s="3"/>
      <c r="I38" s="3"/>
      <c r="J38" s="293"/>
      <c r="K38" s="293"/>
      <c r="L38" s="293"/>
      <c r="M38" s="293"/>
      <c r="N38" s="293"/>
      <c r="O38" s="293"/>
      <c r="P38" s="293"/>
      <c r="Q38" s="293"/>
      <c r="R38" s="293"/>
      <c r="S38" s="293"/>
      <c r="T38" s="293"/>
      <c r="U38" s="261"/>
      <c r="V38" s="261"/>
      <c r="W38" s="261"/>
      <c r="X38" s="261"/>
      <c r="Y38" s="261"/>
      <c r="Z38" s="261"/>
      <c r="AA38" s="201"/>
      <c r="AB38" s="201"/>
      <c r="AC38" s="52"/>
      <c r="AD38" s="52"/>
      <c r="AE38" s="52"/>
      <c r="AF38" s="52"/>
    </row>
    <row r="39" spans="1:32">
      <c r="A39" s="12"/>
      <c r="B39" s="12"/>
      <c r="C39" s="137" t="s">
        <v>1644</v>
      </c>
      <c r="D39" s="137"/>
      <c r="E39" s="137"/>
      <c r="F39" s="12"/>
      <c r="G39" s="12"/>
      <c r="H39" s="3"/>
      <c r="I39" s="3"/>
      <c r="J39" s="293"/>
      <c r="K39" s="293"/>
      <c r="L39" s="293"/>
      <c r="M39" s="293"/>
      <c r="N39" s="293"/>
      <c r="O39" s="293"/>
      <c r="P39" s="293"/>
      <c r="Q39" s="293"/>
      <c r="R39" s="293"/>
      <c r="S39" s="293"/>
      <c r="T39" s="293"/>
      <c r="U39" s="261"/>
      <c r="V39" s="261"/>
      <c r="W39" s="261"/>
      <c r="X39" s="261"/>
      <c r="Y39" s="261"/>
      <c r="Z39" s="261"/>
      <c r="AA39" s="201"/>
      <c r="AB39" s="201"/>
      <c r="AC39" s="52"/>
      <c r="AD39" s="52"/>
      <c r="AE39" s="52"/>
      <c r="AF39" s="52"/>
    </row>
    <row r="40" spans="1:32">
      <c r="A40" s="22" t="s">
        <v>1244</v>
      </c>
      <c r="B40" s="201"/>
      <c r="C40" s="137" t="s">
        <v>1803</v>
      </c>
      <c r="D40" s="137"/>
      <c r="E40" s="137"/>
      <c r="F40" s="64"/>
      <c r="G40" s="64"/>
      <c r="H40" s="3"/>
      <c r="I40" s="3"/>
      <c r="J40" s="293"/>
      <c r="K40" s="293"/>
      <c r="L40" s="293"/>
      <c r="M40" s="293"/>
      <c r="N40" s="293"/>
      <c r="O40" s="293"/>
      <c r="P40" s="293"/>
      <c r="Q40" s="293"/>
      <c r="R40" s="293"/>
      <c r="S40" s="293"/>
      <c r="T40" s="293"/>
      <c r="U40" s="261"/>
      <c r="V40" s="261"/>
      <c r="W40" s="261"/>
      <c r="X40" s="261"/>
      <c r="Y40" s="261"/>
      <c r="Z40" s="261"/>
      <c r="AA40" s="201"/>
      <c r="AB40" s="201"/>
      <c r="AC40" s="52"/>
      <c r="AD40" s="52"/>
      <c r="AE40" s="52"/>
      <c r="AF40" s="52"/>
    </row>
    <row r="41" spans="1:32">
      <c r="A41" s="30" t="s">
        <v>198</v>
      </c>
      <c r="B41" s="30" t="s">
        <v>1245</v>
      </c>
      <c r="C41" s="30" t="s">
        <v>1246</v>
      </c>
      <c r="D41" s="30" t="s">
        <v>1247</v>
      </c>
      <c r="E41" s="3"/>
      <c r="F41" s="3"/>
      <c r="G41" s="3"/>
      <c r="H41" s="3"/>
      <c r="I41" s="3"/>
      <c r="J41" s="293"/>
      <c r="K41" s="293"/>
      <c r="L41" s="293"/>
      <c r="M41" s="293"/>
      <c r="N41" s="293"/>
      <c r="O41" s="293"/>
      <c r="P41" s="293"/>
      <c r="Q41" s="293"/>
      <c r="R41" s="293"/>
      <c r="S41" s="293"/>
      <c r="T41" s="293"/>
      <c r="U41" s="261"/>
      <c r="V41" s="261"/>
      <c r="W41" s="261"/>
      <c r="X41" s="261"/>
      <c r="Y41" s="261"/>
      <c r="Z41" s="261"/>
      <c r="AA41" s="201"/>
      <c r="AB41" s="201"/>
      <c r="AC41" s="52"/>
      <c r="AD41" s="52"/>
      <c r="AE41" s="52"/>
      <c r="AF41" s="52"/>
    </row>
    <row r="42" spans="1:32">
      <c r="A42" s="216">
        <v>8.5000000000000006E-2</v>
      </c>
      <c r="B42" s="33">
        <v>420</v>
      </c>
      <c r="C42" s="33">
        <v>470</v>
      </c>
      <c r="D42" s="33">
        <v>525</v>
      </c>
      <c r="E42" s="3"/>
      <c r="F42" s="3"/>
      <c r="G42" s="3"/>
      <c r="H42" s="3"/>
      <c r="I42" s="3"/>
      <c r="J42" s="293"/>
      <c r="K42" s="293"/>
      <c r="L42" s="293"/>
      <c r="M42" s="293"/>
      <c r="N42" s="293"/>
      <c r="O42" s="293"/>
      <c r="P42" s="293"/>
      <c r="Q42" s="293"/>
      <c r="R42" s="293"/>
      <c r="S42" s="293"/>
      <c r="T42" s="293"/>
      <c r="U42" s="261"/>
      <c r="V42" s="261"/>
      <c r="W42" s="261"/>
      <c r="X42" s="261"/>
      <c r="Y42" s="261"/>
      <c r="Z42" s="261"/>
      <c r="AA42" s="201"/>
      <c r="AB42" s="201"/>
      <c r="AC42" s="52"/>
      <c r="AD42" s="52"/>
      <c r="AE42" s="52"/>
      <c r="AF42" s="52"/>
    </row>
    <row r="43" spans="1:32">
      <c r="A43" s="216">
        <v>0.09</v>
      </c>
      <c r="B43" s="33">
        <v>330</v>
      </c>
      <c r="C43" s="33">
        <v>361</v>
      </c>
      <c r="D43" s="33">
        <v>395</v>
      </c>
      <c r="E43" s="3"/>
      <c r="F43" s="3"/>
      <c r="G43" s="3"/>
      <c r="H43" s="3"/>
      <c r="I43" s="3"/>
      <c r="J43" s="293"/>
      <c r="K43" s="293"/>
      <c r="L43" s="293"/>
      <c r="M43" s="293"/>
      <c r="N43" s="293"/>
      <c r="O43" s="293"/>
      <c r="P43" s="293"/>
      <c r="Q43" s="293"/>
      <c r="R43" s="293"/>
      <c r="S43" s="293"/>
      <c r="T43" s="293"/>
      <c r="U43" s="261"/>
      <c r="V43" s="261"/>
      <c r="W43" s="261"/>
      <c r="X43" s="261"/>
      <c r="Y43" s="261"/>
      <c r="Z43" s="261"/>
      <c r="AA43" s="201"/>
      <c r="AB43" s="201"/>
      <c r="AC43" s="52"/>
      <c r="AD43" s="52"/>
      <c r="AE43" s="52"/>
      <c r="AF43" s="52"/>
    </row>
    <row r="44" spans="1:32">
      <c r="A44" s="374">
        <v>9.5000000000000001E-2</v>
      </c>
      <c r="B44" s="165">
        <v>290</v>
      </c>
      <c r="C44" s="165">
        <v>306</v>
      </c>
      <c r="D44" s="165">
        <v>335</v>
      </c>
      <c r="E44" s="47"/>
      <c r="F44" s="47"/>
      <c r="G44" s="47"/>
      <c r="H44" s="47"/>
      <c r="I44" s="47"/>
      <c r="J44" s="261"/>
      <c r="K44" s="261"/>
      <c r="L44" s="261"/>
      <c r="M44" s="261"/>
      <c r="N44" s="261"/>
      <c r="O44" s="261"/>
      <c r="P44" s="261"/>
      <c r="Q44" s="261"/>
      <c r="R44" s="261"/>
      <c r="S44" s="201"/>
      <c r="T44" s="201"/>
      <c r="U44" s="201"/>
      <c r="V44" s="201"/>
      <c r="W44" s="201"/>
      <c r="X44" s="201"/>
      <c r="Y44" s="201"/>
      <c r="Z44" s="201"/>
      <c r="AA44" s="201"/>
      <c r="AB44" s="201"/>
      <c r="AC44" s="52"/>
      <c r="AD44" s="52"/>
      <c r="AE44" s="52"/>
      <c r="AF44" s="52"/>
    </row>
    <row r="45" spans="1:32">
      <c r="A45" s="63" t="s">
        <v>1804</v>
      </c>
      <c r="B45" s="63"/>
      <c r="C45" s="63"/>
      <c r="D45" s="47"/>
      <c r="E45" s="47"/>
      <c r="F45" s="47"/>
      <c r="G45" s="47"/>
      <c r="H45" s="47"/>
      <c r="I45" s="47"/>
      <c r="J45" s="261"/>
      <c r="K45" s="261"/>
      <c r="L45" s="261"/>
      <c r="M45" s="261"/>
      <c r="N45" s="261"/>
      <c r="O45" s="261"/>
      <c r="P45" s="261"/>
      <c r="Q45" s="261"/>
      <c r="R45" s="261"/>
      <c r="S45" s="201"/>
      <c r="T45" s="201"/>
      <c r="U45" s="201"/>
      <c r="V45" s="201"/>
      <c r="W45" s="201"/>
      <c r="X45" s="201"/>
      <c r="Y45" s="201"/>
      <c r="Z45" s="201"/>
      <c r="AA45" s="201"/>
      <c r="AB45" s="201"/>
      <c r="AC45" s="52"/>
      <c r="AD45" s="52"/>
      <c r="AE45" s="52"/>
      <c r="AF45" s="52"/>
    </row>
    <row r="46" spans="1:32">
      <c r="A46" s="46" t="s">
        <v>1565</v>
      </c>
      <c r="B46" s="47"/>
      <c r="C46" s="47"/>
      <c r="D46" s="47"/>
      <c r="E46" s="47"/>
      <c r="F46" s="47"/>
      <c r="G46" s="47"/>
      <c r="H46" s="47"/>
      <c r="I46" s="47"/>
      <c r="J46" s="261"/>
      <c r="K46" s="261"/>
      <c r="L46" s="261"/>
      <c r="M46" s="261"/>
      <c r="N46" s="261"/>
      <c r="O46" s="261"/>
      <c r="P46" s="261"/>
      <c r="Q46" s="261"/>
      <c r="R46" s="261"/>
      <c r="S46" s="201"/>
      <c r="T46" s="201"/>
      <c r="U46" s="201"/>
      <c r="V46" s="201"/>
      <c r="W46" s="201"/>
      <c r="X46" s="201"/>
      <c r="Y46" s="201"/>
      <c r="Z46" s="201"/>
      <c r="AA46" s="201"/>
      <c r="AB46" s="201"/>
      <c r="AC46" s="52"/>
      <c r="AD46" s="52"/>
      <c r="AE46" s="52"/>
      <c r="AF46" s="52"/>
    </row>
    <row r="47" spans="1:32">
      <c r="A47" s="46" t="s">
        <v>411</v>
      </c>
      <c r="B47" s="46" t="s">
        <v>1562</v>
      </c>
      <c r="C47" s="46" t="s">
        <v>1563</v>
      </c>
      <c r="D47" s="46" t="s">
        <v>1564</v>
      </c>
      <c r="E47" s="46" t="s">
        <v>492</v>
      </c>
      <c r="F47" s="27"/>
      <c r="G47" s="27"/>
      <c r="H47" s="47"/>
      <c r="I47" s="47"/>
      <c r="J47" s="261"/>
      <c r="K47" s="261"/>
      <c r="L47" s="261"/>
      <c r="M47" s="261"/>
      <c r="N47" s="261"/>
      <c r="O47" s="261"/>
      <c r="P47" s="261"/>
      <c r="Q47" s="261"/>
      <c r="R47" s="261"/>
      <c r="S47" s="201"/>
      <c r="T47" s="201"/>
      <c r="U47" s="201"/>
      <c r="V47" s="201"/>
      <c r="W47" s="201"/>
      <c r="X47" s="201"/>
      <c r="Y47" s="201"/>
      <c r="Z47" s="201"/>
      <c r="AA47" s="201"/>
      <c r="AB47" s="201"/>
      <c r="AC47" s="52"/>
      <c r="AD47" s="52"/>
      <c r="AE47" s="52"/>
      <c r="AF47" s="52"/>
    </row>
    <row r="48" spans="1:32">
      <c r="A48" s="161">
        <v>2024</v>
      </c>
      <c r="B48" s="335">
        <v>8000</v>
      </c>
      <c r="C48" s="320" t="s">
        <v>277</v>
      </c>
      <c r="D48" s="336">
        <v>3.8999999999999998E-3</v>
      </c>
      <c r="E48" s="310">
        <f>'Profit Loss'!F4</f>
        <v>28167</v>
      </c>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52"/>
      <c r="AD48" s="52"/>
      <c r="AE48" s="52"/>
      <c r="AF48" s="52"/>
    </row>
    <row r="49" spans="1:32">
      <c r="A49" s="320" t="s">
        <v>124</v>
      </c>
      <c r="B49" s="335">
        <v>8800</v>
      </c>
      <c r="C49" s="330">
        <v>0.1</v>
      </c>
      <c r="D49" s="336">
        <v>3.8999999999999998E-3</v>
      </c>
      <c r="E49" s="311">
        <f>'Profit Loss'!G4</f>
        <v>31547.040000000005</v>
      </c>
      <c r="F49" s="47"/>
      <c r="G49" s="47"/>
      <c r="H49" s="47"/>
      <c r="I49" s="47"/>
      <c r="J49" s="261"/>
      <c r="K49" s="261"/>
      <c r="L49" s="261"/>
      <c r="M49" s="261"/>
      <c r="N49" s="261"/>
      <c r="O49" s="261"/>
      <c r="P49" s="261"/>
      <c r="Q49" s="261"/>
      <c r="R49" s="261"/>
      <c r="S49" s="201"/>
      <c r="T49" s="201"/>
      <c r="U49" s="201"/>
      <c r="V49" s="201"/>
      <c r="W49" s="201"/>
      <c r="X49" s="201"/>
      <c r="Y49" s="201"/>
      <c r="Z49" s="201"/>
      <c r="AA49" s="201"/>
      <c r="AB49" s="201"/>
      <c r="AC49" s="52"/>
      <c r="AD49" s="52"/>
      <c r="AE49" s="52"/>
      <c r="AF49" s="52"/>
    </row>
    <row r="50" spans="1:32">
      <c r="A50" s="320" t="s">
        <v>125</v>
      </c>
      <c r="B50" s="335">
        <v>9680</v>
      </c>
      <c r="C50" s="330">
        <v>0.1</v>
      </c>
      <c r="D50" s="336">
        <v>3.8999999999999998E-3</v>
      </c>
      <c r="E50" s="312">
        <f>'Profit Loss'!H4</f>
        <v>35648.155200000001</v>
      </c>
      <c r="F50" s="47"/>
      <c r="G50" s="47"/>
      <c r="H50" s="47"/>
      <c r="I50" s="47"/>
      <c r="J50" s="261"/>
      <c r="K50" s="261"/>
      <c r="L50" s="261"/>
      <c r="M50" s="261"/>
      <c r="N50" s="261"/>
      <c r="O50" s="261"/>
      <c r="P50" s="261"/>
      <c r="Q50" s="261"/>
      <c r="R50" s="261"/>
      <c r="S50" s="201"/>
      <c r="T50" s="201"/>
      <c r="U50" s="201"/>
      <c r="V50" s="201"/>
      <c r="W50" s="201"/>
      <c r="X50" s="201"/>
      <c r="Y50" s="201"/>
      <c r="Z50" s="201"/>
      <c r="AA50" s="201"/>
      <c r="AB50" s="201"/>
      <c r="AC50" s="52"/>
      <c r="AD50" s="52"/>
      <c r="AE50" s="52"/>
      <c r="AF50" s="52"/>
    </row>
    <row r="51" spans="1:32">
      <c r="A51" s="320" t="s">
        <v>126</v>
      </c>
      <c r="B51" s="335">
        <v>10648</v>
      </c>
      <c r="C51" s="330">
        <v>0.1</v>
      </c>
      <c r="D51" s="336">
        <v>3.8999999999999998E-3</v>
      </c>
      <c r="E51" s="312">
        <f>'Profit Loss'!I4</f>
        <v>39925.933824000007</v>
      </c>
      <c r="F51" s="47"/>
      <c r="G51" s="47"/>
      <c r="H51" s="47"/>
      <c r="I51" s="47"/>
      <c r="J51" s="261"/>
      <c r="K51" s="261"/>
      <c r="L51" s="261"/>
      <c r="M51" s="261"/>
      <c r="N51" s="261"/>
      <c r="O51" s="261"/>
      <c r="P51" s="261"/>
      <c r="Q51" s="261"/>
      <c r="R51" s="261"/>
      <c r="S51" s="201"/>
      <c r="T51" s="201"/>
      <c r="U51" s="201"/>
      <c r="V51" s="201"/>
      <c r="W51" s="201"/>
      <c r="X51" s="201"/>
      <c r="Y51" s="201"/>
      <c r="Z51" s="201"/>
      <c r="AA51" s="201"/>
      <c r="AB51" s="201"/>
      <c r="AC51" s="52"/>
      <c r="AD51" s="52"/>
      <c r="AE51" s="52"/>
      <c r="AF51" s="52"/>
    </row>
    <row r="52" spans="1:32">
      <c r="A52" s="63" t="s">
        <v>1795</v>
      </c>
      <c r="B52" s="63"/>
      <c r="C52" s="63"/>
      <c r="D52" s="47"/>
      <c r="E52" s="261"/>
      <c r="F52" s="261"/>
      <c r="G52" s="261"/>
      <c r="H52" s="261"/>
      <c r="I52" s="261"/>
      <c r="J52" s="261"/>
      <c r="K52" s="261"/>
      <c r="L52" s="261"/>
      <c r="M52" s="261"/>
      <c r="N52" s="201"/>
      <c r="O52" s="261"/>
      <c r="P52" s="261"/>
      <c r="Q52" s="261"/>
      <c r="R52" s="261"/>
      <c r="S52" s="201"/>
      <c r="T52" s="201"/>
      <c r="U52" s="201"/>
      <c r="V52" s="201"/>
      <c r="W52" s="201"/>
      <c r="X52" s="201"/>
      <c r="Y52" s="201"/>
      <c r="Z52" s="201"/>
      <c r="AA52" s="201"/>
      <c r="AB52" s="201"/>
      <c r="AC52" s="52"/>
      <c r="AD52" s="52"/>
      <c r="AE52" s="52"/>
      <c r="AF52" s="52"/>
    </row>
    <row r="53" spans="1:32">
      <c r="A53" s="46" t="s">
        <v>1567</v>
      </c>
      <c r="B53" s="261"/>
      <c r="C53" s="261"/>
      <c r="D53" s="47"/>
      <c r="E53" s="47"/>
      <c r="F53" s="47"/>
      <c r="G53" s="47"/>
      <c r="H53" s="47"/>
      <c r="I53" s="47"/>
      <c r="J53" s="261"/>
      <c r="K53" s="261"/>
      <c r="L53" s="261"/>
      <c r="M53" s="261"/>
      <c r="N53" s="261"/>
      <c r="O53" s="261"/>
      <c r="P53" s="261"/>
      <c r="Q53" s="261"/>
      <c r="R53" s="261"/>
      <c r="S53" s="201"/>
      <c r="T53" s="201"/>
      <c r="U53" s="201"/>
      <c r="V53" s="201"/>
      <c r="W53" s="201"/>
      <c r="X53" s="201"/>
      <c r="Y53" s="201"/>
      <c r="Z53" s="201"/>
      <c r="AA53" s="201"/>
      <c r="AB53" s="201"/>
      <c r="AC53" s="52"/>
      <c r="AD53" s="52"/>
      <c r="AE53" s="52"/>
      <c r="AF53" s="52"/>
    </row>
    <row r="54" spans="1:32">
      <c r="A54" s="27" t="s">
        <v>442</v>
      </c>
      <c r="B54" s="27" t="s">
        <v>1302</v>
      </c>
      <c r="C54" s="27" t="s">
        <v>1303</v>
      </c>
      <c r="D54" s="27" t="s">
        <v>1304</v>
      </c>
      <c r="E54" s="47"/>
      <c r="F54" s="47"/>
      <c r="G54" s="47"/>
      <c r="H54" s="47"/>
      <c r="I54" s="47"/>
      <c r="J54" s="261"/>
      <c r="K54" s="261"/>
      <c r="L54" s="261"/>
      <c r="M54" s="261"/>
      <c r="N54" s="261"/>
      <c r="O54" s="261"/>
      <c r="P54" s="261"/>
      <c r="Q54" s="261"/>
      <c r="R54" s="261"/>
      <c r="S54" s="201"/>
      <c r="T54" s="201"/>
      <c r="U54" s="201"/>
      <c r="V54" s="201"/>
      <c r="W54" s="201"/>
      <c r="X54" s="201"/>
      <c r="Y54" s="201"/>
      <c r="Z54" s="201"/>
      <c r="AA54" s="201"/>
      <c r="AB54" s="201"/>
      <c r="AC54" s="52"/>
      <c r="AD54" s="52"/>
      <c r="AE54" s="52"/>
      <c r="AF54" s="52"/>
    </row>
    <row r="55" spans="1:32">
      <c r="A55" s="320" t="s">
        <v>840</v>
      </c>
      <c r="B55" s="320">
        <v>330</v>
      </c>
      <c r="C55" s="320">
        <v>420</v>
      </c>
      <c r="D55" s="424">
        <f>B35</f>
        <v>386.11179448578162</v>
      </c>
      <c r="E55" s="261"/>
      <c r="F55" s="261"/>
      <c r="G55" s="261"/>
      <c r="H55" s="261"/>
      <c r="I55" s="261"/>
      <c r="J55" s="261"/>
      <c r="K55" s="261"/>
      <c r="L55" s="261"/>
      <c r="M55" s="261"/>
      <c r="N55" s="261"/>
      <c r="O55" s="261"/>
      <c r="P55" s="261"/>
      <c r="Q55" s="261"/>
      <c r="R55" s="261"/>
      <c r="S55" s="201"/>
      <c r="T55" s="201"/>
      <c r="U55" s="201"/>
      <c r="V55" s="201"/>
      <c r="W55" s="201"/>
      <c r="X55" s="201"/>
      <c r="Y55" s="201"/>
      <c r="Z55" s="201"/>
      <c r="AA55" s="201"/>
      <c r="AB55" s="201"/>
      <c r="AC55" s="52"/>
      <c r="AD55" s="52"/>
      <c r="AE55" s="52"/>
      <c r="AF55" s="52"/>
    </row>
    <row r="56" spans="1:32">
      <c r="A56" s="320" t="s">
        <v>218</v>
      </c>
      <c r="B56" s="320">
        <v>350</v>
      </c>
      <c r="C56" s="320">
        <v>460</v>
      </c>
      <c r="D56" s="424">
        <f>B35</f>
        <v>386.11179448578162</v>
      </c>
      <c r="E56" s="261"/>
      <c r="F56" s="261"/>
      <c r="G56" s="261"/>
      <c r="H56" s="261"/>
      <c r="I56" s="261"/>
      <c r="J56" s="261"/>
      <c r="K56" s="261"/>
      <c r="L56" s="261"/>
      <c r="M56" s="261"/>
      <c r="N56" s="261"/>
      <c r="O56" s="261"/>
      <c r="P56" s="261"/>
      <c r="Q56" s="261"/>
      <c r="R56" s="261"/>
      <c r="S56" s="201"/>
      <c r="T56" s="201"/>
      <c r="U56" s="201"/>
      <c r="V56" s="201"/>
      <c r="W56" s="201"/>
      <c r="X56" s="201"/>
      <c r="Y56" s="201"/>
      <c r="Z56" s="201"/>
      <c r="AA56" s="201"/>
      <c r="AB56" s="201"/>
      <c r="AC56" s="52"/>
      <c r="AD56" s="52"/>
      <c r="AE56" s="52"/>
      <c r="AF56" s="52"/>
    </row>
    <row r="57" spans="1:32">
      <c r="A57" s="320" t="s">
        <v>214</v>
      </c>
      <c r="B57" s="320">
        <v>340</v>
      </c>
      <c r="C57" s="320">
        <v>440</v>
      </c>
      <c r="D57" s="424">
        <f>B35</f>
        <v>386.11179448578162</v>
      </c>
      <c r="E57" s="261"/>
      <c r="F57" s="261"/>
      <c r="G57" s="261"/>
      <c r="H57" s="261"/>
      <c r="I57" s="261"/>
      <c r="J57" s="261"/>
      <c r="K57" s="261"/>
      <c r="L57" s="261"/>
      <c r="M57" s="261"/>
      <c r="N57" s="261"/>
      <c r="O57" s="261"/>
      <c r="P57" s="261"/>
      <c r="Q57" s="261"/>
      <c r="R57" s="261"/>
      <c r="S57" s="201"/>
      <c r="T57" s="201"/>
      <c r="U57" s="201"/>
      <c r="V57" s="201"/>
      <c r="W57" s="201"/>
      <c r="X57" s="201"/>
      <c r="Y57" s="201"/>
      <c r="Z57" s="201"/>
      <c r="AA57" s="201"/>
      <c r="AB57" s="201"/>
      <c r="AC57" s="52"/>
      <c r="AD57" s="52"/>
      <c r="AE57" s="52"/>
      <c r="AF57" s="52"/>
    </row>
    <row r="58" spans="1:32">
      <c r="A58" s="320" t="s">
        <v>1566</v>
      </c>
      <c r="B58" s="320">
        <v>360</v>
      </c>
      <c r="C58" s="320">
        <v>480</v>
      </c>
      <c r="D58" s="424">
        <f>B35</f>
        <v>386.11179448578162</v>
      </c>
      <c r="E58" s="261"/>
      <c r="F58" s="261"/>
      <c r="G58" s="261"/>
      <c r="H58" s="261"/>
      <c r="I58" s="261"/>
      <c r="J58" s="261"/>
      <c r="K58" s="261"/>
      <c r="L58" s="261"/>
      <c r="M58" s="261"/>
      <c r="N58" s="261"/>
      <c r="O58" s="261"/>
      <c r="P58" s="261"/>
      <c r="Q58" s="261"/>
      <c r="R58" s="261"/>
      <c r="S58" s="201"/>
      <c r="T58" s="201"/>
      <c r="U58" s="201"/>
      <c r="V58" s="201"/>
      <c r="W58" s="201"/>
      <c r="X58" s="201"/>
      <c r="Y58" s="201"/>
      <c r="Z58" s="201"/>
      <c r="AA58" s="201"/>
      <c r="AB58" s="201"/>
      <c r="AC58" s="52"/>
      <c r="AD58" s="52"/>
      <c r="AE58" s="52"/>
      <c r="AF58" s="52"/>
    </row>
    <row r="59" spans="1:32">
      <c r="A59" s="261"/>
      <c r="B59" s="261"/>
      <c r="C59" s="261"/>
      <c r="D59" s="261"/>
      <c r="E59" s="261"/>
      <c r="F59" s="261"/>
      <c r="G59" s="261"/>
      <c r="H59" s="261"/>
      <c r="I59" s="261"/>
      <c r="J59" s="261"/>
      <c r="K59" s="261"/>
      <c r="L59" s="261"/>
      <c r="M59" s="261"/>
      <c r="N59" s="261"/>
      <c r="O59" s="261"/>
      <c r="P59" s="261"/>
      <c r="Q59" s="261"/>
      <c r="R59" s="261"/>
      <c r="S59" s="201"/>
      <c r="T59" s="201"/>
      <c r="U59" s="201"/>
      <c r="V59" s="201"/>
      <c r="W59" s="201"/>
      <c r="X59" s="201"/>
      <c r="Y59" s="201"/>
      <c r="Z59" s="201"/>
      <c r="AA59" s="201"/>
      <c r="AB59" s="201"/>
      <c r="AC59" s="52"/>
      <c r="AD59" s="52"/>
      <c r="AE59" s="52"/>
      <c r="AF59" s="52"/>
    </row>
    <row r="60" spans="1:32">
      <c r="A60" s="46" t="s">
        <v>1568</v>
      </c>
      <c r="B60" s="47"/>
      <c r="C60" s="261"/>
      <c r="D60" s="261"/>
      <c r="E60" s="261"/>
      <c r="F60" s="261"/>
      <c r="G60" s="261"/>
      <c r="H60" s="261"/>
      <c r="I60" s="261"/>
      <c r="J60" s="261"/>
      <c r="K60" s="261"/>
      <c r="L60" s="261"/>
      <c r="M60" s="261"/>
      <c r="N60" s="261"/>
      <c r="O60" s="261"/>
      <c r="P60" s="261"/>
      <c r="Q60" s="261"/>
      <c r="R60" s="261"/>
      <c r="S60" s="201"/>
      <c r="T60" s="201"/>
      <c r="U60" s="201"/>
      <c r="V60" s="201"/>
      <c r="W60" s="201"/>
      <c r="X60" s="201"/>
      <c r="Y60" s="201"/>
      <c r="Z60" s="201"/>
      <c r="AA60" s="201"/>
      <c r="AB60" s="201"/>
      <c r="AC60" s="52"/>
      <c r="AD60" s="52"/>
      <c r="AE60" s="52"/>
      <c r="AF60" s="52"/>
    </row>
    <row r="61" spans="1:32">
      <c r="A61" s="46" t="s">
        <v>491</v>
      </c>
      <c r="B61" s="46" t="s">
        <v>117</v>
      </c>
      <c r="C61" s="261"/>
      <c r="D61" s="261"/>
      <c r="E61" s="261"/>
      <c r="F61" s="261"/>
      <c r="G61" s="261"/>
      <c r="H61" s="261"/>
      <c r="I61" s="261"/>
      <c r="J61" s="261"/>
      <c r="K61" s="261"/>
      <c r="L61" s="261"/>
      <c r="M61" s="261"/>
      <c r="N61" s="261"/>
      <c r="O61" s="261"/>
      <c r="P61" s="261"/>
      <c r="Q61" s="261"/>
      <c r="R61" s="261"/>
      <c r="S61" s="201"/>
      <c r="T61" s="201"/>
      <c r="U61" s="201"/>
      <c r="V61" s="201"/>
      <c r="W61" s="201"/>
      <c r="X61" s="201"/>
      <c r="Y61" s="201"/>
      <c r="Z61" s="201"/>
      <c r="AA61" s="201"/>
      <c r="AB61" s="201"/>
      <c r="AC61" s="52"/>
      <c r="AD61" s="52"/>
      <c r="AE61" s="52"/>
      <c r="AF61" s="52"/>
    </row>
    <row r="62" spans="1:32">
      <c r="A62" s="320" t="s">
        <v>247</v>
      </c>
      <c r="B62" s="320" t="s">
        <v>295</v>
      </c>
      <c r="C62" s="308" t="s">
        <v>1569</v>
      </c>
      <c r="D62" s="308" t="s">
        <v>1031</v>
      </c>
      <c r="E62" s="261"/>
      <c r="F62" s="261"/>
      <c r="G62" s="261"/>
      <c r="H62" s="261"/>
      <c r="I62" s="261"/>
      <c r="J62" s="261"/>
      <c r="K62" s="261"/>
      <c r="L62" s="261"/>
      <c r="M62" s="261"/>
      <c r="N62" s="261"/>
      <c r="O62" s="261"/>
      <c r="P62" s="261"/>
      <c r="Q62" s="261"/>
      <c r="R62" s="261"/>
      <c r="S62" s="201"/>
      <c r="T62" s="201"/>
      <c r="U62" s="201"/>
      <c r="V62" s="201"/>
      <c r="W62" s="201"/>
      <c r="X62" s="201"/>
      <c r="Y62" s="201"/>
      <c r="Z62" s="201"/>
      <c r="AA62" s="201"/>
      <c r="AB62" s="201"/>
      <c r="AC62" s="52"/>
      <c r="AD62" s="52"/>
      <c r="AE62" s="52"/>
      <c r="AF62" s="52"/>
    </row>
    <row r="63" spans="1:32">
      <c r="A63" s="320" t="s">
        <v>1805</v>
      </c>
      <c r="B63" s="434">
        <f>B35</f>
        <v>386.11179448578162</v>
      </c>
      <c r="C63" s="309" t="s">
        <v>1570</v>
      </c>
      <c r="D63" s="309" t="s">
        <v>1793</v>
      </c>
      <c r="E63" s="261"/>
      <c r="F63" s="261"/>
      <c r="G63" s="261"/>
      <c r="H63" s="261"/>
      <c r="I63" s="261"/>
      <c r="J63" s="261"/>
      <c r="K63" s="261"/>
      <c r="L63" s="261"/>
      <c r="M63" s="261"/>
      <c r="N63" s="261"/>
      <c r="O63" s="261"/>
      <c r="P63" s="261"/>
      <c r="Q63" s="261"/>
      <c r="R63" s="261"/>
      <c r="S63" s="201"/>
      <c r="T63" s="201"/>
      <c r="U63" s="201"/>
      <c r="V63" s="201"/>
      <c r="W63" s="201"/>
      <c r="X63" s="201"/>
      <c r="Y63" s="201"/>
      <c r="Z63" s="201"/>
      <c r="AA63" s="201"/>
      <c r="AB63" s="201"/>
      <c r="AC63" s="52"/>
      <c r="AD63" s="52"/>
      <c r="AE63" s="52"/>
      <c r="AF63" s="52"/>
    </row>
    <row r="64" spans="1:32">
      <c r="A64" s="320" t="s">
        <v>865</v>
      </c>
      <c r="B64" s="434">
        <v>450</v>
      </c>
      <c r="C64" s="466" t="s">
        <v>1571</v>
      </c>
      <c r="D64" s="466" t="s">
        <v>1572</v>
      </c>
      <c r="E64" s="261"/>
      <c r="F64" s="261"/>
      <c r="G64" s="261"/>
      <c r="H64" s="261"/>
      <c r="I64" s="261"/>
      <c r="J64" s="261"/>
      <c r="K64" s="261"/>
      <c r="L64" s="261"/>
      <c r="M64" s="261"/>
      <c r="N64" s="261"/>
      <c r="O64" s="261"/>
      <c r="P64" s="261"/>
      <c r="Q64" s="261"/>
      <c r="R64" s="261"/>
      <c r="S64" s="201"/>
      <c r="T64" s="201"/>
      <c r="U64" s="201"/>
      <c r="V64" s="201"/>
      <c r="W64" s="201"/>
      <c r="X64" s="201"/>
      <c r="Y64" s="201"/>
      <c r="Z64" s="201"/>
      <c r="AA64" s="201"/>
      <c r="AB64" s="201"/>
      <c r="AC64" s="52"/>
      <c r="AD64" s="52"/>
      <c r="AE64" s="52"/>
      <c r="AF64" s="52"/>
    </row>
    <row r="65" spans="1:32">
      <c r="A65" s="320" t="s">
        <v>981</v>
      </c>
      <c r="B65" s="432">
        <f>B37</f>
        <v>-0.14197379003159641</v>
      </c>
      <c r="C65" s="47"/>
      <c r="D65" s="47"/>
      <c r="E65" s="261"/>
      <c r="F65" s="261"/>
      <c r="G65" s="261"/>
      <c r="H65" s="261"/>
      <c r="I65" s="261"/>
      <c r="J65" s="261"/>
      <c r="K65" s="261"/>
      <c r="L65" s="261"/>
      <c r="M65" s="261"/>
      <c r="N65" s="261"/>
      <c r="O65" s="261"/>
      <c r="P65" s="261"/>
      <c r="Q65" s="261"/>
      <c r="R65" s="261"/>
      <c r="S65" s="201"/>
      <c r="T65" s="201"/>
      <c r="U65" s="201"/>
      <c r="V65" s="201"/>
      <c r="W65" s="201"/>
      <c r="X65" s="201"/>
      <c r="Y65" s="201"/>
      <c r="Z65" s="201"/>
      <c r="AA65" s="201"/>
      <c r="AB65" s="201"/>
      <c r="AC65" s="52"/>
      <c r="AD65" s="52"/>
      <c r="AE65" s="52"/>
      <c r="AF65" s="52"/>
    </row>
    <row r="66" spans="1:32">
      <c r="A66" s="320" t="s">
        <v>502</v>
      </c>
      <c r="B66" s="416" t="str">
        <f>B38</f>
        <v>SELL</v>
      </c>
      <c r="C66" s="261"/>
      <c r="D66" s="261"/>
      <c r="E66" s="261"/>
      <c r="F66" s="261"/>
      <c r="G66" s="261"/>
      <c r="H66" s="261"/>
      <c r="I66" s="261"/>
      <c r="J66" s="261"/>
      <c r="K66" s="261"/>
      <c r="L66" s="261"/>
      <c r="M66" s="261"/>
      <c r="N66" s="261"/>
      <c r="O66" s="261"/>
      <c r="P66" s="261"/>
      <c r="Q66" s="261"/>
      <c r="R66" s="261"/>
      <c r="S66" s="201"/>
      <c r="T66" s="201"/>
      <c r="U66" s="201"/>
      <c r="V66" s="201"/>
      <c r="W66" s="201"/>
      <c r="X66" s="201"/>
      <c r="Y66" s="201"/>
      <c r="Z66" s="201"/>
      <c r="AA66" s="201"/>
      <c r="AB66" s="201"/>
      <c r="AC66" s="52"/>
      <c r="AD66" s="52"/>
      <c r="AE66" s="52"/>
      <c r="AF66" s="52"/>
    </row>
    <row r="67" spans="1:32">
      <c r="A67" s="63" t="s">
        <v>1794</v>
      </c>
      <c r="B67" s="63"/>
      <c r="C67" s="63"/>
      <c r="D67" s="63"/>
      <c r="E67" s="63"/>
      <c r="F67" s="63"/>
      <c r="G67" s="392"/>
      <c r="H67" s="392"/>
      <c r="I67" s="392"/>
      <c r="J67" s="392"/>
      <c r="K67" s="392"/>
      <c r="L67" s="261"/>
      <c r="M67" s="261"/>
      <c r="N67" s="261"/>
      <c r="O67" s="261"/>
      <c r="P67" s="261"/>
      <c r="Q67" s="261"/>
      <c r="R67" s="261"/>
      <c r="S67" s="201"/>
      <c r="T67" s="201"/>
      <c r="U67" s="201"/>
      <c r="V67" s="201"/>
      <c r="W67" s="201"/>
      <c r="X67" s="201"/>
      <c r="Y67" s="201"/>
      <c r="Z67" s="201"/>
      <c r="AA67" s="201"/>
      <c r="AB67" s="201"/>
      <c r="AC67" s="52"/>
      <c r="AD67" s="52"/>
      <c r="AE67" s="52"/>
      <c r="AF67" s="52"/>
    </row>
    <row r="68" spans="1:32">
      <c r="A68" s="261"/>
      <c r="B68" s="261"/>
      <c r="C68" s="261"/>
      <c r="D68" s="261"/>
      <c r="E68" s="261"/>
      <c r="F68" s="261"/>
      <c r="G68" s="261"/>
      <c r="H68" s="261"/>
      <c r="I68" s="261"/>
      <c r="J68" s="261"/>
      <c r="K68" s="261"/>
      <c r="L68" s="261"/>
      <c r="M68" s="261"/>
      <c r="N68" s="261"/>
      <c r="O68" s="261"/>
      <c r="P68" s="261"/>
      <c r="Q68" s="261"/>
      <c r="R68" s="261"/>
      <c r="S68" s="201"/>
      <c r="T68" s="201"/>
      <c r="U68" s="201"/>
      <c r="V68" s="201"/>
      <c r="W68" s="201"/>
      <c r="X68" s="201"/>
      <c r="Y68" s="201"/>
      <c r="Z68" s="201"/>
      <c r="AA68" s="201"/>
      <c r="AB68" s="201"/>
      <c r="AC68" s="52"/>
      <c r="AD68" s="52"/>
      <c r="AE68" s="52"/>
      <c r="AF68" s="52"/>
    </row>
    <row r="69" spans="1:32">
      <c r="A69" s="63" t="s">
        <v>2337</v>
      </c>
      <c r="B69" s="392"/>
      <c r="C69" s="392"/>
      <c r="D69" s="392"/>
      <c r="E69" s="392"/>
      <c r="F69" s="392"/>
      <c r="G69" s="392"/>
      <c r="H69" s="392"/>
      <c r="I69" s="392"/>
      <c r="J69" s="392"/>
      <c r="K69" s="392"/>
      <c r="L69" s="392"/>
      <c r="M69" s="392"/>
      <c r="N69" s="392"/>
      <c r="O69" s="392"/>
      <c r="P69" s="392"/>
      <c r="Q69" s="392"/>
      <c r="R69" s="392"/>
      <c r="S69" s="390"/>
      <c r="T69" s="390"/>
      <c r="U69" s="390"/>
      <c r="V69" s="390"/>
      <c r="W69" s="201"/>
      <c r="X69" s="201"/>
      <c r="Y69" s="201"/>
      <c r="Z69" s="201"/>
      <c r="AA69" s="201"/>
      <c r="AB69" s="201"/>
      <c r="AC69" s="52"/>
      <c r="AD69" s="52"/>
      <c r="AE69" s="52"/>
      <c r="AF69" s="52"/>
    </row>
    <row r="70" spans="1:32">
      <c r="A70" s="63" t="s">
        <v>2338</v>
      </c>
      <c r="B70" s="392"/>
      <c r="C70" s="392"/>
      <c r="D70" s="392"/>
      <c r="E70" s="392"/>
      <c r="F70" s="392"/>
      <c r="G70" s="392"/>
      <c r="H70" s="392"/>
      <c r="I70" s="392"/>
      <c r="J70" s="392"/>
      <c r="K70" s="261"/>
      <c r="L70" s="261"/>
      <c r="M70" s="261"/>
      <c r="N70" s="261"/>
      <c r="O70" s="261"/>
      <c r="P70" s="261"/>
      <c r="Q70" s="261"/>
      <c r="R70" s="261"/>
      <c r="S70" s="201"/>
      <c r="T70" s="201"/>
      <c r="U70" s="201"/>
      <c r="V70" s="201"/>
      <c r="W70" s="201"/>
      <c r="X70" s="201"/>
      <c r="Y70" s="201"/>
      <c r="Z70" s="201"/>
      <c r="AA70" s="201"/>
      <c r="AB70" s="201"/>
      <c r="AC70" s="52"/>
      <c r="AD70" s="52"/>
      <c r="AE70" s="52"/>
      <c r="AF70" s="52"/>
    </row>
    <row r="71" spans="1:32">
      <c r="A71" s="63" t="s">
        <v>2339</v>
      </c>
      <c r="B71" s="63"/>
      <c r="C71" s="63"/>
      <c r="D71" s="63"/>
      <c r="E71" s="63"/>
      <c r="F71" s="63"/>
      <c r="G71" s="63"/>
      <c r="H71" s="63"/>
      <c r="I71" s="63"/>
      <c r="J71" s="63"/>
      <c r="K71" s="63"/>
      <c r="L71" s="63"/>
      <c r="M71" s="392"/>
      <c r="N71" s="392"/>
      <c r="O71" s="261"/>
      <c r="P71" s="261"/>
      <c r="Q71" s="261"/>
      <c r="R71" s="261"/>
      <c r="S71" s="201"/>
      <c r="T71" s="201"/>
      <c r="U71" s="201"/>
      <c r="V71" s="201"/>
      <c r="W71" s="201"/>
      <c r="X71" s="201"/>
      <c r="Y71" s="201"/>
      <c r="Z71" s="201"/>
      <c r="AA71" s="201"/>
      <c r="AB71" s="201"/>
      <c r="AC71" s="52"/>
      <c r="AD71" s="52"/>
      <c r="AE71" s="52"/>
      <c r="AF71" s="52"/>
    </row>
    <row r="72" spans="1:32">
      <c r="A72" s="63" t="s">
        <v>2196</v>
      </c>
      <c r="B72" s="63"/>
      <c r="C72" s="63"/>
      <c r="D72" s="63"/>
      <c r="E72" s="63"/>
      <c r="F72" s="63"/>
      <c r="G72" s="392"/>
      <c r="H72" s="392"/>
      <c r="I72" s="261"/>
      <c r="J72" s="261"/>
      <c r="K72" s="261"/>
      <c r="L72" s="261"/>
      <c r="M72" s="261"/>
      <c r="N72" s="261"/>
      <c r="O72" s="261"/>
      <c r="P72" s="261"/>
      <c r="Q72" s="261"/>
      <c r="R72" s="261"/>
      <c r="S72" s="201"/>
      <c r="T72" s="201"/>
      <c r="U72" s="201"/>
      <c r="V72" s="201"/>
      <c r="W72" s="201"/>
      <c r="X72" s="201"/>
      <c r="Y72" s="201"/>
      <c r="Z72" s="201"/>
      <c r="AA72" s="201"/>
      <c r="AB72" s="201"/>
      <c r="AC72" s="52"/>
      <c r="AD72" s="52"/>
      <c r="AE72" s="52"/>
      <c r="AF72" s="52"/>
    </row>
    <row r="73" spans="1:32">
      <c r="A73" s="63" t="s">
        <v>2340</v>
      </c>
      <c r="B73" s="63"/>
      <c r="C73" s="63"/>
      <c r="D73" s="63"/>
      <c r="E73" s="63"/>
      <c r="F73" s="63"/>
      <c r="G73" s="63"/>
      <c r="H73" s="63"/>
      <c r="I73" s="201"/>
      <c r="J73" s="201"/>
      <c r="K73" s="201"/>
      <c r="L73" s="201"/>
      <c r="M73" s="201"/>
      <c r="N73" s="201"/>
      <c r="O73" s="201"/>
      <c r="P73" s="201"/>
      <c r="Q73" s="201"/>
      <c r="R73" s="201"/>
      <c r="S73" s="201"/>
      <c r="T73" s="201"/>
      <c r="U73" s="201"/>
      <c r="V73" s="201"/>
      <c r="W73" s="201"/>
      <c r="X73" s="201"/>
      <c r="Y73" s="201"/>
      <c r="Z73" s="201"/>
      <c r="AA73" s="201"/>
      <c r="AB73" s="201"/>
      <c r="AC73" s="52"/>
      <c r="AD73" s="52"/>
      <c r="AE73" s="52"/>
      <c r="AF73" s="52"/>
    </row>
    <row r="74" spans="1:32">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52"/>
      <c r="AD74" s="52"/>
      <c r="AE74" s="52"/>
      <c r="AF74" s="52"/>
    </row>
    <row r="75" spans="1:32">
      <c r="A75" s="390" t="s">
        <v>2341</v>
      </c>
      <c r="B75" s="390"/>
      <c r="C75" s="390"/>
      <c r="D75" s="390"/>
      <c r="E75" s="390"/>
      <c r="F75" s="390"/>
      <c r="G75" s="390"/>
      <c r="H75" s="390"/>
      <c r="I75" s="390"/>
      <c r="J75" s="390"/>
      <c r="K75" s="390"/>
      <c r="L75" s="390"/>
      <c r="M75" s="390"/>
      <c r="N75" s="390"/>
      <c r="O75" s="390"/>
      <c r="P75" s="201"/>
      <c r="Q75" s="201"/>
      <c r="R75" s="201"/>
      <c r="S75" s="201"/>
      <c r="T75" s="201"/>
      <c r="U75" s="201"/>
      <c r="V75" s="201"/>
      <c r="W75" s="201"/>
      <c r="X75" s="201"/>
      <c r="Y75" s="201"/>
      <c r="Z75" s="201"/>
      <c r="AA75" s="201"/>
      <c r="AB75" s="201"/>
      <c r="AC75" s="52"/>
      <c r="AD75" s="52"/>
      <c r="AE75" s="52"/>
      <c r="AF75" s="52"/>
    </row>
    <row r="76" spans="1:32">
      <c r="A76" s="390" t="s">
        <v>2342</v>
      </c>
      <c r="B76" s="390"/>
      <c r="C76" s="390"/>
      <c r="D76" s="390"/>
      <c r="E76" s="390"/>
      <c r="F76" s="390"/>
      <c r="G76" s="390"/>
      <c r="H76" s="390"/>
      <c r="I76" s="390"/>
      <c r="J76" s="390"/>
      <c r="K76" s="390"/>
      <c r="L76" s="390"/>
      <c r="M76" s="390"/>
      <c r="N76" s="390"/>
      <c r="O76" s="390"/>
      <c r="P76" s="201"/>
      <c r="Q76" s="201"/>
      <c r="R76" s="201"/>
      <c r="S76" s="201"/>
      <c r="T76" s="201"/>
      <c r="U76" s="201"/>
      <c r="V76" s="201"/>
      <c r="W76" s="201"/>
      <c r="X76" s="201"/>
      <c r="Y76" s="201"/>
      <c r="Z76" s="201"/>
      <c r="AA76" s="201"/>
      <c r="AB76" s="201"/>
      <c r="AC76" s="52"/>
      <c r="AD76" s="52"/>
      <c r="AE76" s="52"/>
      <c r="AF76" s="52"/>
    </row>
    <row r="77" spans="1:32">
      <c r="A77" s="390" t="s">
        <v>2343</v>
      </c>
      <c r="B77" s="390"/>
      <c r="C77" s="390"/>
      <c r="D77" s="390"/>
      <c r="E77" s="390"/>
      <c r="F77" s="390"/>
      <c r="G77" s="390"/>
      <c r="H77" s="390"/>
      <c r="I77" s="390"/>
      <c r="J77" s="390"/>
      <c r="K77" s="390"/>
      <c r="L77" s="390"/>
      <c r="M77" s="390"/>
      <c r="N77" s="390"/>
      <c r="O77" s="390"/>
      <c r="P77" s="201"/>
      <c r="Q77" s="201"/>
      <c r="R77" s="201"/>
      <c r="S77" s="201"/>
      <c r="T77" s="201"/>
      <c r="U77" s="201"/>
      <c r="V77" s="201"/>
      <c r="W77" s="201"/>
      <c r="X77" s="201"/>
      <c r="Y77" s="201"/>
      <c r="Z77" s="201"/>
      <c r="AA77" s="201"/>
      <c r="AB77" s="201"/>
      <c r="AC77" s="52"/>
      <c r="AD77" s="52"/>
      <c r="AE77" s="52"/>
      <c r="AF77" s="52"/>
    </row>
    <row r="78" spans="1:32">
      <c r="A78" s="390" t="s">
        <v>2344</v>
      </c>
      <c r="B78" s="390"/>
      <c r="C78" s="390"/>
      <c r="D78" s="390"/>
      <c r="E78" s="390"/>
      <c r="F78" s="390"/>
      <c r="G78" s="390"/>
      <c r="H78" s="390"/>
      <c r="I78" s="390"/>
      <c r="J78" s="390"/>
      <c r="K78" s="390"/>
      <c r="L78" s="390"/>
      <c r="M78" s="390"/>
      <c r="N78" s="390"/>
      <c r="O78" s="390"/>
      <c r="P78" s="201"/>
      <c r="Q78" s="201"/>
      <c r="R78" s="201"/>
      <c r="S78" s="201"/>
      <c r="T78" s="201"/>
      <c r="U78" s="201"/>
      <c r="V78" s="201"/>
      <c r="W78" s="201"/>
      <c r="X78" s="201"/>
      <c r="Y78" s="201"/>
      <c r="Z78" s="201"/>
      <c r="AA78" s="201"/>
      <c r="AB78" s="201"/>
      <c r="AC78" s="52"/>
      <c r="AD78" s="52"/>
      <c r="AE78" s="52"/>
      <c r="AF78" s="52"/>
    </row>
    <row r="79" spans="1:32">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52"/>
      <c r="AD79" s="52"/>
      <c r="AE79" s="52"/>
      <c r="AF79" s="52"/>
    </row>
    <row r="80" spans="1:32">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B80" s="201"/>
      <c r="AC80" s="52"/>
      <c r="AD80" s="52"/>
      <c r="AE80" s="52"/>
      <c r="AF80" s="52"/>
    </row>
    <row r="81" spans="1:32">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B81" s="201"/>
      <c r="AC81" s="52"/>
      <c r="AD81" s="52"/>
      <c r="AE81" s="52"/>
      <c r="AF81" s="52"/>
    </row>
    <row r="82" spans="1:32">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52"/>
      <c r="AD82" s="52"/>
      <c r="AE82" s="52"/>
      <c r="AF82" s="52"/>
    </row>
    <row r="83" spans="1:32">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B83" s="201"/>
      <c r="AC83" s="52"/>
      <c r="AD83" s="52"/>
      <c r="AE83" s="52"/>
      <c r="AF83" s="52"/>
    </row>
    <row r="84" spans="1:32">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52"/>
      <c r="AD84" s="52"/>
      <c r="AE84" s="52"/>
      <c r="AF84" s="52"/>
    </row>
    <row r="85" spans="1:32">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B85" s="201"/>
      <c r="AC85" s="52"/>
      <c r="AD85" s="52"/>
      <c r="AE85" s="52"/>
      <c r="AF85" s="52"/>
    </row>
    <row r="86" spans="1:32">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52"/>
      <c r="AD86" s="52"/>
      <c r="AE86" s="52"/>
      <c r="AF86" s="52"/>
    </row>
    <row r="87" spans="1:32">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B87" s="201"/>
      <c r="AC87" s="52"/>
      <c r="AD87" s="52"/>
      <c r="AE87" s="52"/>
      <c r="AF87" s="52"/>
    </row>
    <row r="88" spans="1:32">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B88" s="201"/>
      <c r="AC88" s="52"/>
      <c r="AD88" s="52"/>
      <c r="AE88" s="52"/>
      <c r="AF88" s="52"/>
    </row>
    <row r="89" spans="1:32">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B89" s="201"/>
      <c r="AC89" s="52"/>
      <c r="AD89" s="52"/>
      <c r="AE89" s="52"/>
      <c r="AF89" s="52"/>
    </row>
    <row r="90" spans="1:32">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52"/>
      <c r="AD90" s="52"/>
      <c r="AE90" s="52"/>
      <c r="AF90" s="52"/>
    </row>
    <row r="91" spans="1:32">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52"/>
      <c r="AD91" s="52"/>
      <c r="AE91" s="52"/>
      <c r="AF91" s="52"/>
    </row>
    <row r="92" spans="1:32">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B92" s="201"/>
      <c r="AC92" s="52"/>
      <c r="AD92" s="52"/>
      <c r="AE92" s="52"/>
      <c r="AF92" s="52"/>
    </row>
    <row r="93" spans="1:32">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52"/>
      <c r="AD93" s="52"/>
      <c r="AE93" s="52"/>
      <c r="AF93" s="52"/>
    </row>
    <row r="94" spans="1:32">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52"/>
      <c r="AD94" s="52"/>
      <c r="AE94" s="52"/>
      <c r="AF94" s="52"/>
    </row>
    <row r="95" spans="1:32">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c r="AA95" s="201"/>
      <c r="AB95" s="201"/>
      <c r="AC95" s="52"/>
      <c r="AD95" s="52"/>
      <c r="AE95" s="52"/>
      <c r="AF95" s="52"/>
    </row>
    <row r="96" spans="1:32">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c r="AA96" s="201"/>
      <c r="AB96" s="201"/>
      <c r="AC96" s="52"/>
      <c r="AD96" s="52"/>
      <c r="AE96" s="52"/>
      <c r="AF96" s="52"/>
    </row>
    <row r="97" spans="1:32">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c r="AA97" s="201"/>
      <c r="AB97" s="201"/>
      <c r="AC97" s="52"/>
      <c r="AD97" s="52"/>
      <c r="AE97" s="52"/>
      <c r="AF97" s="52"/>
    </row>
    <row r="98" spans="1:32">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52"/>
      <c r="AD98" s="52"/>
      <c r="AE98" s="52"/>
      <c r="AF98" s="52"/>
    </row>
    <row r="99" spans="1:32">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c r="AA99" s="201"/>
      <c r="AB99" s="201"/>
      <c r="AC99" s="52"/>
      <c r="AD99" s="52"/>
      <c r="AE99" s="52"/>
      <c r="AF99" s="52"/>
    </row>
    <row r="100" spans="1:32">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c r="AA100" s="201"/>
      <c r="AB100" s="201"/>
      <c r="AC100" s="52"/>
      <c r="AD100" s="52"/>
      <c r="AE100" s="52"/>
      <c r="AF100" s="52"/>
    </row>
    <row r="101" spans="1:32">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row>
    <row r="102" spans="1:3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row>
    <row r="103" spans="1:32">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row>
    <row r="104" spans="1:32">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row>
    <row r="105" spans="1:32">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row>
    <row r="106" spans="1:32">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row>
    <row r="107" spans="1:32">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row>
    <row r="108" spans="1:32">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row>
    <row r="109" spans="1:32">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row>
    <row r="110" spans="1:32">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row>
    <row r="111" spans="1:32">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row>
    <row r="112" spans="1:3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row>
    <row r="113" spans="1:32">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row>
    <row r="114" spans="1:32">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row>
    <row r="115" spans="1:32">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row>
    <row r="116" spans="1:32">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row>
    <row r="117" spans="1:32">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row>
    <row r="118" spans="1:32">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row>
    <row r="119" spans="1:32">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row>
    <row r="120" spans="1:32">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row>
    <row r="121" spans="1:32">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row>
    <row r="122" spans="1:3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row>
    <row r="123" spans="1:32">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row>
    <row r="124" spans="1:32">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row>
    <row r="125" spans="1:32">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row>
    <row r="126" spans="1:32">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row>
    <row r="127" spans="1:32">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row>
    <row r="128" spans="1:32">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row>
    <row r="129" spans="1:32">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row>
    <row r="130" spans="1:32">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row>
    <row r="131" spans="1:32">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row>
    <row r="132" spans="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row>
    <row r="133" spans="1:32">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row>
    <row r="134" spans="1:32">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row>
    <row r="135" spans="1:32">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row>
    <row r="136" spans="1:32">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row>
    <row r="137" spans="1:32">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row>
    <row r="138" spans="1:32">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row>
    <row r="139" spans="1:32">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row>
    <row r="140" spans="1:32">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row>
    <row r="141" spans="1:32">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row>
    <row r="142" spans="1:3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row>
    <row r="143" spans="1:32">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row>
    <row r="144" spans="1:32">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row>
    <row r="145" spans="1:32">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row>
    <row r="146" spans="1:32">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row>
    <row r="147" spans="1:32">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row>
    <row r="148" spans="1:32">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row>
    <row r="149" spans="1:32">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row>
    <row r="150" spans="1:32">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row>
    <row r="151" spans="1:32">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row>
    <row r="152" spans="1:3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row>
    <row r="153" spans="1:32">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row>
    <row r="154" spans="1:32">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row>
    <row r="155" spans="1:32">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row>
    <row r="156" spans="1:32">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row>
    <row r="157" spans="1:32">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row>
    <row r="158" spans="1:32">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row>
    <row r="159" spans="1:32">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row>
    <row r="160" spans="1:32">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row>
    <row r="161" spans="1:32">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row>
    <row r="162" spans="1:3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row>
    <row r="163" spans="1:32">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row>
    <row r="164" spans="1:32">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row>
    <row r="165" spans="1:32">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row>
    <row r="166" spans="1:32">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row>
    <row r="167" spans="1:32">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row>
    <row r="168" spans="1:32">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row>
    <row r="169" spans="1:32">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row>
    <row r="170" spans="1:32">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row>
    <row r="171" spans="1:32">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row>
    <row r="172" spans="1:3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row>
    <row r="173" spans="1:32">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row>
    <row r="174" spans="1:32">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row>
    <row r="175" spans="1:32">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row>
    <row r="176" spans="1:32">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row>
    <row r="177" spans="1:32">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1F52-F875-43EF-AC77-9E40E8BC4689}">
  <dimension ref="A1:Z250"/>
  <sheetViews>
    <sheetView zoomScale="80" zoomScaleNormal="80" workbookViewId="0"/>
  </sheetViews>
  <sheetFormatPr defaultRowHeight="14"/>
  <cols>
    <col min="1" max="1" width="82.25" customWidth="1"/>
    <col min="2" max="2" width="31.25" customWidth="1"/>
    <col min="3" max="3" width="27.83203125" customWidth="1"/>
    <col min="4" max="4" width="31.25" customWidth="1"/>
    <col min="5" max="5" width="21" customWidth="1"/>
    <col min="6" max="6" width="24.25" customWidth="1"/>
    <col min="7" max="7" width="27.58203125" customWidth="1"/>
    <col min="8" max="8" width="31.4140625" customWidth="1"/>
    <col min="9" max="9" width="32.75" customWidth="1"/>
    <col min="10" max="10" width="13.4140625" customWidth="1"/>
    <col min="11" max="11" width="27.58203125" customWidth="1"/>
    <col min="12" max="12" width="29.25" customWidth="1"/>
    <col min="13" max="13" width="14.83203125" customWidth="1"/>
    <col min="14" max="14" width="44.4140625" customWidth="1"/>
    <col min="15" max="15" width="20.4140625" customWidth="1"/>
    <col min="16" max="16" width="16.25" customWidth="1"/>
    <col min="17" max="17" width="25.83203125" customWidth="1"/>
    <col min="18" max="18" width="11.83203125" customWidth="1"/>
  </cols>
  <sheetData>
    <row r="1" spans="1:26">
      <c r="A1" s="169" t="s">
        <v>1159</v>
      </c>
      <c r="B1" s="169" t="s">
        <v>1324</v>
      </c>
      <c r="C1" s="30" t="s">
        <v>862</v>
      </c>
      <c r="D1" s="30"/>
      <c r="E1" s="30"/>
      <c r="F1" s="12"/>
      <c r="G1" s="12"/>
      <c r="H1" s="12"/>
      <c r="I1" s="12"/>
      <c r="J1" s="12"/>
      <c r="K1" s="12"/>
      <c r="L1" s="12"/>
      <c r="M1" s="12"/>
      <c r="N1" s="12"/>
      <c r="O1" s="12"/>
      <c r="P1" s="3"/>
      <c r="Q1" s="261"/>
      <c r="R1" s="51"/>
      <c r="S1" s="51"/>
      <c r="T1" s="51"/>
      <c r="U1" s="51"/>
      <c r="V1" s="51"/>
      <c r="W1" s="51"/>
      <c r="X1" s="51"/>
      <c r="Y1" s="51"/>
      <c r="Z1" s="51"/>
    </row>
    <row r="2" spans="1:26">
      <c r="A2" s="12" t="s">
        <v>819</v>
      </c>
      <c r="B2" s="12" t="s">
        <v>274</v>
      </c>
      <c r="C2" s="12" t="s">
        <v>119</v>
      </c>
      <c r="D2" s="12" t="s">
        <v>120</v>
      </c>
      <c r="E2" s="12" t="s">
        <v>121</v>
      </c>
      <c r="F2" s="12" t="s">
        <v>122</v>
      </c>
      <c r="G2" s="12" t="s">
        <v>123</v>
      </c>
      <c r="H2" s="12" t="s">
        <v>145</v>
      </c>
      <c r="I2" s="12" t="s">
        <v>146</v>
      </c>
      <c r="J2" s="12" t="s">
        <v>147</v>
      </c>
      <c r="K2" s="12" t="s">
        <v>148</v>
      </c>
      <c r="L2" s="12" t="s">
        <v>149</v>
      </c>
      <c r="M2" s="12"/>
      <c r="N2" s="12"/>
      <c r="O2" s="12"/>
      <c r="P2" s="3"/>
      <c r="Q2" s="261"/>
      <c r="R2" s="51"/>
      <c r="S2" s="51"/>
      <c r="T2" s="51"/>
      <c r="U2" s="51"/>
      <c r="V2" s="51"/>
      <c r="W2" s="51"/>
      <c r="X2" s="51"/>
      <c r="Y2" s="51"/>
      <c r="Z2" s="51"/>
    </row>
    <row r="3" spans="1:26">
      <c r="A3" s="30" t="s">
        <v>418</v>
      </c>
      <c r="B3" s="231"/>
      <c r="C3" s="106">
        <f>K33/O22</f>
        <v>1.9175627240143369</v>
      </c>
      <c r="D3" s="106">
        <f>K34/O22</f>
        <v>2.0800477897252092</v>
      </c>
      <c r="E3" s="106">
        <f>K35/O22</f>
        <v>2.2735961768219832</v>
      </c>
      <c r="F3" s="106">
        <f>K36/O22</f>
        <v>2.5782556750298684</v>
      </c>
      <c r="G3" s="106">
        <f>K37/O22</f>
        <v>2.924731182795699</v>
      </c>
      <c r="H3" s="106">
        <f>K38/O22</f>
        <v>3.1003584229390682</v>
      </c>
      <c r="I3" s="106">
        <f>K39/O22</f>
        <v>3.2867383512544803</v>
      </c>
      <c r="J3" s="106">
        <f>K40/O22</f>
        <v>3.4838709677419355</v>
      </c>
      <c r="K3" s="106">
        <f>K41/O22</f>
        <v>3.6929510155316607</v>
      </c>
      <c r="L3" s="106">
        <f>K42/O22</f>
        <v>3.913978494623656</v>
      </c>
      <c r="M3" s="12"/>
      <c r="N3" s="12"/>
      <c r="O3" s="12"/>
      <c r="P3" s="3"/>
      <c r="Q3" s="261"/>
      <c r="R3" s="51"/>
      <c r="S3" s="51"/>
      <c r="T3" s="51"/>
      <c r="U3" s="51"/>
      <c r="V3" s="51"/>
      <c r="W3" s="51"/>
      <c r="X3" s="51"/>
      <c r="Y3" s="51"/>
      <c r="Z3" s="51"/>
    </row>
    <row r="4" spans="1:26">
      <c r="A4" s="30" t="s">
        <v>249</v>
      </c>
      <c r="B4" s="97">
        <f>(D3/C3)-1</f>
        <v>8.4735202492211892E-2</v>
      </c>
      <c r="C4" s="134"/>
      <c r="D4" s="134"/>
      <c r="E4" s="134"/>
      <c r="F4" s="134"/>
      <c r="G4" s="22">
        <f>(G3/C3)^0.25-1</f>
        <v>0.11130711324020814</v>
      </c>
      <c r="H4" s="22">
        <f>(G4-($G$4-$L$4)/5)</f>
        <v>9.9045690592166516E-2</v>
      </c>
      <c r="I4" s="22">
        <f>(H4-($G$4-$L$4)/5)</f>
        <v>8.6784267944124888E-2</v>
      </c>
      <c r="J4" s="22">
        <f>(I4-($G$4-$L$4)/5)</f>
        <v>7.4522845296083259E-2</v>
      </c>
      <c r="K4" s="22">
        <f>(J4-($G$4-$L$4)/5)</f>
        <v>6.2261422648041631E-2</v>
      </c>
      <c r="L4" s="26">
        <v>0.05</v>
      </c>
      <c r="M4" s="12"/>
      <c r="N4" s="12"/>
      <c r="O4" s="12"/>
      <c r="P4" s="3"/>
      <c r="Q4" s="261"/>
      <c r="R4" s="51"/>
      <c r="S4" s="51"/>
      <c r="T4" s="51"/>
      <c r="U4" s="51"/>
      <c r="V4" s="51"/>
      <c r="W4" s="51"/>
      <c r="X4" s="51"/>
      <c r="Y4" s="51"/>
      <c r="Z4" s="51"/>
    </row>
    <row r="5" spans="1:26">
      <c r="A5" s="30" t="s">
        <v>250</v>
      </c>
      <c r="B5" s="232">
        <v>3.5000000000000003E-2</v>
      </c>
      <c r="C5" s="109"/>
      <c r="D5" s="99"/>
      <c r="E5" s="99"/>
      <c r="F5" s="99"/>
      <c r="G5" s="99"/>
      <c r="H5" s="82"/>
      <c r="I5" s="82"/>
      <c r="J5" s="82"/>
      <c r="K5" s="82"/>
      <c r="L5" s="82"/>
      <c r="M5" s="12"/>
      <c r="N5" s="12"/>
      <c r="O5" s="12"/>
      <c r="P5" s="3"/>
      <c r="Q5" s="261"/>
      <c r="R5" s="51"/>
      <c r="S5" s="51"/>
      <c r="T5" s="51"/>
      <c r="U5" s="51"/>
      <c r="V5" s="51"/>
      <c r="W5" s="51"/>
      <c r="X5" s="51"/>
      <c r="Y5" s="51"/>
      <c r="Z5" s="51"/>
    </row>
    <row r="6" spans="1:26">
      <c r="A6" s="30" t="s">
        <v>251</v>
      </c>
      <c r="B6" s="97">
        <f>H47</f>
        <v>0.10212792385984631</v>
      </c>
      <c r="C6" s="99"/>
      <c r="D6" s="162" t="s">
        <v>1193</v>
      </c>
      <c r="E6" s="137"/>
      <c r="F6" s="137"/>
      <c r="G6" s="137"/>
      <c r="H6" s="137"/>
      <c r="I6" s="137"/>
      <c r="J6" s="137"/>
      <c r="K6" s="137"/>
      <c r="L6" s="82"/>
      <c r="M6" s="12"/>
      <c r="N6" s="12"/>
      <c r="O6" s="12"/>
      <c r="P6" s="3"/>
      <c r="Q6" s="261"/>
      <c r="R6" s="51"/>
      <c r="S6" s="51"/>
      <c r="T6" s="51"/>
      <c r="U6" s="51"/>
      <c r="V6" s="51"/>
      <c r="W6" s="51"/>
      <c r="X6" s="51"/>
      <c r="Y6" s="51"/>
      <c r="Z6" s="51"/>
    </row>
    <row r="7" spans="1:26">
      <c r="A7" s="30" t="s">
        <v>252</v>
      </c>
      <c r="B7" s="106">
        <f xml:space="preserve"> L3*(1+B5)/(B6-B5)</f>
        <v>60.346983922716518</v>
      </c>
      <c r="C7" s="109"/>
      <c r="D7" s="109"/>
      <c r="E7" s="99"/>
      <c r="F7" s="99"/>
      <c r="G7" s="99"/>
      <c r="H7" s="82"/>
      <c r="I7" s="82"/>
      <c r="J7" s="82"/>
      <c r="K7" s="82"/>
      <c r="L7" s="82"/>
      <c r="M7" s="12"/>
      <c r="N7" s="12"/>
      <c r="O7" s="12"/>
      <c r="P7" s="3"/>
      <c r="Q7" s="261"/>
      <c r="R7" s="51"/>
      <c r="S7" s="51"/>
      <c r="T7" s="51"/>
      <c r="U7" s="51"/>
      <c r="V7" s="51"/>
      <c r="W7" s="51"/>
      <c r="X7" s="51"/>
      <c r="Y7" s="51"/>
      <c r="Z7" s="51"/>
    </row>
    <row r="8" spans="1:26">
      <c r="A8" s="30" t="s">
        <v>253</v>
      </c>
      <c r="B8" s="231">
        <f>B7/(1+$B$6)^5</f>
        <v>37.11039181099877</v>
      </c>
      <c r="C8" s="99"/>
      <c r="D8" s="137" t="s">
        <v>2190</v>
      </c>
      <c r="E8" s="137"/>
      <c r="F8" s="137"/>
      <c r="G8" s="137"/>
      <c r="H8" s="137"/>
      <c r="I8" s="82"/>
      <c r="J8" s="82"/>
      <c r="K8" s="82"/>
      <c r="L8" s="82"/>
      <c r="M8" s="12"/>
      <c r="N8" s="12"/>
      <c r="O8" s="12"/>
      <c r="P8" s="3"/>
      <c r="Q8" s="261"/>
      <c r="R8" s="51"/>
      <c r="S8" s="51"/>
      <c r="T8" s="51"/>
      <c r="U8" s="51"/>
      <c r="V8" s="51"/>
      <c r="W8" s="51"/>
      <c r="X8" s="51"/>
      <c r="Y8" s="51"/>
      <c r="Z8" s="51"/>
    </row>
    <row r="9" spans="1:26">
      <c r="A9" s="30" t="s">
        <v>254</v>
      </c>
      <c r="B9" s="231">
        <f>SUM(C3:L3)</f>
        <v>29.252090800477898</v>
      </c>
      <c r="C9" s="99"/>
      <c r="D9" s="99"/>
      <c r="E9" s="99"/>
      <c r="F9" s="99"/>
      <c r="G9" s="99"/>
      <c r="H9" s="82"/>
      <c r="I9" s="82"/>
      <c r="J9" s="82"/>
      <c r="K9" s="82"/>
      <c r="L9" s="82"/>
      <c r="M9" s="12"/>
      <c r="N9" s="12"/>
      <c r="O9" s="12"/>
      <c r="P9" s="3"/>
      <c r="Q9" s="261"/>
      <c r="R9" s="51"/>
      <c r="S9" s="51"/>
      <c r="T9" s="51"/>
      <c r="U9" s="51"/>
      <c r="V9" s="51"/>
      <c r="W9" s="51"/>
      <c r="X9" s="51"/>
      <c r="Y9" s="51"/>
      <c r="Z9" s="51"/>
    </row>
    <row r="10" spans="1:26">
      <c r="A10" s="30" t="s">
        <v>276</v>
      </c>
      <c r="B10" s="231">
        <f>B9+B8</f>
        <v>66.362482611476665</v>
      </c>
      <c r="C10" s="99"/>
      <c r="D10" s="99"/>
      <c r="E10" s="99"/>
      <c r="F10" s="99"/>
      <c r="G10" s="99"/>
      <c r="H10" s="82"/>
      <c r="I10" s="82"/>
      <c r="J10" s="82"/>
      <c r="K10" s="82"/>
      <c r="L10" s="82"/>
      <c r="M10" s="12"/>
      <c r="N10" s="12"/>
      <c r="O10" s="12"/>
      <c r="P10" s="3"/>
      <c r="Q10" s="261"/>
      <c r="R10" s="51"/>
      <c r="S10" s="51"/>
      <c r="T10" s="51"/>
      <c r="U10" s="51"/>
      <c r="V10" s="51"/>
      <c r="W10" s="51"/>
      <c r="X10" s="51"/>
      <c r="Y10" s="51"/>
      <c r="Z10" s="51"/>
    </row>
    <row r="11" spans="1:26">
      <c r="A11" s="30" t="s">
        <v>423</v>
      </c>
      <c r="B11" s="231">
        <f>B10</f>
        <v>66.362482611476665</v>
      </c>
      <c r="C11" s="99"/>
      <c r="D11" s="99"/>
      <c r="E11" s="99"/>
      <c r="F11" s="99"/>
      <c r="G11" s="99"/>
      <c r="H11" s="82"/>
      <c r="I11" s="82"/>
      <c r="J11" s="82"/>
      <c r="K11" s="82"/>
      <c r="L11" s="82"/>
      <c r="M11" s="12"/>
      <c r="N11" s="12"/>
      <c r="O11" s="12"/>
      <c r="P11" s="3"/>
      <c r="Q11" s="261"/>
      <c r="R11" s="51"/>
      <c r="S11" s="51"/>
      <c r="T11" s="51"/>
      <c r="U11" s="51"/>
      <c r="V11" s="51"/>
      <c r="W11" s="51"/>
      <c r="X11" s="51"/>
      <c r="Y11" s="51"/>
      <c r="Z11" s="51"/>
    </row>
    <row r="12" spans="1:26">
      <c r="A12" s="30" t="s">
        <v>256</v>
      </c>
      <c r="B12" s="231">
        <f>B27</f>
        <v>450</v>
      </c>
      <c r="C12" s="99"/>
      <c r="D12" s="99"/>
      <c r="E12" s="99"/>
      <c r="F12" s="99"/>
      <c r="G12" s="99"/>
      <c r="H12" s="82"/>
      <c r="I12" s="82"/>
      <c r="J12" s="82"/>
      <c r="K12" s="82"/>
      <c r="L12" s="82"/>
      <c r="M12" s="12"/>
      <c r="N12" s="12"/>
      <c r="O12" s="12"/>
      <c r="P12" s="3"/>
      <c r="Q12" s="261"/>
      <c r="R12" s="51"/>
      <c r="S12" s="51"/>
      <c r="T12" s="51"/>
      <c r="U12" s="51"/>
      <c r="V12" s="51"/>
      <c r="W12" s="51"/>
      <c r="X12" s="51"/>
      <c r="Y12" s="51"/>
      <c r="Z12" s="51"/>
    </row>
    <row r="13" spans="1:26">
      <c r="A13" s="30" t="s">
        <v>257</v>
      </c>
      <c r="B13" s="359">
        <f>B11-B12</f>
        <v>-383.63751738852335</v>
      </c>
      <c r="C13" s="99"/>
      <c r="D13" s="99"/>
      <c r="E13" s="99"/>
      <c r="F13" s="99"/>
      <c r="G13" s="99"/>
      <c r="H13" s="82"/>
      <c r="I13" s="82"/>
      <c r="J13" s="82"/>
      <c r="K13" s="82"/>
      <c r="L13" s="82"/>
      <c r="M13" s="12"/>
      <c r="N13" s="12"/>
      <c r="O13" s="12"/>
      <c r="P13" s="3"/>
      <c r="Q13" s="261"/>
      <c r="R13" s="51"/>
      <c r="S13" s="51"/>
      <c r="T13" s="51"/>
      <c r="U13" s="51"/>
      <c r="V13" s="51"/>
      <c r="W13" s="51"/>
      <c r="X13" s="51"/>
      <c r="Y13" s="51"/>
      <c r="Z13" s="51"/>
    </row>
    <row r="14" spans="1:26">
      <c r="A14" s="30" t="s">
        <v>258</v>
      </c>
      <c r="B14" s="231">
        <f>B11</f>
        <v>66.362482611476665</v>
      </c>
      <c r="C14" s="99"/>
      <c r="D14" s="99"/>
      <c r="E14" s="99"/>
      <c r="F14" s="99"/>
      <c r="G14" s="99"/>
      <c r="H14" s="82"/>
      <c r="I14" s="82"/>
      <c r="J14" s="82"/>
      <c r="K14" s="82"/>
      <c r="L14" s="82"/>
      <c r="M14" s="12"/>
      <c r="N14" s="12"/>
      <c r="O14" s="12"/>
      <c r="P14" s="3"/>
      <c r="Q14" s="261"/>
      <c r="R14" s="51"/>
      <c r="S14" s="51"/>
      <c r="T14" s="51"/>
      <c r="U14" s="51"/>
      <c r="V14" s="51"/>
      <c r="W14" s="51"/>
      <c r="X14" s="51"/>
      <c r="Y14" s="51"/>
      <c r="Z14" s="51"/>
    </row>
    <row r="15" spans="1:26">
      <c r="A15" s="12"/>
      <c r="B15" s="12"/>
      <c r="C15" s="12"/>
      <c r="D15" s="12"/>
      <c r="E15" s="12"/>
      <c r="F15" s="12"/>
      <c r="G15" s="12"/>
      <c r="H15" s="12"/>
      <c r="I15" s="12"/>
      <c r="J15" s="12"/>
      <c r="K15" s="12"/>
      <c r="L15" s="12"/>
      <c r="M15" s="12"/>
      <c r="N15" s="12"/>
      <c r="O15" s="12"/>
      <c r="P15" s="3"/>
      <c r="Q15" s="261"/>
      <c r="R15" s="51"/>
      <c r="S15" s="51"/>
      <c r="T15" s="51"/>
      <c r="U15" s="51"/>
      <c r="V15" s="51"/>
      <c r="W15" s="51"/>
      <c r="X15" s="51"/>
      <c r="Y15" s="51"/>
      <c r="Z15" s="51"/>
    </row>
    <row r="16" spans="1:26">
      <c r="A16" s="12" t="s">
        <v>1520</v>
      </c>
      <c r="B16" s="12" t="s">
        <v>274</v>
      </c>
      <c r="C16" s="12" t="s">
        <v>119</v>
      </c>
      <c r="D16" s="12" t="s">
        <v>120</v>
      </c>
      <c r="E16" s="12" t="s">
        <v>121</v>
      </c>
      <c r="F16" s="12" t="s">
        <v>122</v>
      </c>
      <c r="G16" s="12" t="s">
        <v>123</v>
      </c>
      <c r="H16" s="12" t="s">
        <v>145</v>
      </c>
      <c r="I16" s="12" t="s">
        <v>146</v>
      </c>
      <c r="J16" s="12" t="s">
        <v>147</v>
      </c>
      <c r="K16" s="12" t="s">
        <v>148</v>
      </c>
      <c r="L16" s="12" t="s">
        <v>149</v>
      </c>
      <c r="M16" s="12"/>
      <c r="N16" s="12" t="s">
        <v>420</v>
      </c>
      <c r="O16" s="12" t="s">
        <v>421</v>
      </c>
      <c r="P16" s="3"/>
      <c r="Q16" s="261"/>
      <c r="R16" s="51"/>
      <c r="S16" s="51"/>
      <c r="T16" s="51"/>
      <c r="U16" s="51"/>
      <c r="V16" s="51"/>
      <c r="W16" s="51"/>
      <c r="X16" s="51"/>
      <c r="Y16" s="51"/>
      <c r="Z16" s="51"/>
    </row>
    <row r="17" spans="1:26">
      <c r="A17" s="30" t="s">
        <v>443</v>
      </c>
      <c r="B17" s="22"/>
      <c r="C17" s="106">
        <f>'Cash Flow'!B25-('Cash Flow'!B32+'Cash Flow'!B33)+('Cash Flow'!B43-'Cash Flow'!B48)</f>
        <v>11891</v>
      </c>
      <c r="D17" s="106">
        <f>'Cash Flow'!C25-('Cash Flow'!C32+'Cash Flow'!C33)+('Cash Flow'!C43-'Cash Flow'!C48)</f>
        <v>12951</v>
      </c>
      <c r="E17" s="106">
        <f>'Cash Flow'!D25-('Cash Flow'!D32+'Cash Flow'!D33)+('Cash Flow'!D43-'Cash Flow'!D48)</f>
        <v>14139</v>
      </c>
      <c r="F17" s="106">
        <f>'Cash Flow'!E25-('Cash Flow'!E32+'Cash Flow'!E33)+('Cash Flow'!E43-'Cash Flow'!E48)</f>
        <v>14622</v>
      </c>
      <c r="G17" s="106">
        <f>'Cash Flow'!F25-('Cash Flow'!F32+'Cash Flow'!F33)+('Cash Flow'!F43-'Cash Flow'!F48)</f>
        <v>21270</v>
      </c>
      <c r="H17" s="106">
        <f>'Cash Flow'!G25-('Cash Flow'!G32+'Cash Flow'!G33)+('Cash Flow'!G43-'Cash Flow'!G48)</f>
        <v>20540.948275775998</v>
      </c>
      <c r="I17" s="106">
        <f>'Cash Flow'!H25-('Cash Flow'!H32+'Cash Flow'!H33)+('Cash Flow'!H43-'Cash Flow'!H48)</f>
        <v>21229.541645375997</v>
      </c>
      <c r="J17" s="106">
        <f>'Cash Flow'!I25-('Cash Flow'!I32+'Cash Flow'!I33)+('Cash Flow'!I43-'Cash Flow'!I48)</f>
        <v>23631.930108364799</v>
      </c>
      <c r="K17" s="106">
        <f>'Cash Flow'!J25-('Cash Flow'!J32+'Cash Flow'!J33)+('Cash Flow'!J43-'Cash Flow'!J48)</f>
        <v>26158.264938018816</v>
      </c>
      <c r="L17" s="106">
        <f>'Cash Flow'!K25-('Cash Flow'!K32+'Cash Flow'!K33)+('Cash Flow'!K43-'Cash Flow'!K48)</f>
        <v>28777.671282578922</v>
      </c>
      <c r="M17" s="12"/>
      <c r="N17" s="30" t="s">
        <v>415</v>
      </c>
      <c r="O17" s="241">
        <v>10.210000000000001</v>
      </c>
      <c r="P17" s="3"/>
      <c r="Q17" s="261"/>
      <c r="R17" s="51"/>
      <c r="S17" s="51"/>
      <c r="T17" s="51"/>
      <c r="U17" s="51"/>
      <c r="V17" s="51"/>
      <c r="W17" s="51"/>
      <c r="X17" s="51"/>
      <c r="Y17" s="51"/>
      <c r="Z17" s="51"/>
    </row>
    <row r="18" spans="1:26">
      <c r="A18" s="30" t="s">
        <v>1524</v>
      </c>
      <c r="B18" s="22"/>
      <c r="C18" s="97">
        <f>(D17/C17)-1</f>
        <v>8.9143049365066007E-2</v>
      </c>
      <c r="D18" s="99"/>
      <c r="E18" s="99"/>
      <c r="F18" s="99"/>
      <c r="G18" s="97">
        <f>C18</f>
        <v>8.9143049365066007E-2</v>
      </c>
      <c r="H18" s="97">
        <f>(G18-($G$18-$L$18)/5)</f>
        <v>8.1314439492052804E-2</v>
      </c>
      <c r="I18" s="97">
        <f>(H18-($G$18-$L$18)/5)</f>
        <v>7.34858296190396E-2</v>
      </c>
      <c r="J18" s="97">
        <f>(I18-($G$18-$L$18)/5)</f>
        <v>6.5657219746026396E-2</v>
      </c>
      <c r="K18" s="97">
        <f>(J18-($G$18-$L$18)/5)</f>
        <v>5.7828609873013193E-2</v>
      </c>
      <c r="L18" s="26">
        <v>0.05</v>
      </c>
      <c r="M18" s="12"/>
      <c r="N18" s="30" t="s">
        <v>416</v>
      </c>
      <c r="O18" s="22">
        <v>3.5</v>
      </c>
      <c r="P18" s="3"/>
      <c r="Q18" s="261"/>
      <c r="R18" s="51"/>
      <c r="S18" s="51"/>
      <c r="T18" s="51"/>
      <c r="U18" s="51"/>
      <c r="V18" s="51"/>
      <c r="W18" s="51"/>
      <c r="X18" s="51"/>
      <c r="Y18" s="51"/>
      <c r="Z18" s="51"/>
    </row>
    <row r="19" spans="1:26">
      <c r="A19" s="30" t="s">
        <v>259</v>
      </c>
      <c r="B19" s="97">
        <v>3.5000000000000003E-2</v>
      </c>
      <c r="C19" s="134"/>
      <c r="D19" s="99"/>
      <c r="E19" s="99"/>
      <c r="F19" s="99"/>
      <c r="G19" s="99"/>
      <c r="H19" s="82"/>
      <c r="I19" s="82"/>
      <c r="J19" s="82"/>
      <c r="K19" s="82"/>
      <c r="L19" s="82"/>
      <c r="M19" s="12"/>
      <c r="N19" s="30" t="s">
        <v>267</v>
      </c>
      <c r="O19" s="22">
        <v>102.6279</v>
      </c>
      <c r="P19" s="3"/>
      <c r="Q19" s="261"/>
      <c r="R19" s="51"/>
      <c r="S19" s="51"/>
      <c r="T19" s="51"/>
      <c r="U19" s="51"/>
      <c r="V19" s="51"/>
      <c r="W19" s="51"/>
      <c r="X19" s="51"/>
      <c r="Y19" s="51"/>
      <c r="Z19" s="51"/>
    </row>
    <row r="20" spans="1:26">
      <c r="A20" s="30" t="s">
        <v>1521</v>
      </c>
      <c r="B20" s="97">
        <f>H47</f>
        <v>0.10212792385984631</v>
      </c>
      <c r="C20" s="170"/>
      <c r="D20" s="99"/>
      <c r="E20" s="99"/>
      <c r="F20" s="99"/>
      <c r="G20" s="99"/>
      <c r="H20" s="82"/>
      <c r="I20" s="82"/>
      <c r="J20" s="82"/>
      <c r="K20" s="82"/>
      <c r="L20" s="82"/>
      <c r="M20" s="12"/>
      <c r="N20" s="30" t="s">
        <v>417</v>
      </c>
      <c r="O20" s="22">
        <v>43.351100000000002</v>
      </c>
      <c r="P20" s="3"/>
      <c r="Q20" s="261"/>
      <c r="R20" s="51"/>
      <c r="S20" s="51"/>
      <c r="T20" s="51"/>
      <c r="U20" s="51"/>
      <c r="V20" s="51"/>
      <c r="W20" s="51"/>
      <c r="X20" s="51"/>
      <c r="Y20" s="51"/>
      <c r="Z20" s="51"/>
    </row>
    <row r="21" spans="1:26">
      <c r="A21" s="30" t="s">
        <v>1522</v>
      </c>
      <c r="B21" s="22">
        <f>L17*(1+B19)/(B20-B19)</f>
        <v>443703.42571082426</v>
      </c>
      <c r="C21" s="99"/>
      <c r="D21" s="99"/>
      <c r="E21" s="99"/>
      <c r="F21" s="99"/>
      <c r="G21" s="99"/>
      <c r="H21" s="82"/>
      <c r="I21" s="82"/>
      <c r="J21" s="82"/>
      <c r="K21" s="82"/>
      <c r="L21" s="82"/>
      <c r="M21" s="12"/>
      <c r="N21" s="30" t="s">
        <v>839</v>
      </c>
      <c r="O21" s="22">
        <f>B26</f>
        <v>433.21272814888601</v>
      </c>
      <c r="P21" s="3"/>
      <c r="Q21" s="261"/>
      <c r="R21" s="51"/>
      <c r="S21" s="51"/>
      <c r="T21" s="51"/>
      <c r="U21" s="51"/>
      <c r="V21" s="51"/>
      <c r="W21" s="51"/>
      <c r="X21" s="51"/>
      <c r="Y21" s="51"/>
      <c r="Z21" s="51"/>
    </row>
    <row r="22" spans="1:26">
      <c r="A22" s="30" t="s">
        <v>253</v>
      </c>
      <c r="B22" s="22">
        <f>B21/(1+$B$20)^10</f>
        <v>167792.56857003452</v>
      </c>
      <c r="C22" s="99"/>
      <c r="D22" s="99"/>
      <c r="E22" s="99"/>
      <c r="F22" s="99"/>
      <c r="G22" s="99"/>
      <c r="H22" s="82"/>
      <c r="I22" s="82"/>
      <c r="J22" s="82"/>
      <c r="K22" s="82"/>
      <c r="L22" s="82"/>
      <c r="M22" s="12"/>
      <c r="N22" s="30" t="s">
        <v>419</v>
      </c>
      <c r="O22" s="22">
        <v>837</v>
      </c>
      <c r="P22" s="3"/>
      <c r="Q22" s="261"/>
      <c r="R22" s="51"/>
      <c r="S22" s="51"/>
      <c r="T22" s="51"/>
      <c r="U22" s="51"/>
      <c r="V22" s="51"/>
      <c r="W22" s="51"/>
      <c r="X22" s="51"/>
      <c r="Y22" s="51"/>
      <c r="Z22" s="51"/>
    </row>
    <row r="23" spans="1:26">
      <c r="A23" s="30" t="s">
        <v>1523</v>
      </c>
      <c r="B23" s="106">
        <f>SUM(C17:L17)</f>
        <v>195211.35625011454</v>
      </c>
      <c r="C23" s="99"/>
      <c r="D23" s="99"/>
      <c r="E23" s="99"/>
      <c r="F23" s="99"/>
      <c r="G23" s="99"/>
      <c r="H23" s="82"/>
      <c r="I23" s="82"/>
      <c r="J23" s="82"/>
      <c r="K23" s="82"/>
      <c r="L23" s="82"/>
      <c r="M23" s="12"/>
      <c r="N23" s="12"/>
      <c r="O23" s="12"/>
      <c r="P23" s="3"/>
      <c r="Q23" s="261"/>
      <c r="R23" s="51"/>
      <c r="S23" s="51"/>
      <c r="T23" s="51"/>
      <c r="U23" s="51"/>
      <c r="V23" s="51"/>
      <c r="W23" s="51"/>
      <c r="X23" s="51"/>
      <c r="Y23" s="51"/>
      <c r="Z23" s="51"/>
    </row>
    <row r="24" spans="1:26">
      <c r="A24" s="30" t="s">
        <v>276</v>
      </c>
      <c r="B24" s="106">
        <f>B23+B22</f>
        <v>363003.92482014908</v>
      </c>
      <c r="C24" s="99"/>
      <c r="D24" s="99"/>
      <c r="E24" s="99"/>
      <c r="F24" s="99"/>
      <c r="G24" s="99"/>
      <c r="H24" s="82"/>
      <c r="I24" s="82"/>
      <c r="J24" s="82"/>
      <c r="K24" s="82"/>
      <c r="L24" s="82"/>
      <c r="M24" s="12"/>
      <c r="N24" s="12"/>
      <c r="O24" s="12"/>
      <c r="P24" s="3"/>
      <c r="Q24" s="261"/>
      <c r="R24" s="51"/>
      <c r="S24" s="51"/>
      <c r="T24" s="51"/>
      <c r="U24" s="51"/>
      <c r="V24" s="51"/>
      <c r="W24" s="51"/>
      <c r="X24" s="51"/>
      <c r="Y24" s="51"/>
      <c r="Z24" s="51"/>
    </row>
    <row r="25" spans="1:26">
      <c r="A25" s="30" t="s">
        <v>255</v>
      </c>
      <c r="B25" s="106">
        <f>'Profit Loss'!K24</f>
        <v>837.93457863359993</v>
      </c>
      <c r="C25" s="99"/>
      <c r="D25" s="99"/>
      <c r="E25" s="99"/>
      <c r="F25" s="99"/>
      <c r="G25" s="99"/>
      <c r="H25" s="82"/>
      <c r="I25" s="82"/>
      <c r="J25" s="82"/>
      <c r="K25" s="82"/>
      <c r="L25" s="82"/>
      <c r="M25" s="12"/>
      <c r="N25" s="12"/>
      <c r="O25" s="12"/>
      <c r="P25" s="3"/>
      <c r="Q25" s="261"/>
      <c r="R25" s="51"/>
      <c r="S25" s="51"/>
      <c r="T25" s="51"/>
      <c r="U25" s="51"/>
      <c r="V25" s="51"/>
      <c r="W25" s="51"/>
      <c r="X25" s="51"/>
      <c r="Y25" s="51"/>
      <c r="Z25" s="51"/>
    </row>
    <row r="26" spans="1:26">
      <c r="A26" s="30" t="s">
        <v>1525</v>
      </c>
      <c r="B26" s="22">
        <f>B24/B25</f>
        <v>433.21272814888601</v>
      </c>
      <c r="C26" s="99"/>
      <c r="D26" s="99"/>
      <c r="E26" s="99"/>
      <c r="F26" s="99"/>
      <c r="G26" s="99"/>
      <c r="H26" s="82"/>
      <c r="I26" s="82"/>
      <c r="J26" s="82"/>
      <c r="K26" s="82"/>
      <c r="L26" s="82"/>
      <c r="M26" s="12"/>
      <c r="N26" s="12"/>
      <c r="O26" s="12"/>
      <c r="P26" s="3"/>
      <c r="Q26" s="261"/>
      <c r="R26" s="51"/>
      <c r="S26" s="51"/>
      <c r="T26" s="51"/>
      <c r="U26" s="51"/>
      <c r="V26" s="51"/>
      <c r="W26" s="51"/>
      <c r="X26" s="51"/>
      <c r="Y26" s="51"/>
      <c r="Z26" s="51"/>
    </row>
    <row r="27" spans="1:26">
      <c r="A27" s="30" t="s">
        <v>256</v>
      </c>
      <c r="B27" s="22">
        <v>450</v>
      </c>
      <c r="C27" s="99"/>
      <c r="D27" s="99"/>
      <c r="E27" s="99"/>
      <c r="F27" s="99"/>
      <c r="G27" s="99"/>
      <c r="H27" s="82"/>
      <c r="I27" s="82"/>
      <c r="J27" s="82"/>
      <c r="K27" s="82"/>
      <c r="L27" s="82"/>
      <c r="M27" s="12"/>
      <c r="N27" s="12"/>
      <c r="O27" s="12"/>
      <c r="P27" s="3"/>
      <c r="Q27" s="261"/>
      <c r="R27" s="51"/>
      <c r="S27" s="51"/>
      <c r="T27" s="51"/>
      <c r="U27" s="51"/>
      <c r="V27" s="51"/>
      <c r="W27" s="51"/>
      <c r="X27" s="51"/>
      <c r="Y27" s="51"/>
      <c r="Z27" s="51"/>
    </row>
    <row r="28" spans="1:26">
      <c r="A28" s="30" t="s">
        <v>257</v>
      </c>
      <c r="B28" s="22">
        <f>B26-B27</f>
        <v>-16.787271851113985</v>
      </c>
      <c r="C28" s="99"/>
      <c r="D28" s="99"/>
      <c r="E28" s="99"/>
      <c r="F28" s="99"/>
      <c r="G28" s="99"/>
      <c r="H28" s="82"/>
      <c r="I28" s="82"/>
      <c r="J28" s="82"/>
      <c r="K28" s="82"/>
      <c r="L28" s="82"/>
      <c r="M28" s="12"/>
      <c r="N28" s="12"/>
      <c r="O28" s="12"/>
      <c r="P28" s="3"/>
      <c r="Q28" s="261"/>
      <c r="R28" s="51"/>
      <c r="S28" s="51"/>
      <c r="T28" s="51"/>
      <c r="U28" s="51"/>
      <c r="V28" s="51"/>
      <c r="W28" s="51"/>
      <c r="X28" s="51"/>
      <c r="Y28" s="51"/>
      <c r="Z28" s="51"/>
    </row>
    <row r="29" spans="1:26">
      <c r="A29" s="30" t="s">
        <v>260</v>
      </c>
      <c r="B29" s="22">
        <f>B24/B25</f>
        <v>433.21272814888601</v>
      </c>
      <c r="C29" s="99"/>
      <c r="D29" s="99"/>
      <c r="E29" s="99"/>
      <c r="F29" s="99"/>
      <c r="G29" s="99"/>
      <c r="H29" s="82"/>
      <c r="I29" s="82"/>
      <c r="J29" s="82"/>
      <c r="K29" s="82"/>
      <c r="L29" s="82"/>
      <c r="M29" s="12"/>
      <c r="N29" s="12"/>
      <c r="O29" s="12"/>
      <c r="P29" s="3"/>
      <c r="Q29" s="261"/>
      <c r="R29" s="51"/>
      <c r="S29" s="51"/>
      <c r="T29" s="51"/>
      <c r="U29" s="51"/>
      <c r="V29" s="51"/>
      <c r="W29" s="51"/>
      <c r="X29" s="51"/>
      <c r="Y29" s="51"/>
      <c r="Z29" s="51"/>
    </row>
    <row r="30" spans="1:26">
      <c r="A30" s="30" t="s">
        <v>275</v>
      </c>
      <c r="B30" s="22" t="s">
        <v>277</v>
      </c>
      <c r="C30" s="99"/>
      <c r="D30" s="99"/>
      <c r="E30" s="99"/>
      <c r="F30" s="99"/>
      <c r="G30" s="99"/>
      <c r="H30" s="82"/>
      <c r="I30" s="82"/>
      <c r="J30" s="82"/>
      <c r="K30" s="82"/>
      <c r="L30" s="82"/>
      <c r="M30" s="12"/>
      <c r="N30" s="12"/>
      <c r="O30" s="12"/>
      <c r="P30" s="3"/>
      <c r="Q30" s="261"/>
      <c r="R30" s="51"/>
      <c r="S30" s="51"/>
      <c r="T30" s="51"/>
      <c r="U30" s="51"/>
      <c r="V30" s="51"/>
      <c r="W30" s="51"/>
      <c r="X30" s="51"/>
      <c r="Y30" s="51"/>
      <c r="Z30" s="51"/>
    </row>
    <row r="31" spans="1:26">
      <c r="A31" s="12"/>
      <c r="B31" s="12"/>
      <c r="C31" s="12"/>
      <c r="D31" s="12"/>
      <c r="E31" s="12"/>
      <c r="F31" s="12"/>
      <c r="G31" s="12"/>
      <c r="H31" s="12"/>
      <c r="I31" s="12"/>
      <c r="J31" s="12"/>
      <c r="K31" s="12"/>
      <c r="L31" s="12"/>
      <c r="M31" s="12"/>
      <c r="N31" s="12"/>
      <c r="O31" s="12"/>
      <c r="P31" s="3"/>
      <c r="Q31" s="261"/>
      <c r="R31" s="51"/>
      <c r="S31" s="51"/>
      <c r="T31" s="51"/>
      <c r="U31" s="51"/>
      <c r="V31" s="51"/>
      <c r="W31" s="51"/>
      <c r="X31" s="51"/>
      <c r="Y31" s="51"/>
      <c r="Z31" s="51"/>
    </row>
    <row r="32" spans="1:26">
      <c r="A32" s="12" t="s">
        <v>261</v>
      </c>
      <c r="B32" s="12" t="s">
        <v>247</v>
      </c>
      <c r="C32" s="12" t="s">
        <v>246</v>
      </c>
      <c r="D32" s="12" t="s">
        <v>422</v>
      </c>
      <c r="E32" s="12" t="s">
        <v>271</v>
      </c>
      <c r="F32" s="12"/>
      <c r="G32" s="12" t="s">
        <v>283</v>
      </c>
      <c r="H32" s="12" t="s">
        <v>284</v>
      </c>
      <c r="I32" s="12"/>
      <c r="J32" s="12" t="s">
        <v>411</v>
      </c>
      <c r="K32" s="12" t="s">
        <v>412</v>
      </c>
      <c r="L32" s="12" t="s">
        <v>413</v>
      </c>
      <c r="M32" s="12" t="s">
        <v>414</v>
      </c>
      <c r="N32" s="12" t="s">
        <v>1652</v>
      </c>
      <c r="O32" s="201"/>
      <c r="P32" s="3"/>
      <c r="Q32" s="261"/>
      <c r="R32" s="51"/>
      <c r="S32" s="51"/>
      <c r="T32" s="51"/>
      <c r="U32" s="51"/>
      <c r="V32" s="51"/>
      <c r="W32" s="51"/>
      <c r="X32" s="51"/>
      <c r="Y32" s="51"/>
      <c r="Z32" s="51"/>
    </row>
    <row r="33" spans="1:26">
      <c r="A33" s="30" t="s">
        <v>214</v>
      </c>
      <c r="B33" s="106">
        <f>B27/Table18[[#This Row],[Values]]</f>
        <v>32.33260835793071</v>
      </c>
      <c r="C33" s="22">
        <v>30</v>
      </c>
      <c r="D33" s="106">
        <f>Table18[[#This Row],[Values]]</f>
        <v>13.917837837837839</v>
      </c>
      <c r="E33" s="106">
        <f>D33*C33</f>
        <v>417.53513513513514</v>
      </c>
      <c r="F33" s="12"/>
      <c r="G33" s="30" t="s">
        <v>278</v>
      </c>
      <c r="H33" s="106">
        <f>'Profit Loss'!F20/'Profit Loss'!F22</f>
        <v>13.917837837837839</v>
      </c>
      <c r="I33" s="12"/>
      <c r="J33" s="30">
        <v>2020</v>
      </c>
      <c r="K33" s="22">
        <v>1605</v>
      </c>
      <c r="L33" s="22">
        <v>1.9154</v>
      </c>
      <c r="M33" s="22">
        <v>1.7573000000000001</v>
      </c>
      <c r="N33" s="137" t="s">
        <v>1653</v>
      </c>
      <c r="O33" s="201"/>
      <c r="P33" s="3"/>
      <c r="Q33" s="261"/>
      <c r="R33" s="51"/>
      <c r="S33" s="51"/>
      <c r="T33" s="51"/>
      <c r="U33" s="51"/>
      <c r="V33" s="51"/>
      <c r="W33" s="51"/>
      <c r="X33" s="51"/>
      <c r="Y33" s="51"/>
      <c r="Z33" s="51"/>
    </row>
    <row r="34" spans="1:26">
      <c r="A34" s="30" t="s">
        <v>222</v>
      </c>
      <c r="B34" s="106">
        <f>B27/H35</f>
        <v>14.77793162211098</v>
      </c>
      <c r="C34" s="22">
        <v>14</v>
      </c>
      <c r="D34" s="106">
        <f>H35</f>
        <v>30.450810810810811</v>
      </c>
      <c r="E34" s="106">
        <f>D34*C34</f>
        <v>426.31135135135133</v>
      </c>
      <c r="F34" s="12"/>
      <c r="G34" s="30" t="s">
        <v>279</v>
      </c>
      <c r="H34" s="106">
        <f>Balance_Sheet!F40/'Profit Loss'!F22</f>
        <v>7.0432432432432428</v>
      </c>
      <c r="I34" s="12"/>
      <c r="J34" s="30">
        <v>2021</v>
      </c>
      <c r="K34" s="22">
        <v>1741</v>
      </c>
      <c r="L34" s="22">
        <v>2.0777000000000001</v>
      </c>
      <c r="M34" s="22">
        <v>1.7487999999999999</v>
      </c>
      <c r="N34" s="137" t="s">
        <v>1654</v>
      </c>
      <c r="O34" s="201"/>
      <c r="P34" s="3"/>
      <c r="Q34" s="261"/>
      <c r="R34" s="51"/>
      <c r="S34" s="51"/>
      <c r="T34" s="51"/>
      <c r="U34" s="51"/>
      <c r="V34" s="51"/>
      <c r="W34" s="51"/>
      <c r="X34" s="51"/>
      <c r="Y34" s="51"/>
      <c r="Z34" s="51"/>
    </row>
    <row r="35" spans="1:26">
      <c r="A35" s="30" t="s">
        <v>262</v>
      </c>
      <c r="B35" s="106">
        <f>H38</f>
        <v>25.853146428788154</v>
      </c>
      <c r="C35" s="22">
        <v>24</v>
      </c>
      <c r="D35" s="106">
        <f>H39</f>
        <v>17.815135135135137</v>
      </c>
      <c r="E35" s="106">
        <f>D35*C35</f>
        <v>427.56324324324328</v>
      </c>
      <c r="F35" s="12"/>
      <c r="G35" s="30" t="s">
        <v>280</v>
      </c>
      <c r="H35" s="106">
        <f>'Profit Loss'!F4/'Profit Loss'!F22</f>
        <v>30.450810810810811</v>
      </c>
      <c r="I35" s="12"/>
      <c r="J35" s="30">
        <v>2022</v>
      </c>
      <c r="K35" s="22">
        <v>1903</v>
      </c>
      <c r="L35" s="22">
        <v>2.2711000000000001</v>
      </c>
      <c r="M35" s="22">
        <v>1.7537</v>
      </c>
      <c r="N35" s="137"/>
      <c r="O35" s="201"/>
      <c r="P35" s="3"/>
      <c r="Q35" s="261"/>
      <c r="R35" s="51"/>
      <c r="S35" s="51"/>
      <c r="T35" s="51"/>
      <c r="U35" s="51"/>
      <c r="V35" s="51"/>
      <c r="W35" s="51"/>
      <c r="X35" s="51"/>
      <c r="Y35" s="51"/>
      <c r="Z35" s="51"/>
    </row>
    <row r="36" spans="1:26">
      <c r="A36" s="30" t="s">
        <v>220</v>
      </c>
      <c r="B36" s="106">
        <f>H37</f>
        <v>27.341419586702607</v>
      </c>
      <c r="C36" s="22">
        <v>26</v>
      </c>
      <c r="D36" s="106">
        <f>H40</f>
        <v>16.845405405405405</v>
      </c>
      <c r="E36" s="106">
        <f>D36*C36</f>
        <v>437.98054054054052</v>
      </c>
      <c r="F36" s="12"/>
      <c r="G36" s="30" t="s">
        <v>211</v>
      </c>
      <c r="H36" s="22">
        <f>(B27*'Profit Loss'!F22)+'Common Size'!B93-Balance_Sheet!F4</f>
        <v>426034</v>
      </c>
      <c r="I36" s="12"/>
      <c r="J36" s="30">
        <v>2023</v>
      </c>
      <c r="K36" s="22">
        <v>2158</v>
      </c>
      <c r="L36" s="22">
        <v>2.5754000000000001</v>
      </c>
      <c r="M36" s="22">
        <v>1.8245</v>
      </c>
      <c r="N36" s="137" t="s">
        <v>1646</v>
      </c>
      <c r="O36" s="201"/>
      <c r="P36" s="3"/>
      <c r="Q36" s="261"/>
      <c r="R36" s="51"/>
      <c r="S36" s="51"/>
      <c r="T36" s="51"/>
      <c r="U36" s="51"/>
      <c r="V36" s="51"/>
      <c r="W36" s="51"/>
      <c r="X36" s="51"/>
      <c r="Y36" s="51"/>
      <c r="Z36" s="51"/>
    </row>
    <row r="37" spans="1:26">
      <c r="A37" s="12"/>
      <c r="B37" s="12"/>
      <c r="C37" s="12"/>
      <c r="D37" s="22" t="s">
        <v>864</v>
      </c>
      <c r="E37" s="106">
        <f>AVERAGE(E33:E36)</f>
        <v>427.34756756756758</v>
      </c>
      <c r="F37" s="12"/>
      <c r="G37" s="30" t="s">
        <v>220</v>
      </c>
      <c r="H37" s="106">
        <f>H36/'Profit Loss'!F11</f>
        <v>27.341419586702607</v>
      </c>
      <c r="I37" s="12"/>
      <c r="J37" s="30">
        <v>2024</v>
      </c>
      <c r="K37" s="22">
        <v>2448</v>
      </c>
      <c r="L37" s="22">
        <v>2.9215</v>
      </c>
      <c r="M37" s="22">
        <v>1.8988</v>
      </c>
      <c r="N37" s="137" t="s">
        <v>1655</v>
      </c>
      <c r="O37" s="201"/>
      <c r="P37" s="3"/>
      <c r="Q37" s="261"/>
      <c r="R37" s="51"/>
      <c r="S37" s="51"/>
      <c r="T37" s="51"/>
      <c r="U37" s="51"/>
      <c r="V37" s="51"/>
      <c r="W37" s="51"/>
      <c r="X37" s="51"/>
      <c r="Y37" s="51"/>
      <c r="Z37" s="51"/>
    </row>
    <row r="38" spans="1:26">
      <c r="A38" s="12"/>
      <c r="B38" s="12"/>
      <c r="C38" s="12"/>
      <c r="D38" s="12"/>
      <c r="E38" s="12"/>
      <c r="F38" s="12"/>
      <c r="G38" s="30" t="s">
        <v>218</v>
      </c>
      <c r="H38" s="106">
        <f>H36/'Profit Loss'!F25</f>
        <v>25.853146428788154</v>
      </c>
      <c r="I38" s="12"/>
      <c r="J38" s="30">
        <v>2025</v>
      </c>
      <c r="K38" s="22">
        <v>2595</v>
      </c>
      <c r="L38" s="22">
        <v>3.0969000000000002</v>
      </c>
      <c r="M38" s="22">
        <v>1.8466</v>
      </c>
      <c r="N38" s="137" t="s">
        <v>1656</v>
      </c>
      <c r="O38" s="201"/>
      <c r="P38" s="3"/>
      <c r="Q38" s="261"/>
      <c r="R38" s="51"/>
      <c r="S38" s="51"/>
      <c r="T38" s="51"/>
      <c r="U38" s="51"/>
      <c r="V38" s="51"/>
      <c r="W38" s="51"/>
      <c r="X38" s="51"/>
      <c r="Y38" s="51"/>
      <c r="Z38" s="51"/>
    </row>
    <row r="39" spans="1:26">
      <c r="A39" s="33" t="s">
        <v>820</v>
      </c>
      <c r="B39" s="33" t="s">
        <v>272</v>
      </c>
      <c r="C39" s="137" t="s">
        <v>1645</v>
      </c>
      <c r="D39" s="137"/>
      <c r="E39" s="12"/>
      <c r="F39" s="12"/>
      <c r="G39" s="30" t="s">
        <v>281</v>
      </c>
      <c r="H39" s="106">
        <f>'Profit Loss'!F25/'Profit Loss'!F22</f>
        <v>17.815135135135137</v>
      </c>
      <c r="I39" s="12"/>
      <c r="J39" s="30">
        <v>2026</v>
      </c>
      <c r="K39" s="22">
        <v>2751</v>
      </c>
      <c r="L39" s="22">
        <v>3.2831000000000001</v>
      </c>
      <c r="M39" s="22">
        <v>1.796</v>
      </c>
      <c r="N39" s="137" t="s">
        <v>1657</v>
      </c>
      <c r="O39" s="201"/>
      <c r="P39" s="3"/>
      <c r="Q39" s="261"/>
      <c r="R39" s="51"/>
      <c r="S39" s="51"/>
      <c r="T39" s="51"/>
      <c r="U39" s="51"/>
      <c r="V39" s="51"/>
      <c r="W39" s="51"/>
      <c r="X39" s="51"/>
      <c r="Y39" s="51"/>
      <c r="Z39" s="51"/>
    </row>
    <row r="40" spans="1:26">
      <c r="A40" s="30" t="s">
        <v>263</v>
      </c>
      <c r="B40" s="234">
        <f>Balance_Sheet!F40</f>
        <v>6515</v>
      </c>
      <c r="C40" s="137"/>
      <c r="D40" s="137"/>
      <c r="E40" s="12"/>
      <c r="F40" s="12"/>
      <c r="G40" s="30" t="s">
        <v>282</v>
      </c>
      <c r="H40" s="106">
        <f>'Profit Loss'!F11/'Profit Loss'!F22</f>
        <v>16.845405405405405</v>
      </c>
      <c r="I40" s="12"/>
      <c r="J40" s="30">
        <v>2027</v>
      </c>
      <c r="K40" s="22">
        <v>2916</v>
      </c>
      <c r="L40" s="22">
        <v>3.48</v>
      </c>
      <c r="M40" s="22">
        <v>1.7464999999999999</v>
      </c>
      <c r="N40" s="137" t="s">
        <v>1658</v>
      </c>
      <c r="O40" s="201"/>
      <c r="P40" s="3"/>
      <c r="Q40" s="261"/>
      <c r="R40" s="51"/>
      <c r="S40" s="51"/>
      <c r="T40" s="51"/>
      <c r="U40" s="51"/>
      <c r="V40" s="51"/>
      <c r="W40" s="51"/>
      <c r="X40" s="51"/>
      <c r="Y40" s="51"/>
      <c r="Z40" s="51"/>
    </row>
    <row r="41" spans="1:26">
      <c r="A41" s="30" t="s">
        <v>285</v>
      </c>
      <c r="B41" s="106">
        <v>0.04</v>
      </c>
      <c r="C41" s="137" t="s">
        <v>1646</v>
      </c>
      <c r="D41" s="137"/>
      <c r="E41" s="12"/>
      <c r="F41" s="12"/>
      <c r="G41" s="33" t="s">
        <v>440</v>
      </c>
      <c r="H41" s="106"/>
      <c r="I41" s="12"/>
      <c r="J41" s="30">
        <v>2028</v>
      </c>
      <c r="K41" s="22">
        <v>3091</v>
      </c>
      <c r="L41" s="22">
        <v>3.6888999999999998</v>
      </c>
      <c r="M41" s="22">
        <v>1.6984999999999999</v>
      </c>
      <c r="N41" s="137" t="s">
        <v>1659</v>
      </c>
      <c r="O41" s="201"/>
      <c r="P41" s="3"/>
      <c r="Q41" s="261"/>
      <c r="R41" s="51"/>
      <c r="S41" s="51"/>
      <c r="T41" s="51"/>
      <c r="U41" s="51"/>
      <c r="V41" s="51"/>
      <c r="W41" s="51"/>
      <c r="X41" s="51"/>
      <c r="Y41" s="51"/>
      <c r="Z41" s="51"/>
    </row>
    <row r="42" spans="1:26">
      <c r="A42" s="30" t="s">
        <v>264</v>
      </c>
      <c r="B42" s="233">
        <f>O17</f>
        <v>10.210000000000001</v>
      </c>
      <c r="C42" s="137" t="s">
        <v>1647</v>
      </c>
      <c r="D42" s="137"/>
      <c r="E42" s="12"/>
      <c r="F42" s="12"/>
      <c r="G42" s="12" t="s">
        <v>432</v>
      </c>
      <c r="H42" s="12" t="s">
        <v>117</v>
      </c>
      <c r="I42" s="12"/>
      <c r="J42" s="30">
        <v>2029</v>
      </c>
      <c r="K42" s="22">
        <v>3276</v>
      </c>
      <c r="L42" s="22">
        <v>3.9096000000000002</v>
      </c>
      <c r="M42" s="22">
        <v>1.6515</v>
      </c>
      <c r="N42" s="12"/>
      <c r="O42" s="201"/>
      <c r="P42" s="3"/>
      <c r="Q42" s="261"/>
      <c r="R42" s="51"/>
      <c r="S42" s="51"/>
      <c r="T42" s="51"/>
      <c r="U42" s="51"/>
      <c r="V42" s="51"/>
      <c r="W42" s="51"/>
      <c r="X42" s="51"/>
      <c r="Y42" s="51"/>
      <c r="Z42" s="51"/>
    </row>
    <row r="43" spans="1:26">
      <c r="A43" s="30" t="s">
        <v>265</v>
      </c>
      <c r="B43" s="22">
        <f>B40*B42</f>
        <v>66518.150000000009</v>
      </c>
      <c r="C43" s="137" t="s">
        <v>1650</v>
      </c>
      <c r="D43" s="137"/>
      <c r="E43" s="12"/>
      <c r="F43" s="12"/>
      <c r="G43" s="30" t="s">
        <v>433</v>
      </c>
      <c r="H43" s="97">
        <v>0.04</v>
      </c>
      <c r="I43" s="12"/>
      <c r="J43" s="12"/>
      <c r="K43" s="12"/>
      <c r="L43" s="12"/>
      <c r="M43" s="12"/>
      <c r="N43" s="201"/>
      <c r="O43" s="201"/>
      <c r="P43" s="3"/>
      <c r="Q43" s="261"/>
      <c r="R43" s="51"/>
      <c r="S43" s="51"/>
      <c r="T43" s="51"/>
      <c r="U43" s="51"/>
      <c r="V43" s="51"/>
      <c r="W43" s="51"/>
      <c r="X43" s="51"/>
      <c r="Y43" s="51"/>
      <c r="Z43" s="51"/>
    </row>
    <row r="44" spans="1:26">
      <c r="A44" s="30" t="s">
        <v>762</v>
      </c>
      <c r="B44" s="22">
        <f>H40*(1-D65)</f>
        <v>14.150140540540539</v>
      </c>
      <c r="C44" s="137" t="s">
        <v>1651</v>
      </c>
      <c r="D44" s="137"/>
      <c r="E44" s="12"/>
      <c r="F44" s="12"/>
      <c r="G44" s="30" t="s">
        <v>191</v>
      </c>
      <c r="H44" s="22" cm="1">
        <f t="array" ref="H44">Table23[Value]</f>
        <v>1.0354653976641053</v>
      </c>
      <c r="I44" s="12"/>
      <c r="J44" s="12"/>
      <c r="K44" s="12"/>
      <c r="L44" s="12"/>
      <c r="M44" s="12"/>
      <c r="N44" s="12"/>
      <c r="O44" s="12"/>
      <c r="P44" s="3"/>
      <c r="Q44" s="261"/>
      <c r="R44" s="51"/>
      <c r="S44" s="51"/>
      <c r="T44" s="51"/>
      <c r="U44" s="51"/>
      <c r="V44" s="51"/>
      <c r="W44" s="51"/>
      <c r="X44" s="51"/>
      <c r="Y44" s="51"/>
      <c r="Z44" s="51"/>
    </row>
    <row r="45" spans="1:26">
      <c r="A45" s="30" t="s">
        <v>266</v>
      </c>
      <c r="B45" s="22">
        <f>B44*B50</f>
        <v>11856.892051444056</v>
      </c>
      <c r="C45" s="137"/>
      <c r="D45" s="137"/>
      <c r="E45" s="12"/>
      <c r="F45" s="12"/>
      <c r="G45" s="30" t="s">
        <v>434</v>
      </c>
      <c r="H45" s="97">
        <v>0.1</v>
      </c>
      <c r="I45" s="12"/>
      <c r="J45" s="12"/>
      <c r="K45" s="12"/>
      <c r="L45" s="12"/>
      <c r="M45" s="12"/>
      <c r="N45" s="12"/>
      <c r="O45" s="12"/>
      <c r="P45" s="3"/>
      <c r="Q45" s="261"/>
      <c r="R45" s="51"/>
      <c r="S45" s="51"/>
      <c r="T45" s="51"/>
      <c r="U45" s="51"/>
      <c r="V45" s="51"/>
      <c r="W45" s="51"/>
      <c r="X45" s="51"/>
      <c r="Y45" s="51"/>
      <c r="Z45" s="51"/>
    </row>
    <row r="46" spans="1:26">
      <c r="A46" s="30"/>
      <c r="B46" s="22"/>
      <c r="C46" s="137" t="s">
        <v>1644</v>
      </c>
      <c r="D46" s="137"/>
      <c r="E46" s="12"/>
      <c r="F46" s="12"/>
      <c r="G46" s="30" t="s">
        <v>435</v>
      </c>
      <c r="H46" s="97">
        <v>0.06</v>
      </c>
      <c r="I46" s="12"/>
      <c r="J46" s="12"/>
      <c r="K46" s="12"/>
      <c r="L46" s="12"/>
      <c r="M46" s="12"/>
      <c r="N46" s="12"/>
      <c r="O46" s="12"/>
      <c r="P46" s="3"/>
      <c r="Q46" s="261"/>
      <c r="R46" s="51"/>
      <c r="S46" s="51"/>
      <c r="T46" s="51"/>
      <c r="U46" s="51"/>
      <c r="V46" s="51"/>
      <c r="W46" s="51"/>
      <c r="X46" s="51"/>
      <c r="Y46" s="51"/>
      <c r="Z46" s="51"/>
    </row>
    <row r="47" spans="1:26">
      <c r="A47" s="30" t="s">
        <v>763</v>
      </c>
      <c r="B47" s="22">
        <f>B45-B43</f>
        <v>-54661.257948555954</v>
      </c>
      <c r="C47" s="137" t="s">
        <v>1648</v>
      </c>
      <c r="D47" s="137"/>
      <c r="E47" s="12"/>
      <c r="F47" s="12"/>
      <c r="G47" s="30" t="s">
        <v>472</v>
      </c>
      <c r="H47" s="97">
        <f>H43+(H44*H46)</f>
        <v>0.10212792385984631</v>
      </c>
      <c r="I47" s="12"/>
      <c r="J47" s="12"/>
      <c r="K47" s="12"/>
      <c r="L47" s="12"/>
      <c r="M47" s="12"/>
      <c r="N47" s="12"/>
      <c r="O47" s="12"/>
      <c r="P47" s="3"/>
      <c r="Q47" s="261"/>
      <c r="R47" s="51"/>
      <c r="S47" s="51"/>
      <c r="T47" s="51"/>
      <c r="U47" s="51"/>
      <c r="V47" s="51"/>
      <c r="W47" s="51"/>
      <c r="X47" s="51"/>
      <c r="Y47" s="51"/>
      <c r="Z47" s="51"/>
    </row>
    <row r="48" spans="1:26">
      <c r="A48" s="30" t="s">
        <v>267</v>
      </c>
      <c r="B48" s="106">
        <f>B47/(B42-B41)</f>
        <v>-5374.7549605266413</v>
      </c>
      <c r="C48" s="137" t="s">
        <v>1644</v>
      </c>
      <c r="D48" s="137"/>
      <c r="E48" s="12"/>
      <c r="F48" s="12"/>
      <c r="G48" s="33" t="s">
        <v>441</v>
      </c>
      <c r="H48" s="97"/>
      <c r="I48" s="12"/>
      <c r="J48" s="12"/>
      <c r="K48" s="12"/>
      <c r="L48" s="12"/>
      <c r="M48" s="12"/>
      <c r="N48" s="12"/>
      <c r="O48" s="12"/>
      <c r="P48" s="3"/>
      <c r="Q48" s="261"/>
      <c r="R48" s="51"/>
      <c r="S48" s="51"/>
      <c r="T48" s="51"/>
      <c r="U48" s="51"/>
      <c r="V48" s="51"/>
      <c r="W48" s="51"/>
      <c r="X48" s="51"/>
      <c r="Y48" s="51"/>
      <c r="Z48" s="51"/>
    </row>
    <row r="49" spans="1:26">
      <c r="A49" s="30" t="s">
        <v>268</v>
      </c>
      <c r="B49" s="106">
        <f>B48/(1+B42)</f>
        <v>-479.46074580969145</v>
      </c>
      <c r="C49" s="137" t="s">
        <v>1649</v>
      </c>
      <c r="D49" s="137"/>
      <c r="E49" s="12"/>
      <c r="F49" s="12"/>
      <c r="G49" s="127" t="s">
        <v>436</v>
      </c>
      <c r="H49" s="171" t="s">
        <v>437</v>
      </c>
      <c r="I49" s="171" t="s">
        <v>438</v>
      </c>
      <c r="J49" s="171" t="s">
        <v>439</v>
      </c>
      <c r="K49" s="12"/>
      <c r="L49" s="12"/>
      <c r="M49" s="12"/>
      <c r="N49" s="12"/>
      <c r="O49" s="12"/>
      <c r="P49" s="3"/>
      <c r="Q49" s="261"/>
      <c r="R49" s="51"/>
      <c r="S49" s="51"/>
      <c r="T49" s="51"/>
      <c r="U49" s="51"/>
      <c r="V49" s="51"/>
      <c r="W49" s="51"/>
      <c r="X49" s="51"/>
      <c r="Y49" s="51"/>
      <c r="Z49" s="51"/>
    </row>
    <row r="50" spans="1:26">
      <c r="A50" s="30" t="s">
        <v>269</v>
      </c>
      <c r="B50" s="106">
        <f>B25</f>
        <v>837.93457863359993</v>
      </c>
      <c r="C50" s="137" t="s">
        <v>1644</v>
      </c>
      <c r="D50" s="137"/>
      <c r="E50" s="12"/>
      <c r="F50" s="12"/>
      <c r="G50" s="93">
        <v>0.12</v>
      </c>
      <c r="H50" s="7">
        <v>550</v>
      </c>
      <c r="I50" s="7">
        <v>500</v>
      </c>
      <c r="J50" s="7">
        <v>460</v>
      </c>
      <c r="K50" s="12"/>
      <c r="L50" s="12"/>
      <c r="M50" s="12"/>
      <c r="N50" s="12"/>
      <c r="O50" s="12"/>
      <c r="P50" s="3"/>
      <c r="Q50" s="261"/>
      <c r="R50" s="51"/>
      <c r="S50" s="51"/>
      <c r="T50" s="51"/>
      <c r="U50" s="51"/>
      <c r="V50" s="51"/>
      <c r="W50" s="51"/>
      <c r="X50" s="51"/>
      <c r="Y50" s="51"/>
      <c r="Z50" s="51"/>
    </row>
    <row r="51" spans="1:26">
      <c r="A51" s="30" t="s">
        <v>287</v>
      </c>
      <c r="B51" s="106">
        <f>B52+B48</f>
        <v>1140.2450394733587</v>
      </c>
      <c r="C51" s="12"/>
      <c r="D51" s="12"/>
      <c r="E51" s="12"/>
      <c r="F51" s="12"/>
      <c r="G51" s="93">
        <v>0.14000000000000001</v>
      </c>
      <c r="H51" s="7">
        <v>620</v>
      </c>
      <c r="I51" s="7">
        <v>615</v>
      </c>
      <c r="J51" s="7">
        <v>580</v>
      </c>
      <c r="K51" s="12"/>
      <c r="L51" s="12"/>
      <c r="M51" s="12"/>
      <c r="N51" s="12"/>
      <c r="O51" s="12"/>
      <c r="P51" s="3"/>
      <c r="Q51" s="261"/>
      <c r="R51" s="51"/>
      <c r="S51" s="51"/>
      <c r="T51" s="51"/>
      <c r="U51" s="51"/>
      <c r="V51" s="51"/>
      <c r="W51" s="51"/>
      <c r="X51" s="51"/>
      <c r="Y51" s="51"/>
      <c r="Z51" s="51"/>
    </row>
    <row r="52" spans="1:26">
      <c r="A52" s="30" t="s">
        <v>270</v>
      </c>
      <c r="B52" s="234">
        <f>Balance_Sheet!F40</f>
        <v>6515</v>
      </c>
      <c r="C52" s="12"/>
      <c r="D52" s="12"/>
      <c r="E52" s="12"/>
      <c r="F52" s="12"/>
      <c r="G52" s="93">
        <v>0.16</v>
      </c>
      <c r="H52" s="7">
        <v>700</v>
      </c>
      <c r="I52" s="7">
        <v>690</v>
      </c>
      <c r="J52" s="7">
        <v>650</v>
      </c>
      <c r="K52" s="12"/>
      <c r="L52" s="12"/>
      <c r="M52" s="12"/>
      <c r="N52" s="12"/>
      <c r="O52" s="12"/>
      <c r="P52" s="3"/>
      <c r="Q52" s="261"/>
      <c r="R52" s="51"/>
      <c r="S52" s="51"/>
      <c r="T52" s="51"/>
      <c r="U52" s="51"/>
      <c r="V52" s="51"/>
      <c r="W52" s="51"/>
      <c r="X52" s="51"/>
      <c r="Y52" s="51"/>
      <c r="Z52" s="51"/>
    </row>
    <row r="53" spans="1:26">
      <c r="A53" s="30" t="s">
        <v>286</v>
      </c>
      <c r="B53" s="106">
        <f>B51/B50</f>
        <v>1.3607805054813817</v>
      </c>
      <c r="C53" s="12"/>
      <c r="D53" s="12"/>
      <c r="E53" s="12"/>
      <c r="F53" s="12"/>
      <c r="G53" s="30" t="s">
        <v>1325</v>
      </c>
      <c r="H53" s="30"/>
      <c r="I53" s="30"/>
      <c r="J53" s="30"/>
      <c r="K53" s="30"/>
      <c r="L53" s="12"/>
      <c r="M53" s="12"/>
      <c r="N53" s="12"/>
      <c r="O53" s="12"/>
      <c r="P53" s="3"/>
      <c r="Q53" s="261"/>
      <c r="R53" s="51"/>
      <c r="S53" s="51"/>
      <c r="T53" s="51"/>
      <c r="U53" s="51"/>
      <c r="V53" s="51"/>
      <c r="W53" s="51"/>
      <c r="X53" s="51"/>
      <c r="Y53" s="51"/>
      <c r="Z53" s="51"/>
    </row>
    <row r="54" spans="1:26">
      <c r="A54" s="203" t="s">
        <v>1326</v>
      </c>
      <c r="B54" s="203"/>
      <c r="C54" s="294"/>
      <c r="D54" s="294"/>
      <c r="E54" s="294"/>
      <c r="F54" s="12"/>
      <c r="G54" s="12"/>
      <c r="H54" s="12"/>
      <c r="I54" s="12"/>
      <c r="J54" s="12"/>
      <c r="K54" s="12"/>
      <c r="L54" s="12"/>
      <c r="M54" s="12"/>
      <c r="N54" s="12"/>
      <c r="O54" s="12"/>
      <c r="P54" s="3"/>
      <c r="Q54" s="261"/>
      <c r="R54" s="51"/>
      <c r="S54" s="51"/>
      <c r="T54" s="51"/>
      <c r="U54" s="51"/>
      <c r="V54" s="51"/>
      <c r="W54" s="51"/>
      <c r="X54" s="51"/>
      <c r="Y54" s="51"/>
      <c r="Z54" s="51"/>
    </row>
    <row r="55" spans="1:26">
      <c r="A55" s="30" t="s">
        <v>446</v>
      </c>
      <c r="B55" s="30"/>
      <c r="C55" s="22"/>
      <c r="D55" s="22"/>
      <c r="E55" s="22" t="s">
        <v>817</v>
      </c>
      <c r="F55" s="22"/>
      <c r="G55" s="22"/>
      <c r="H55" s="22" t="s">
        <v>833</v>
      </c>
      <c r="I55" s="48" t="s">
        <v>834</v>
      </c>
      <c r="J55" s="12"/>
      <c r="K55" s="12"/>
      <c r="L55" s="12"/>
      <c r="M55" s="12"/>
      <c r="N55" s="12"/>
      <c r="O55" s="12"/>
      <c r="P55" s="3"/>
      <c r="Q55" s="261"/>
      <c r="R55" s="51"/>
      <c r="S55" s="51"/>
      <c r="T55" s="51"/>
      <c r="U55" s="51"/>
      <c r="V55" s="51"/>
      <c r="W55" s="51"/>
      <c r="X55" s="51"/>
      <c r="Y55" s="51"/>
      <c r="Z55" s="51"/>
    </row>
    <row r="56" spans="1:26" ht="16.5" customHeight="1">
      <c r="A56" s="12" t="s">
        <v>442</v>
      </c>
      <c r="B56" s="12" t="s">
        <v>117</v>
      </c>
      <c r="C56" s="12" t="s">
        <v>451</v>
      </c>
      <c r="D56" s="12" t="s">
        <v>818</v>
      </c>
      <c r="E56" s="127" t="s">
        <v>827</v>
      </c>
      <c r="F56" s="127" t="s">
        <v>821</v>
      </c>
      <c r="G56" s="127" t="s">
        <v>822</v>
      </c>
      <c r="H56" s="12" t="s">
        <v>832</v>
      </c>
      <c r="I56" s="12" t="s">
        <v>835</v>
      </c>
      <c r="J56" s="12"/>
      <c r="K56" s="12"/>
      <c r="L56" s="12"/>
      <c r="M56" s="12"/>
      <c r="N56" s="12"/>
      <c r="O56" s="12"/>
      <c r="P56" s="3"/>
      <c r="Q56" s="261"/>
      <c r="R56" s="51"/>
      <c r="S56" s="51"/>
      <c r="T56" s="51"/>
      <c r="U56" s="51"/>
      <c r="V56" s="51"/>
      <c r="W56" s="51"/>
      <c r="X56" s="51"/>
      <c r="Y56" s="51"/>
      <c r="Z56" s="51"/>
    </row>
    <row r="57" spans="1:26" ht="30" customHeight="1">
      <c r="A57" s="30" t="s">
        <v>443</v>
      </c>
      <c r="B57" s="22">
        <f>B14</f>
        <v>66.362482611476665</v>
      </c>
      <c r="C57" s="30" t="s">
        <v>500</v>
      </c>
      <c r="D57" s="483">
        <v>450</v>
      </c>
      <c r="E57" s="319" t="s">
        <v>823</v>
      </c>
      <c r="F57" s="319" t="s">
        <v>824</v>
      </c>
      <c r="G57" s="93">
        <v>0.6</v>
      </c>
      <c r="H57" s="30" t="s">
        <v>829</v>
      </c>
      <c r="I57" s="30" t="s">
        <v>836</v>
      </c>
      <c r="J57" s="12"/>
      <c r="K57" s="12"/>
      <c r="L57" s="12"/>
      <c r="M57" s="12"/>
      <c r="N57" s="12"/>
      <c r="O57" s="12"/>
      <c r="P57" s="3"/>
      <c r="Q57" s="261"/>
      <c r="R57" s="51"/>
      <c r="S57" s="51"/>
      <c r="T57" s="51"/>
      <c r="U57" s="51"/>
      <c r="V57" s="51"/>
      <c r="W57" s="51"/>
      <c r="X57" s="51"/>
      <c r="Y57" s="51"/>
      <c r="Z57" s="51"/>
    </row>
    <row r="58" spans="1:26">
      <c r="A58" s="30" t="s">
        <v>205</v>
      </c>
      <c r="B58" s="22">
        <f>B144</f>
        <v>394.44479561822146</v>
      </c>
      <c r="C58" s="30" t="s">
        <v>814</v>
      </c>
      <c r="D58" s="82">
        <v>350</v>
      </c>
      <c r="E58" s="319" t="s">
        <v>261</v>
      </c>
      <c r="F58" s="319" t="s">
        <v>825</v>
      </c>
      <c r="G58" s="93">
        <v>0.4</v>
      </c>
      <c r="H58" s="30" t="s">
        <v>830</v>
      </c>
      <c r="I58" s="30" t="s">
        <v>837</v>
      </c>
      <c r="J58" s="12"/>
      <c r="K58" s="12"/>
      <c r="L58" s="12"/>
      <c r="M58" s="12"/>
      <c r="N58" s="12"/>
      <c r="O58" s="12"/>
      <c r="P58" s="3"/>
      <c r="Q58" s="261"/>
      <c r="R58" s="51"/>
      <c r="S58" s="51"/>
      <c r="T58" s="51"/>
      <c r="U58" s="51"/>
      <c r="V58" s="51"/>
      <c r="W58" s="51"/>
      <c r="X58" s="51"/>
      <c r="Y58" s="51"/>
      <c r="Z58" s="51"/>
    </row>
    <row r="59" spans="1:26">
      <c r="A59" s="30" t="s">
        <v>261</v>
      </c>
      <c r="B59" s="106">
        <f>E37</f>
        <v>427.34756756756758</v>
      </c>
      <c r="C59" s="30" t="s">
        <v>502</v>
      </c>
      <c r="D59" s="99" t="s">
        <v>1186</v>
      </c>
      <c r="E59" s="319" t="s">
        <v>443</v>
      </c>
      <c r="F59" s="319" t="s">
        <v>826</v>
      </c>
      <c r="G59" s="93">
        <v>0</v>
      </c>
      <c r="H59" s="30" t="s">
        <v>831</v>
      </c>
      <c r="I59" s="30" t="s">
        <v>838</v>
      </c>
      <c r="J59" s="12"/>
      <c r="K59" s="12"/>
      <c r="L59" s="12"/>
      <c r="M59" s="12"/>
      <c r="N59" s="12"/>
      <c r="O59" s="12"/>
      <c r="P59" s="3"/>
      <c r="Q59" s="261"/>
      <c r="R59" s="51"/>
      <c r="S59" s="51"/>
      <c r="T59" s="51"/>
      <c r="U59" s="51"/>
      <c r="V59" s="51"/>
      <c r="W59" s="51"/>
      <c r="X59" s="51"/>
      <c r="Y59" s="51"/>
      <c r="Z59" s="51"/>
    </row>
    <row r="60" spans="1:26">
      <c r="A60" s="30" t="s">
        <v>207</v>
      </c>
      <c r="B60" s="106">
        <f>B99</f>
        <v>335.44642561631332</v>
      </c>
      <c r="C60" s="30" t="s">
        <v>816</v>
      </c>
      <c r="D60" s="134">
        <f>(D58/D57)-1</f>
        <v>-0.22222222222222221</v>
      </c>
      <c r="E60" s="30" t="s">
        <v>444</v>
      </c>
      <c r="F60" s="30" t="s">
        <v>828</v>
      </c>
      <c r="G60" s="93">
        <v>0</v>
      </c>
      <c r="H60" s="30"/>
      <c r="I60" s="30"/>
      <c r="J60" s="12"/>
      <c r="K60" s="12"/>
      <c r="L60" s="12"/>
      <c r="M60" s="12"/>
      <c r="N60" s="12"/>
      <c r="O60" s="12"/>
      <c r="P60" s="3"/>
      <c r="Q60" s="261"/>
      <c r="R60" s="51"/>
      <c r="S60" s="51"/>
      <c r="T60" s="51"/>
      <c r="U60" s="51"/>
      <c r="V60" s="51"/>
      <c r="W60" s="51"/>
      <c r="X60" s="51"/>
      <c r="Y60" s="51"/>
      <c r="Z60" s="51"/>
    </row>
    <row r="61" spans="1:26">
      <c r="A61" s="30" t="s">
        <v>445</v>
      </c>
      <c r="B61" s="22" t="s">
        <v>1788</v>
      </c>
      <c r="C61" s="22"/>
      <c r="D61" s="22"/>
      <c r="E61" s="22"/>
      <c r="F61" s="22"/>
      <c r="G61" s="22"/>
      <c r="H61" s="22"/>
      <c r="I61" s="22"/>
      <c r="J61" s="12"/>
      <c r="K61" s="12"/>
      <c r="L61" s="12"/>
      <c r="M61" s="12"/>
      <c r="N61" s="12"/>
      <c r="O61" s="12"/>
      <c r="P61" s="3"/>
      <c r="Q61" s="261"/>
      <c r="R61" s="51"/>
      <c r="S61" s="51"/>
      <c r="T61" s="51"/>
      <c r="U61" s="51"/>
      <c r="V61" s="51"/>
      <c r="W61" s="51"/>
      <c r="X61" s="51"/>
      <c r="Y61" s="51"/>
      <c r="Z61" s="51"/>
    </row>
    <row r="62" spans="1:26">
      <c r="A62" s="12"/>
      <c r="B62" s="12"/>
      <c r="C62" s="12"/>
      <c r="D62" s="12"/>
      <c r="E62" s="12"/>
      <c r="F62" s="12"/>
      <c r="G62" s="12"/>
      <c r="H62" s="12"/>
      <c r="I62" s="12"/>
      <c r="J62" s="12"/>
      <c r="K62" s="12"/>
      <c r="L62" s="12"/>
      <c r="M62" s="12"/>
      <c r="N62" s="12"/>
      <c r="O62" s="12"/>
      <c r="P62" s="3"/>
      <c r="Q62" s="261"/>
      <c r="R62" s="51"/>
      <c r="S62" s="51"/>
      <c r="T62" s="51"/>
      <c r="U62" s="51"/>
      <c r="V62" s="51"/>
      <c r="W62" s="51"/>
      <c r="X62" s="51"/>
      <c r="Y62" s="51"/>
      <c r="Z62" s="51"/>
    </row>
    <row r="63" spans="1:26">
      <c r="A63" s="127" t="s">
        <v>411</v>
      </c>
      <c r="B63" s="127" t="s">
        <v>143</v>
      </c>
      <c r="C63" s="127" t="s">
        <v>459</v>
      </c>
      <c r="D63" s="127" t="s">
        <v>118</v>
      </c>
      <c r="E63" s="127" t="s">
        <v>460</v>
      </c>
      <c r="F63" s="127" t="s">
        <v>461</v>
      </c>
      <c r="G63" s="127" t="s">
        <v>462</v>
      </c>
      <c r="H63" s="127" t="s">
        <v>463</v>
      </c>
      <c r="I63" s="12"/>
      <c r="J63" s="127" t="s">
        <v>411</v>
      </c>
      <c r="K63" s="127" t="s">
        <v>468</v>
      </c>
      <c r="L63" s="127" t="s">
        <v>469</v>
      </c>
      <c r="M63" s="127" t="s">
        <v>470</v>
      </c>
      <c r="N63" s="127" t="s">
        <v>471</v>
      </c>
      <c r="O63" s="12"/>
      <c r="P63" s="3"/>
      <c r="Q63" s="261"/>
      <c r="R63" s="51"/>
      <c r="S63" s="51"/>
      <c r="T63" s="51"/>
      <c r="U63" s="51"/>
      <c r="V63" s="51"/>
      <c r="W63" s="51"/>
      <c r="X63" s="51"/>
      <c r="Y63" s="51"/>
      <c r="Z63" s="51"/>
    </row>
    <row r="64" spans="1:26">
      <c r="A64" s="319">
        <v>2024</v>
      </c>
      <c r="B64" s="7" t="s">
        <v>464</v>
      </c>
      <c r="C64" s="7" t="s">
        <v>464</v>
      </c>
      <c r="D64" s="94">
        <v>0.156</v>
      </c>
      <c r="E64" s="7" t="s">
        <v>464</v>
      </c>
      <c r="F64" s="7" t="s">
        <v>464</v>
      </c>
      <c r="G64" s="7" t="s">
        <v>464</v>
      </c>
      <c r="H64" s="7" t="s">
        <v>465</v>
      </c>
      <c r="I64" s="12"/>
      <c r="J64" s="319" t="s">
        <v>124</v>
      </c>
      <c r="K64" s="93">
        <v>0.18</v>
      </c>
      <c r="L64" s="93">
        <v>0.08</v>
      </c>
      <c r="M64" s="93">
        <v>0.08</v>
      </c>
      <c r="N64" s="93">
        <v>0.1</v>
      </c>
      <c r="O64" s="12"/>
      <c r="P64" s="3"/>
      <c r="Q64" s="261"/>
      <c r="R64" s="51"/>
      <c r="S64" s="51"/>
      <c r="T64" s="51"/>
      <c r="U64" s="51"/>
      <c r="V64" s="51"/>
      <c r="W64" s="51"/>
      <c r="X64" s="51"/>
      <c r="Y64" s="51"/>
      <c r="Z64" s="51"/>
    </row>
    <row r="65" spans="1:26">
      <c r="A65" s="319" t="s">
        <v>124</v>
      </c>
      <c r="B65" s="93">
        <v>0.18</v>
      </c>
      <c r="C65" s="93">
        <v>0.54</v>
      </c>
      <c r="D65" s="93">
        <v>0.16</v>
      </c>
      <c r="E65" s="94">
        <v>5.5E-2</v>
      </c>
      <c r="F65" s="93">
        <v>7.0000000000000007E-2</v>
      </c>
      <c r="G65" s="93">
        <v>0.25</v>
      </c>
      <c r="H65" s="93">
        <v>0.18</v>
      </c>
      <c r="I65" s="12"/>
      <c r="J65" s="319" t="s">
        <v>125</v>
      </c>
      <c r="K65" s="93">
        <v>0.16</v>
      </c>
      <c r="L65" s="93">
        <v>0.08</v>
      </c>
      <c r="M65" s="93">
        <v>0.08</v>
      </c>
      <c r="N65" s="93">
        <v>0.1</v>
      </c>
      <c r="O65" s="12"/>
      <c r="P65" s="3"/>
      <c r="Q65" s="261"/>
      <c r="R65" s="51"/>
      <c r="S65" s="51"/>
      <c r="T65" s="51"/>
      <c r="U65" s="51"/>
      <c r="V65" s="51"/>
      <c r="W65" s="51"/>
      <c r="X65" s="51"/>
      <c r="Y65" s="51"/>
      <c r="Z65" s="51"/>
    </row>
    <row r="66" spans="1:26">
      <c r="A66" s="319" t="s">
        <v>125</v>
      </c>
      <c r="B66" s="93">
        <v>0.12</v>
      </c>
      <c r="C66" s="93">
        <v>0.54</v>
      </c>
      <c r="D66" s="93">
        <v>0.16</v>
      </c>
      <c r="E66" s="94">
        <v>5.5E-2</v>
      </c>
      <c r="F66" s="93">
        <v>7.0000000000000007E-2</v>
      </c>
      <c r="G66" s="93">
        <v>0.25</v>
      </c>
      <c r="H66" s="93">
        <v>0.16</v>
      </c>
      <c r="I66" s="12"/>
      <c r="J66" s="319" t="s">
        <v>126</v>
      </c>
      <c r="K66" s="93">
        <v>0.13</v>
      </c>
      <c r="L66" s="93">
        <v>0.08</v>
      </c>
      <c r="M66" s="93">
        <v>0.08</v>
      </c>
      <c r="N66" s="93">
        <v>0.1</v>
      </c>
      <c r="O66" s="12"/>
      <c r="P66" s="3"/>
      <c r="Q66" s="261"/>
      <c r="R66" s="51"/>
      <c r="S66" s="51"/>
      <c r="T66" s="51"/>
      <c r="U66" s="51"/>
      <c r="V66" s="51"/>
      <c r="W66" s="51"/>
      <c r="X66" s="51"/>
      <c r="Y66" s="51"/>
      <c r="Z66" s="51"/>
    </row>
    <row r="67" spans="1:26">
      <c r="A67" s="319" t="s">
        <v>126</v>
      </c>
      <c r="B67" s="93">
        <v>0.13</v>
      </c>
      <c r="C67" s="93">
        <v>0.54</v>
      </c>
      <c r="D67" s="93">
        <v>0.16</v>
      </c>
      <c r="E67" s="94">
        <v>5.5E-2</v>
      </c>
      <c r="F67" s="93">
        <v>7.0000000000000007E-2</v>
      </c>
      <c r="G67" s="93">
        <v>0.25</v>
      </c>
      <c r="H67" s="93">
        <v>0.13</v>
      </c>
      <c r="I67" s="12"/>
      <c r="J67" s="319" t="s">
        <v>127</v>
      </c>
      <c r="K67" s="93">
        <v>0.1</v>
      </c>
      <c r="L67" s="93">
        <v>0.08</v>
      </c>
      <c r="M67" s="93">
        <v>0.08</v>
      </c>
      <c r="N67" s="93">
        <v>0.1</v>
      </c>
      <c r="O67" s="12"/>
      <c r="P67" s="3"/>
      <c r="Q67" s="261"/>
      <c r="R67" s="51"/>
      <c r="S67" s="51"/>
      <c r="T67" s="51"/>
      <c r="U67" s="51"/>
      <c r="V67" s="51"/>
      <c r="W67" s="51"/>
      <c r="X67" s="51"/>
      <c r="Y67" s="51"/>
      <c r="Z67" s="51"/>
    </row>
    <row r="68" spans="1:26">
      <c r="A68" s="319" t="s">
        <v>127</v>
      </c>
      <c r="B68" s="93">
        <v>0.1</v>
      </c>
      <c r="C68" s="93">
        <v>0.54</v>
      </c>
      <c r="D68" s="93">
        <v>0.16</v>
      </c>
      <c r="E68" s="94">
        <v>5.5E-2</v>
      </c>
      <c r="F68" s="93">
        <v>7.0000000000000007E-2</v>
      </c>
      <c r="G68" s="93">
        <v>0.25</v>
      </c>
      <c r="H68" s="93">
        <v>0.1</v>
      </c>
      <c r="I68" s="12"/>
      <c r="J68" s="319" t="s">
        <v>128</v>
      </c>
      <c r="K68" s="93">
        <v>7.0000000000000007E-2</v>
      </c>
      <c r="L68" s="93">
        <v>0.08</v>
      </c>
      <c r="M68" s="93">
        <v>0.08</v>
      </c>
      <c r="N68" s="93">
        <v>0.1</v>
      </c>
      <c r="O68" s="12"/>
      <c r="P68" s="3"/>
      <c r="Q68" s="261"/>
      <c r="R68" s="51"/>
      <c r="S68" s="51"/>
      <c r="T68" s="51"/>
      <c r="U68" s="51"/>
      <c r="V68" s="51"/>
      <c r="W68" s="51"/>
      <c r="X68" s="51"/>
      <c r="Y68" s="51"/>
      <c r="Z68" s="51"/>
    </row>
    <row r="69" spans="1:26">
      <c r="A69" s="319" t="s">
        <v>128</v>
      </c>
      <c r="B69" s="93">
        <v>7.0000000000000007E-2</v>
      </c>
      <c r="C69" s="93">
        <v>0.54</v>
      </c>
      <c r="D69" s="93">
        <v>0.16</v>
      </c>
      <c r="E69" s="94">
        <v>5.5E-2</v>
      </c>
      <c r="F69" s="93">
        <v>7.0000000000000007E-2</v>
      </c>
      <c r="G69" s="93">
        <v>0.25</v>
      </c>
      <c r="H69" s="93">
        <v>7.0000000000000007E-2</v>
      </c>
      <c r="I69" s="12"/>
      <c r="J69" s="319" t="s">
        <v>466</v>
      </c>
      <c r="K69" s="235">
        <v>3.5</v>
      </c>
      <c r="L69" s="7" t="s">
        <v>467</v>
      </c>
      <c r="M69" s="7" t="s">
        <v>467</v>
      </c>
      <c r="N69" s="7" t="s">
        <v>467</v>
      </c>
      <c r="O69" s="12"/>
      <c r="P69" s="3"/>
      <c r="Q69" s="261"/>
      <c r="R69" s="51"/>
      <c r="S69" s="51"/>
      <c r="T69" s="51"/>
      <c r="U69" s="51"/>
      <c r="V69" s="51"/>
      <c r="W69" s="51"/>
      <c r="X69" s="51"/>
      <c r="Y69" s="51"/>
      <c r="Z69" s="51"/>
    </row>
    <row r="70" spans="1:26">
      <c r="A70" s="319" t="s">
        <v>466</v>
      </c>
      <c r="B70" s="235">
        <v>3.5</v>
      </c>
      <c r="C70" s="7" t="s">
        <v>467</v>
      </c>
      <c r="D70" s="93">
        <v>0.16</v>
      </c>
      <c r="E70" s="7" t="s">
        <v>467</v>
      </c>
      <c r="F70" s="7" t="s">
        <v>467</v>
      </c>
      <c r="G70" s="7" t="s">
        <v>467</v>
      </c>
      <c r="H70" s="93">
        <v>0.05</v>
      </c>
      <c r="I70" s="12"/>
      <c r="J70" s="12"/>
      <c r="K70" s="12"/>
      <c r="L70" s="12"/>
      <c r="M70" s="12"/>
      <c r="N70" s="12"/>
      <c r="O70" s="12"/>
      <c r="P70" s="3"/>
      <c r="Q70" s="261"/>
      <c r="R70" s="51"/>
      <c r="S70" s="51"/>
      <c r="T70" s="51"/>
      <c r="U70" s="51"/>
      <c r="V70" s="51"/>
      <c r="W70" s="51"/>
      <c r="X70" s="51"/>
      <c r="Y70" s="51"/>
      <c r="Z70" s="51"/>
    </row>
    <row r="71" spans="1:26">
      <c r="A71" s="242" t="s">
        <v>935</v>
      </c>
      <c r="B71" s="171"/>
      <c r="C71" s="296"/>
      <c r="D71" s="296"/>
      <c r="E71" s="298"/>
      <c r="F71" s="296"/>
      <c r="G71" s="296"/>
      <c r="H71" s="296"/>
      <c r="I71" s="12"/>
      <c r="J71" s="12"/>
      <c r="K71" s="12"/>
      <c r="L71" s="12"/>
      <c r="M71" s="12"/>
      <c r="N71" s="12"/>
      <c r="O71" s="12"/>
      <c r="P71" s="3"/>
      <c r="Q71" s="261"/>
      <c r="R71" s="51"/>
      <c r="S71" s="51"/>
      <c r="T71" s="51"/>
      <c r="U71" s="51"/>
      <c r="V71" s="51"/>
      <c r="W71" s="51"/>
      <c r="X71" s="51"/>
      <c r="Y71" s="51"/>
      <c r="Z71" s="51"/>
    </row>
    <row r="72" spans="1:26">
      <c r="A72" s="7" t="s">
        <v>841</v>
      </c>
      <c r="B72" s="93" t="s">
        <v>451</v>
      </c>
      <c r="C72" s="93" t="s">
        <v>117</v>
      </c>
      <c r="D72" s="171"/>
      <c r="E72" s="299"/>
      <c r="F72" s="171"/>
      <c r="G72" s="171"/>
      <c r="H72" s="171"/>
      <c r="I72" s="12"/>
      <c r="J72" s="12"/>
      <c r="K72" s="12"/>
      <c r="L72" s="12"/>
      <c r="M72" s="12"/>
      <c r="N72" s="12"/>
      <c r="O72" s="12"/>
      <c r="P72" s="3"/>
      <c r="Q72" s="261"/>
      <c r="R72" s="51"/>
      <c r="S72" s="51"/>
      <c r="T72" s="51"/>
      <c r="U72" s="51"/>
      <c r="V72" s="51"/>
      <c r="W72" s="51"/>
      <c r="X72" s="51"/>
      <c r="Y72" s="51"/>
      <c r="Z72" s="51"/>
    </row>
    <row r="73" spans="1:26">
      <c r="A73" s="319" t="s">
        <v>842</v>
      </c>
      <c r="B73" s="340" t="s">
        <v>433</v>
      </c>
      <c r="C73" s="94">
        <f>'DCF Valuation'!B4</f>
        <v>4.2000000000000003E-2</v>
      </c>
      <c r="D73" s="171"/>
      <c r="E73" s="299"/>
      <c r="F73" s="171"/>
      <c r="G73" s="171"/>
      <c r="H73" s="171"/>
      <c r="I73" s="12"/>
      <c r="J73" s="12"/>
      <c r="K73" s="12"/>
      <c r="L73" s="12"/>
      <c r="M73" s="12"/>
      <c r="N73" s="12"/>
      <c r="O73" s="12"/>
      <c r="P73" s="3"/>
      <c r="Q73" s="261"/>
      <c r="R73" s="51"/>
      <c r="S73" s="51"/>
      <c r="T73" s="51"/>
      <c r="U73" s="51"/>
      <c r="V73" s="51"/>
      <c r="W73" s="51"/>
      <c r="X73" s="51"/>
      <c r="Y73" s="51"/>
      <c r="Z73" s="51"/>
    </row>
    <row r="74" spans="1:26">
      <c r="A74" s="319" t="s">
        <v>843</v>
      </c>
      <c r="B74" s="340" t="s">
        <v>434</v>
      </c>
      <c r="C74" s="93">
        <f>'DCF Valuation'!B5</f>
        <v>0.1</v>
      </c>
      <c r="D74" s="171"/>
      <c r="E74" s="299"/>
      <c r="F74" s="171"/>
      <c r="G74" s="171"/>
      <c r="H74" s="171"/>
      <c r="I74" s="12"/>
      <c r="J74" s="12"/>
      <c r="K74" s="12"/>
      <c r="L74" s="12"/>
      <c r="M74" s="12"/>
      <c r="N74" s="12"/>
      <c r="O74" s="12"/>
      <c r="P74" s="3"/>
      <c r="Q74" s="261"/>
      <c r="R74" s="51"/>
      <c r="S74" s="51"/>
      <c r="T74" s="51"/>
      <c r="U74" s="51"/>
      <c r="V74" s="51"/>
      <c r="W74" s="51"/>
      <c r="X74" s="51"/>
      <c r="Y74" s="51"/>
      <c r="Z74" s="51"/>
    </row>
    <row r="75" spans="1:26">
      <c r="A75" s="319" t="s">
        <v>844</v>
      </c>
      <c r="B75" s="340" t="s">
        <v>191</v>
      </c>
      <c r="C75" s="235" cm="1">
        <f t="array" ref="C75">Table23[Value]</f>
        <v>1.0354653976641053</v>
      </c>
      <c r="D75" s="171"/>
      <c r="E75" s="299"/>
      <c r="F75" s="171"/>
      <c r="G75" s="171"/>
      <c r="H75" s="171"/>
      <c r="I75" s="12"/>
      <c r="J75" s="12"/>
      <c r="K75" s="12"/>
      <c r="L75" s="12"/>
      <c r="M75" s="12"/>
      <c r="N75" s="12"/>
      <c r="O75" s="12"/>
      <c r="P75" s="3"/>
      <c r="Q75" s="261"/>
      <c r="R75" s="51"/>
      <c r="S75" s="51"/>
      <c r="T75" s="51"/>
      <c r="U75" s="51"/>
      <c r="V75" s="51"/>
      <c r="W75" s="51"/>
      <c r="X75" s="51"/>
      <c r="Y75" s="51"/>
      <c r="Z75" s="51"/>
    </row>
    <row r="76" spans="1:26">
      <c r="A76" s="319" t="s">
        <v>845</v>
      </c>
      <c r="B76" s="340" t="s">
        <v>846</v>
      </c>
      <c r="C76" s="94">
        <f>'DCF Valuation'!B15</f>
        <v>5.8000000000000003E-2</v>
      </c>
      <c r="D76" s="171"/>
      <c r="E76" s="299"/>
      <c r="F76" s="171"/>
      <c r="G76" s="171"/>
      <c r="H76" s="171"/>
      <c r="I76" s="12"/>
      <c r="J76" s="12"/>
      <c r="K76" s="12"/>
      <c r="L76" s="12"/>
      <c r="M76" s="12"/>
      <c r="N76" s="12"/>
      <c r="O76" s="12"/>
      <c r="P76" s="3"/>
      <c r="Q76" s="261"/>
      <c r="R76" s="51"/>
      <c r="S76" s="51"/>
      <c r="T76" s="51"/>
      <c r="U76" s="51"/>
      <c r="V76" s="51"/>
      <c r="W76" s="51"/>
      <c r="X76" s="51"/>
      <c r="Y76" s="51"/>
      <c r="Z76" s="51"/>
    </row>
    <row r="77" spans="1:26">
      <c r="A77" s="319" t="s">
        <v>847</v>
      </c>
      <c r="B77" s="340" t="s">
        <v>848</v>
      </c>
      <c r="C77" s="94">
        <f>'DCF Valuation'!B9</f>
        <v>0.10205699306451811</v>
      </c>
      <c r="D77" s="171"/>
      <c r="E77" s="299"/>
      <c r="F77" s="171"/>
      <c r="G77" s="171"/>
      <c r="H77" s="171"/>
      <c r="I77" s="12"/>
      <c r="J77" s="12"/>
      <c r="K77" s="12"/>
      <c r="L77" s="12"/>
      <c r="M77" s="12"/>
      <c r="N77" s="12"/>
      <c r="O77" s="12"/>
      <c r="P77" s="3"/>
      <c r="Q77" s="261"/>
      <c r="R77" s="51"/>
      <c r="S77" s="51"/>
      <c r="T77" s="51"/>
      <c r="U77" s="51"/>
      <c r="V77" s="51"/>
      <c r="W77" s="51"/>
      <c r="X77" s="51"/>
      <c r="Y77" s="51"/>
      <c r="Z77" s="51"/>
    </row>
    <row r="78" spans="1:26">
      <c r="A78" s="319" t="s">
        <v>849</v>
      </c>
      <c r="B78" s="340" t="s">
        <v>850</v>
      </c>
      <c r="C78" s="93">
        <v>0.03</v>
      </c>
      <c r="D78" s="171"/>
      <c r="E78" s="299"/>
      <c r="F78" s="171"/>
      <c r="G78" s="171"/>
      <c r="H78" s="171"/>
      <c r="I78" s="12"/>
      <c r="J78" s="12"/>
      <c r="K78" s="12"/>
      <c r="L78" s="12"/>
      <c r="M78" s="12"/>
      <c r="N78" s="12"/>
      <c r="O78" s="12"/>
      <c r="P78" s="3"/>
      <c r="Q78" s="261"/>
      <c r="R78" s="51"/>
      <c r="S78" s="51"/>
      <c r="T78" s="51"/>
      <c r="U78" s="51"/>
      <c r="V78" s="51"/>
      <c r="W78" s="51"/>
      <c r="X78" s="51"/>
      <c r="Y78" s="51"/>
      <c r="Z78" s="51"/>
    </row>
    <row r="79" spans="1:26">
      <c r="A79" s="339" t="s">
        <v>851</v>
      </c>
      <c r="B79" s="341" t="s">
        <v>852</v>
      </c>
      <c r="C79" s="240">
        <f>B50</f>
        <v>837.93457863359993</v>
      </c>
      <c r="D79" s="296"/>
      <c r="E79" s="298"/>
      <c r="F79" s="296"/>
      <c r="G79" s="296"/>
      <c r="H79" s="296"/>
      <c r="I79" s="12"/>
      <c r="J79" s="12"/>
      <c r="K79" s="12"/>
      <c r="L79" s="12"/>
      <c r="M79" s="12"/>
      <c r="N79" s="12"/>
      <c r="O79" s="12"/>
      <c r="P79" s="3"/>
      <c r="Q79" s="261"/>
      <c r="R79" s="51"/>
      <c r="S79" s="51"/>
      <c r="T79" s="51"/>
      <c r="U79" s="51"/>
      <c r="V79" s="51"/>
      <c r="W79" s="51"/>
      <c r="X79" s="51"/>
      <c r="Y79" s="51"/>
      <c r="Z79" s="51"/>
    </row>
    <row r="80" spans="1:26">
      <c r="A80" s="12"/>
      <c r="B80" s="12"/>
      <c r="C80" s="12"/>
      <c r="D80" s="12"/>
      <c r="E80" s="12"/>
      <c r="F80" s="12"/>
      <c r="G80" s="12"/>
      <c r="H80" s="12"/>
      <c r="I80" s="12"/>
      <c r="J80" s="12"/>
      <c r="K80" s="12"/>
      <c r="L80" s="12"/>
      <c r="M80" s="12"/>
      <c r="N80" s="12"/>
      <c r="O80" s="12"/>
      <c r="P80" s="3"/>
      <c r="Q80" s="261"/>
      <c r="R80" s="51"/>
      <c r="S80" s="51"/>
      <c r="T80" s="51"/>
      <c r="U80" s="51"/>
      <c r="V80" s="51"/>
      <c r="W80" s="51"/>
      <c r="X80" s="51"/>
      <c r="Y80" s="51"/>
      <c r="Z80" s="51"/>
    </row>
    <row r="81" spans="1:26">
      <c r="A81" s="22" t="s">
        <v>933</v>
      </c>
      <c r="B81" s="12"/>
      <c r="C81" s="12"/>
      <c r="D81" s="12"/>
      <c r="E81" s="12"/>
      <c r="F81" s="12"/>
      <c r="G81" s="12"/>
      <c r="H81" s="12"/>
      <c r="I81" s="12"/>
      <c r="J81" s="12"/>
      <c r="K81" s="12"/>
      <c r="L81" s="12"/>
      <c r="M81" s="12"/>
      <c r="N81" s="12"/>
      <c r="O81" s="12"/>
      <c r="P81" s="3"/>
      <c r="Q81" s="261"/>
      <c r="R81" s="51"/>
      <c r="S81" s="51"/>
      <c r="T81" s="51"/>
      <c r="U81" s="51"/>
      <c r="V81" s="51"/>
      <c r="W81" s="51"/>
      <c r="X81" s="51"/>
      <c r="Y81" s="51"/>
      <c r="Z81" s="51"/>
    </row>
    <row r="82" spans="1:26">
      <c r="A82" s="7" t="s">
        <v>411</v>
      </c>
      <c r="B82" s="7" t="s">
        <v>19</v>
      </c>
      <c r="C82" s="7" t="s">
        <v>202</v>
      </c>
      <c r="D82" s="7" t="s">
        <v>853</v>
      </c>
      <c r="E82" s="7" t="s">
        <v>854</v>
      </c>
      <c r="F82" s="7" t="s">
        <v>855</v>
      </c>
      <c r="G82" s="7" t="s">
        <v>207</v>
      </c>
      <c r="H82" s="12"/>
      <c r="I82" s="12"/>
      <c r="J82" s="12"/>
      <c r="K82" s="12"/>
      <c r="L82" s="12"/>
      <c r="M82" s="12"/>
      <c r="N82" s="12"/>
      <c r="O82" s="12"/>
      <c r="P82" s="3"/>
      <c r="Q82" s="261"/>
      <c r="R82" s="51"/>
      <c r="S82" s="51"/>
      <c r="T82" s="51"/>
      <c r="U82" s="51"/>
      <c r="V82" s="51"/>
      <c r="W82" s="51"/>
      <c r="X82" s="51"/>
      <c r="Y82" s="51"/>
      <c r="Z82" s="51"/>
    </row>
    <row r="83" spans="1:26">
      <c r="A83" s="319">
        <v>2025</v>
      </c>
      <c r="B83" s="238">
        <f>'Profit Loss'!G20</f>
        <v>14606.824680000003</v>
      </c>
      <c r="C83" s="239">
        <f>'Cash Flow'!G7</f>
        <v>946.41120000000012</v>
      </c>
      <c r="D83" s="239">
        <f>('Cash Flow'!G32-'Cash Flow'!G33)</f>
        <v>258.29999999999995</v>
      </c>
      <c r="E83" s="239">
        <f>'Cash Flow'!G24</f>
        <v>716.36625177599944</v>
      </c>
      <c r="F83" s="239">
        <v>0</v>
      </c>
      <c r="G83" s="238">
        <f>B83+C83-D83-E83+F83</f>
        <v>14578.569628224006</v>
      </c>
      <c r="H83" s="12"/>
      <c r="I83" s="12"/>
      <c r="J83" s="12"/>
      <c r="K83" s="12"/>
      <c r="L83" s="12"/>
      <c r="M83" s="12"/>
      <c r="N83" s="12"/>
      <c r="O83" s="12"/>
      <c r="P83" s="3"/>
      <c r="Q83" s="261"/>
      <c r="R83" s="51"/>
      <c r="S83" s="51"/>
      <c r="T83" s="51"/>
      <c r="U83" s="51"/>
      <c r="V83" s="51"/>
      <c r="W83" s="51"/>
      <c r="X83" s="51"/>
      <c r="Y83" s="51"/>
      <c r="Z83" s="51"/>
    </row>
    <row r="84" spans="1:26">
      <c r="A84" s="319">
        <v>2026</v>
      </c>
      <c r="B84" s="238">
        <f>'Profit Loss'!H20</f>
        <v>16827.111094079999</v>
      </c>
      <c r="C84" s="239">
        <f>'Cash Flow'!H7</f>
        <v>1033.7965007999999</v>
      </c>
      <c r="D84" s="239">
        <f>('Cash Flow'!H32-'Cash Flow'!H33)</f>
        <v>271.21500000000003</v>
      </c>
      <c r="E84" s="239">
        <f>'Cash Flow'!H24</f>
        <v>716.36625177599944</v>
      </c>
      <c r="F84" s="239">
        <v>0</v>
      </c>
      <c r="G84" s="238">
        <f>B84+C84-D84-E84+F84</f>
        <v>16873.326343104</v>
      </c>
      <c r="H84" s="12"/>
      <c r="I84" s="12"/>
      <c r="J84" s="12"/>
      <c r="K84" s="12"/>
      <c r="L84" s="12"/>
      <c r="M84" s="12"/>
      <c r="N84" s="12"/>
      <c r="O84" s="12"/>
      <c r="P84" s="3"/>
      <c r="Q84" s="261"/>
      <c r="R84" s="51"/>
      <c r="S84" s="51"/>
      <c r="T84" s="51"/>
      <c r="U84" s="51"/>
      <c r="V84" s="51"/>
      <c r="W84" s="51"/>
      <c r="X84" s="51"/>
      <c r="Y84" s="51"/>
      <c r="Z84" s="51"/>
    </row>
    <row r="85" spans="1:26">
      <c r="A85" s="319">
        <v>2027</v>
      </c>
      <c r="B85" s="238">
        <f>'Profit Loss'!I20</f>
        <v>19033.650836390399</v>
      </c>
      <c r="C85" s="239">
        <f>'Cash Flow'!I7</f>
        <v>1117.926147072</v>
      </c>
      <c r="D85" s="239">
        <f>('Cash Flow'!I32-'Cash Flow'!I33)</f>
        <v>284.77575000000002</v>
      </c>
      <c r="E85" s="239">
        <f>'Cash Flow'!I24</f>
        <v>716.36625177599944</v>
      </c>
      <c r="F85" s="239">
        <v>0</v>
      </c>
      <c r="G85" s="238">
        <f>B85+C85-D85-E85+F85</f>
        <v>19150.434981686401</v>
      </c>
      <c r="H85" s="12"/>
      <c r="I85" s="12"/>
      <c r="J85" s="12"/>
      <c r="K85" s="12"/>
      <c r="L85" s="12"/>
      <c r="M85" s="12"/>
      <c r="N85" s="12"/>
      <c r="O85" s="12"/>
      <c r="P85" s="3"/>
      <c r="Q85" s="261"/>
      <c r="R85" s="51"/>
      <c r="S85" s="51"/>
      <c r="T85" s="51"/>
      <c r="U85" s="51"/>
      <c r="V85" s="51"/>
      <c r="W85" s="51"/>
      <c r="X85" s="51"/>
      <c r="Y85" s="51"/>
      <c r="Z85" s="51"/>
    </row>
    <row r="86" spans="1:26">
      <c r="A86" s="319">
        <v>2028</v>
      </c>
      <c r="B86" s="238">
        <f>'Profit Loss'!J20</f>
        <v>21331.217946834437</v>
      </c>
      <c r="C86" s="239">
        <f>'Cash Flow'!J7</f>
        <v>1196.5802367052804</v>
      </c>
      <c r="D86" s="239">
        <f>('Cash Flow'!J32-'Cash Flow'!J33)</f>
        <v>299.01453750000007</v>
      </c>
      <c r="E86" s="239">
        <f>'Cash Flow'!J24</f>
        <v>716.36625177599944</v>
      </c>
      <c r="F86" s="239">
        <v>0</v>
      </c>
      <c r="G86" s="238">
        <f>B86+C86-D86-E86+F86</f>
        <v>21512.417394263721</v>
      </c>
      <c r="H86" s="12"/>
      <c r="I86" s="12"/>
      <c r="J86" s="12"/>
      <c r="K86" s="12"/>
      <c r="L86" s="12"/>
      <c r="M86" s="12"/>
      <c r="N86" s="12"/>
      <c r="O86" s="12"/>
      <c r="P86" s="3"/>
      <c r="Q86" s="261"/>
      <c r="R86" s="51"/>
      <c r="S86" s="51"/>
      <c r="T86" s="51"/>
      <c r="U86" s="51"/>
      <c r="V86" s="51"/>
      <c r="W86" s="51"/>
      <c r="X86" s="51"/>
      <c r="Y86" s="51"/>
      <c r="Z86" s="51"/>
    </row>
    <row r="87" spans="1:26">
      <c r="A87" s="319">
        <v>2029</v>
      </c>
      <c r="B87" s="238">
        <f>'Profit Loss'!K20</f>
        <v>23685.455210398472</v>
      </c>
      <c r="C87" s="239">
        <f>'Cash Flow'!K7</f>
        <v>1267.4886951767044</v>
      </c>
      <c r="D87" s="239">
        <f>('Cash Flow'!K32-'Cash Flow'!K33)</f>
        <v>313.96526437500006</v>
      </c>
      <c r="E87" s="239">
        <f>'Cash Flow'!K24</f>
        <v>716.36625177599944</v>
      </c>
      <c r="F87" s="239">
        <v>0</v>
      </c>
      <c r="G87" s="238">
        <f>B87+C87-D87-E87+F87</f>
        <v>23922.612389424175</v>
      </c>
      <c r="H87" s="12"/>
      <c r="I87" s="12"/>
      <c r="J87" s="12"/>
      <c r="K87" s="12"/>
      <c r="L87" s="12"/>
      <c r="M87" s="12"/>
      <c r="N87" s="12"/>
      <c r="O87" s="12"/>
      <c r="P87" s="3"/>
      <c r="Q87" s="261"/>
      <c r="R87" s="51"/>
      <c r="S87" s="51"/>
      <c r="T87" s="51"/>
      <c r="U87" s="51"/>
      <c r="V87" s="51"/>
      <c r="W87" s="51"/>
      <c r="X87" s="51"/>
      <c r="Y87" s="51"/>
      <c r="Z87" s="51"/>
    </row>
    <row r="88" spans="1:26">
      <c r="A88" s="12"/>
      <c r="B88" s="12"/>
      <c r="C88" s="12"/>
      <c r="D88" s="12"/>
      <c r="E88" s="12"/>
      <c r="F88" s="12"/>
      <c r="G88" s="12"/>
      <c r="H88" s="12"/>
      <c r="I88" s="12"/>
      <c r="J88" s="12"/>
      <c r="K88" s="12"/>
      <c r="L88" s="12"/>
      <c r="M88" s="12"/>
      <c r="N88" s="12"/>
      <c r="O88" s="12"/>
      <c r="P88" s="3"/>
      <c r="Q88" s="261"/>
      <c r="R88" s="51"/>
      <c r="S88" s="51"/>
      <c r="T88" s="51"/>
      <c r="U88" s="51"/>
      <c r="V88" s="51"/>
      <c r="W88" s="51"/>
      <c r="X88" s="51"/>
      <c r="Y88" s="51"/>
      <c r="Z88" s="51"/>
    </row>
    <row r="89" spans="1:26">
      <c r="A89" s="22" t="s">
        <v>856</v>
      </c>
      <c r="B89" s="12"/>
      <c r="C89" s="425"/>
      <c r="D89" s="425"/>
      <c r="E89" s="12"/>
      <c r="F89" s="12"/>
      <c r="G89" s="12"/>
      <c r="H89" s="12"/>
      <c r="I89" s="12"/>
      <c r="J89" s="12"/>
      <c r="K89" s="12"/>
      <c r="L89" s="12"/>
      <c r="M89" s="12"/>
      <c r="N89" s="12"/>
      <c r="O89" s="12"/>
      <c r="P89" s="3"/>
      <c r="Q89" s="261"/>
      <c r="R89" s="51"/>
      <c r="S89" s="51"/>
      <c r="T89" s="51"/>
      <c r="U89" s="51"/>
      <c r="V89" s="51"/>
      <c r="W89" s="51"/>
      <c r="X89" s="51"/>
      <c r="Y89" s="51"/>
      <c r="Z89" s="51"/>
    </row>
    <row r="90" spans="1:26">
      <c r="A90" s="7" t="s">
        <v>411</v>
      </c>
      <c r="B90" s="7" t="s">
        <v>207</v>
      </c>
      <c r="C90" s="7" t="s">
        <v>426</v>
      </c>
      <c r="D90" s="7" t="s">
        <v>857</v>
      </c>
      <c r="E90" s="12"/>
      <c r="F90" s="12"/>
      <c r="G90" s="12"/>
      <c r="H90" s="12"/>
      <c r="I90" s="12"/>
      <c r="J90" s="12"/>
      <c r="K90" s="12"/>
      <c r="L90" s="12"/>
      <c r="M90" s="12"/>
      <c r="N90" s="12"/>
      <c r="O90" s="12"/>
      <c r="P90" s="3"/>
      <c r="Q90" s="261"/>
      <c r="R90" s="51"/>
      <c r="S90" s="51"/>
      <c r="T90" s="51"/>
      <c r="U90" s="51"/>
      <c r="V90" s="51"/>
      <c r="W90" s="51"/>
      <c r="X90" s="51"/>
      <c r="Y90" s="51"/>
      <c r="Z90" s="51"/>
    </row>
    <row r="91" spans="1:26">
      <c r="A91" s="30">
        <f>A83</f>
        <v>2025</v>
      </c>
      <c r="B91" s="106">
        <f>G83</f>
        <v>14578.569628224006</v>
      </c>
      <c r="C91" s="22">
        <f>1/(1+$C$77)^1</f>
        <v>0.90739408786770126</v>
      </c>
      <c r="D91" s="22">
        <f>B91*C91</f>
        <v>13228.507890218094</v>
      </c>
      <c r="E91" s="12"/>
      <c r="F91" s="12"/>
      <c r="G91" s="12"/>
      <c r="H91" s="12"/>
      <c r="I91" s="12"/>
      <c r="J91" s="12"/>
      <c r="K91" s="12"/>
      <c r="L91" s="12"/>
      <c r="M91" s="12"/>
      <c r="N91" s="12"/>
      <c r="O91" s="12"/>
      <c r="P91" s="3"/>
      <c r="Q91" s="261"/>
      <c r="R91" s="51"/>
      <c r="S91" s="51"/>
      <c r="T91" s="51"/>
      <c r="U91" s="51"/>
      <c r="V91" s="51"/>
      <c r="W91" s="51"/>
      <c r="X91" s="51"/>
      <c r="Y91" s="51"/>
      <c r="Z91" s="51"/>
    </row>
    <row r="92" spans="1:26">
      <c r="A92" s="30">
        <f>A84</f>
        <v>2026</v>
      </c>
      <c r="B92" s="106">
        <f>G84</f>
        <v>16873.326343104</v>
      </c>
      <c r="C92" s="22">
        <f>1/(1+$C$77)^2</f>
        <v>0.82336403069725761</v>
      </c>
      <c r="D92" s="22">
        <f>B92*C92</f>
        <v>13892.889989128327</v>
      </c>
      <c r="E92" s="12"/>
      <c r="F92" s="12"/>
      <c r="G92" s="12"/>
      <c r="H92" s="12"/>
      <c r="I92" s="12"/>
      <c r="J92" s="12"/>
      <c r="K92" s="12"/>
      <c r="L92" s="12"/>
      <c r="M92" s="12"/>
      <c r="N92" s="12"/>
      <c r="O92" s="12"/>
      <c r="P92" s="3"/>
      <c r="Q92" s="261"/>
      <c r="R92" s="51"/>
      <c r="S92" s="51"/>
      <c r="T92" s="51"/>
      <c r="U92" s="51"/>
      <c r="V92" s="51"/>
      <c r="W92" s="51"/>
      <c r="X92" s="51"/>
      <c r="Y92" s="51"/>
      <c r="Z92" s="51"/>
    </row>
    <row r="93" spans="1:26">
      <c r="A93" s="30">
        <f>A85</f>
        <v>2027</v>
      </c>
      <c r="B93" s="106">
        <f>G85</f>
        <v>19150.434981686401</v>
      </c>
      <c r="C93" s="22">
        <f>1/(1+$C$77)^3</f>
        <v>0.74711565361761201</v>
      </c>
      <c r="D93" s="22">
        <f>B93*C93</f>
        <v>14307.589748404218</v>
      </c>
      <c r="E93" s="12"/>
      <c r="F93" s="12"/>
      <c r="G93" s="12"/>
      <c r="H93" s="12"/>
      <c r="I93" s="12"/>
      <c r="J93" s="12"/>
      <c r="K93" s="12"/>
      <c r="L93" s="12"/>
      <c r="M93" s="12"/>
      <c r="N93" s="12"/>
      <c r="O93" s="12"/>
      <c r="P93" s="3"/>
      <c r="Q93" s="261"/>
      <c r="R93" s="51"/>
      <c r="S93" s="51"/>
      <c r="T93" s="51"/>
      <c r="U93" s="51"/>
      <c r="V93" s="51"/>
      <c r="W93" s="51"/>
      <c r="X93" s="51"/>
      <c r="Y93" s="51"/>
      <c r="Z93" s="51"/>
    </row>
    <row r="94" spans="1:26">
      <c r="A94" s="30">
        <f>A86</f>
        <v>2028</v>
      </c>
      <c r="B94" s="106">
        <f>G86</f>
        <v>21512.417394263721</v>
      </c>
      <c r="C94" s="22">
        <f>1/(1+$C$77)^4</f>
        <v>0.67792832704603456</v>
      </c>
      <c r="D94" s="22">
        <f>B94*C94</f>
        <v>14583.877134809218</v>
      </c>
      <c r="E94" s="12"/>
      <c r="F94" s="12"/>
      <c r="G94" s="12"/>
      <c r="H94" s="12"/>
      <c r="I94" s="12"/>
      <c r="J94" s="12"/>
      <c r="K94" s="12"/>
      <c r="L94" s="12"/>
      <c r="M94" s="12"/>
      <c r="N94" s="12"/>
      <c r="O94" s="12"/>
      <c r="P94" s="3"/>
      <c r="Q94" s="261"/>
      <c r="R94" s="51"/>
      <c r="S94" s="51"/>
      <c r="T94" s="51"/>
      <c r="U94" s="51"/>
      <c r="V94" s="51"/>
      <c r="W94" s="51"/>
      <c r="X94" s="51"/>
      <c r="Y94" s="51"/>
      <c r="Z94" s="51"/>
    </row>
    <row r="95" spans="1:26">
      <c r="A95" s="30">
        <f>A87</f>
        <v>2029</v>
      </c>
      <c r="B95" s="106">
        <f>G87</f>
        <v>23922.612389424175</v>
      </c>
      <c r="C95" s="22">
        <f>1/(1+$C$77)^5</f>
        <v>0.61514815595961325</v>
      </c>
      <c r="D95" s="22">
        <f>B95*C95</f>
        <v>14715.950897090879</v>
      </c>
      <c r="E95" s="12"/>
      <c r="F95" s="12"/>
      <c r="G95" s="12"/>
      <c r="H95" s="12"/>
      <c r="I95" s="12"/>
      <c r="J95" s="12"/>
      <c r="K95" s="12"/>
      <c r="L95" s="12"/>
      <c r="M95" s="12"/>
      <c r="N95" s="12"/>
      <c r="O95" s="12"/>
      <c r="P95" s="3"/>
      <c r="Q95" s="261"/>
      <c r="R95" s="51"/>
      <c r="S95" s="51"/>
      <c r="T95" s="51"/>
      <c r="U95" s="51"/>
      <c r="V95" s="51"/>
      <c r="W95" s="51"/>
      <c r="X95" s="51"/>
      <c r="Y95" s="51"/>
      <c r="Z95" s="51"/>
    </row>
    <row r="96" spans="1:26">
      <c r="A96" s="30" t="s">
        <v>267</v>
      </c>
      <c r="B96" s="22">
        <f>G87*(1+C78)/(C77-C78)</f>
        <v>341955.57867706986</v>
      </c>
      <c r="C96" s="22"/>
      <c r="D96" s="22"/>
      <c r="E96" s="12"/>
      <c r="F96" s="12"/>
      <c r="G96" s="12"/>
      <c r="H96" s="12"/>
      <c r="I96" s="12"/>
      <c r="J96" s="12"/>
      <c r="K96" s="12"/>
      <c r="L96" s="12"/>
      <c r="M96" s="12"/>
      <c r="N96" s="12"/>
      <c r="O96" s="12"/>
      <c r="P96" s="3"/>
      <c r="Q96" s="261"/>
      <c r="R96" s="51"/>
      <c r="S96" s="51"/>
      <c r="T96" s="51"/>
      <c r="U96" s="51"/>
      <c r="V96" s="51"/>
      <c r="W96" s="51"/>
      <c r="X96" s="51"/>
      <c r="Y96" s="51"/>
      <c r="Z96" s="51"/>
    </row>
    <row r="97" spans="1:26">
      <c r="A97" s="30" t="s">
        <v>858</v>
      </c>
      <c r="B97" s="22">
        <f>B96*C95</f>
        <v>210353.34364330198</v>
      </c>
      <c r="C97" s="22"/>
      <c r="D97" s="22"/>
      <c r="E97" s="12"/>
      <c r="F97" s="12"/>
      <c r="G97" s="12"/>
      <c r="H97" s="12"/>
      <c r="I97" s="12"/>
      <c r="J97" s="12"/>
      <c r="K97" s="12"/>
      <c r="L97" s="12"/>
      <c r="M97" s="12"/>
      <c r="N97" s="12"/>
      <c r="O97" s="12"/>
      <c r="P97" s="3"/>
      <c r="Q97" s="261"/>
      <c r="R97" s="51"/>
      <c r="S97" s="51"/>
      <c r="T97" s="51"/>
      <c r="U97" s="51"/>
      <c r="V97" s="51"/>
      <c r="W97" s="51"/>
      <c r="X97" s="51"/>
      <c r="Y97" s="51"/>
      <c r="Z97" s="51"/>
    </row>
    <row r="98" spans="1:26">
      <c r="A98" s="30" t="s">
        <v>859</v>
      </c>
      <c r="B98" s="22">
        <f>SUM(D91:D95)+B97</f>
        <v>281082.1593029527</v>
      </c>
      <c r="C98" s="22"/>
      <c r="D98" s="22"/>
      <c r="E98" s="12"/>
      <c r="F98" s="12"/>
      <c r="G98" s="12"/>
      <c r="H98" s="12"/>
      <c r="I98" s="12"/>
      <c r="J98" s="12"/>
      <c r="K98" s="12"/>
      <c r="L98" s="12"/>
      <c r="M98" s="12"/>
      <c r="N98" s="12"/>
      <c r="O98" s="12"/>
      <c r="P98" s="3"/>
      <c r="Q98" s="261"/>
      <c r="R98" s="51"/>
      <c r="S98" s="51"/>
      <c r="T98" s="51"/>
      <c r="U98" s="51"/>
      <c r="V98" s="51"/>
      <c r="W98" s="51"/>
      <c r="X98" s="51"/>
      <c r="Y98" s="51"/>
      <c r="Z98" s="51"/>
    </row>
    <row r="99" spans="1:26">
      <c r="A99" s="30" t="s">
        <v>431</v>
      </c>
      <c r="B99" s="485">
        <f>B98/C79</f>
        <v>335.44642561631332</v>
      </c>
      <c r="C99" s="201"/>
      <c r="D99" s="22"/>
      <c r="E99" s="12"/>
      <c r="F99" s="12"/>
      <c r="G99" s="12"/>
      <c r="H99" s="12"/>
      <c r="I99" s="12"/>
      <c r="J99" s="12"/>
      <c r="K99" s="12"/>
      <c r="L99" s="12"/>
      <c r="M99" s="12"/>
      <c r="N99" s="12"/>
      <c r="O99" s="12"/>
      <c r="P99" s="3"/>
      <c r="Q99" s="261"/>
      <c r="R99" s="51"/>
      <c r="S99" s="51"/>
      <c r="T99" s="51"/>
      <c r="U99" s="51"/>
      <c r="V99" s="51"/>
      <c r="W99" s="51"/>
      <c r="X99" s="51"/>
      <c r="Y99" s="51"/>
      <c r="Z99" s="51"/>
    </row>
    <row r="100" spans="1:26">
      <c r="A100" s="30" t="s">
        <v>860</v>
      </c>
      <c r="B100" s="485">
        <v>450</v>
      </c>
      <c r="C100" s="201"/>
      <c r="D100" s="22"/>
      <c r="E100" s="12"/>
      <c r="F100" s="12"/>
      <c r="G100" s="12"/>
      <c r="H100" s="12"/>
      <c r="I100" s="12"/>
      <c r="J100" s="12"/>
      <c r="K100" s="12"/>
      <c r="L100" s="12"/>
      <c r="M100" s="12"/>
      <c r="N100" s="12"/>
      <c r="O100" s="12"/>
      <c r="P100" s="3"/>
      <c r="Q100" s="261"/>
      <c r="R100" s="51"/>
      <c r="S100" s="51"/>
      <c r="T100" s="51"/>
      <c r="U100" s="51"/>
      <c r="V100" s="51"/>
      <c r="W100" s="51"/>
      <c r="X100" s="51"/>
      <c r="Y100" s="51"/>
      <c r="Z100" s="51"/>
    </row>
    <row r="101" spans="1:26">
      <c r="A101" s="30" t="s">
        <v>861</v>
      </c>
      <c r="B101" s="99" t="str">
        <f>IF(B99&gt;B100,"BUY",IF(B99=B100,"HOLD","SELL"))</f>
        <v>SELL</v>
      </c>
      <c r="C101" s="201"/>
      <c r="D101" s="22"/>
      <c r="E101" s="12"/>
      <c r="F101" s="12"/>
      <c r="G101" s="12"/>
      <c r="H101" s="12"/>
      <c r="I101" s="12"/>
      <c r="J101" s="12"/>
      <c r="K101" s="12"/>
      <c r="L101" s="12"/>
      <c r="M101" s="12"/>
      <c r="N101" s="12"/>
      <c r="O101" s="12"/>
      <c r="P101" s="3"/>
      <c r="Q101" s="261"/>
      <c r="R101" s="51"/>
      <c r="S101" s="51"/>
      <c r="T101" s="51"/>
      <c r="U101" s="51"/>
      <c r="V101" s="51"/>
      <c r="W101" s="51"/>
      <c r="X101" s="51"/>
      <c r="Y101" s="51"/>
      <c r="Z101" s="51"/>
    </row>
    <row r="102" spans="1:26">
      <c r="A102" s="12"/>
      <c r="B102" s="12"/>
      <c r="C102" s="12"/>
      <c r="D102" s="12"/>
      <c r="E102" s="12"/>
      <c r="F102" s="12"/>
      <c r="G102" s="12"/>
      <c r="H102" s="12"/>
      <c r="I102" s="12"/>
      <c r="J102" s="12"/>
      <c r="K102" s="12"/>
      <c r="L102" s="12"/>
      <c r="M102" s="12"/>
      <c r="N102" s="12"/>
      <c r="O102" s="12"/>
      <c r="P102" s="3"/>
      <c r="Q102" s="261"/>
      <c r="R102" s="51"/>
      <c r="S102" s="51"/>
      <c r="T102" s="51"/>
      <c r="U102" s="51"/>
      <c r="V102" s="51"/>
      <c r="W102" s="51"/>
      <c r="X102" s="51"/>
      <c r="Y102" s="51"/>
      <c r="Z102" s="51"/>
    </row>
    <row r="103" spans="1:26">
      <c r="A103" s="172" t="s">
        <v>863</v>
      </c>
      <c r="B103" s="173" t="s">
        <v>284</v>
      </c>
      <c r="C103" s="12"/>
      <c r="D103" s="12"/>
      <c r="E103" s="12"/>
      <c r="F103" s="12"/>
      <c r="G103" s="12"/>
      <c r="H103" s="12"/>
      <c r="I103" s="12"/>
      <c r="J103" s="12"/>
      <c r="K103" s="12"/>
      <c r="L103" s="12"/>
      <c r="M103" s="12"/>
      <c r="N103" s="12"/>
      <c r="O103" s="12"/>
      <c r="P103" s="3"/>
      <c r="Q103" s="261"/>
      <c r="R103" s="51"/>
      <c r="S103" s="51"/>
      <c r="T103" s="51"/>
      <c r="U103" s="51"/>
      <c r="V103" s="51"/>
      <c r="W103" s="51"/>
      <c r="X103" s="51"/>
      <c r="Y103" s="51"/>
      <c r="Z103" s="51"/>
    </row>
    <row r="104" spans="1:26">
      <c r="A104" s="342" t="s">
        <v>502</v>
      </c>
      <c r="B104" s="486" t="str">
        <f>B101</f>
        <v>SELL</v>
      </c>
      <c r="C104" s="12"/>
      <c r="D104" s="12"/>
      <c r="E104" s="12"/>
      <c r="F104" s="12"/>
      <c r="G104" s="12"/>
      <c r="H104" s="12"/>
      <c r="I104" s="12"/>
      <c r="J104" s="12"/>
      <c r="K104" s="12"/>
      <c r="L104" s="12"/>
      <c r="M104" s="12"/>
      <c r="N104" s="12"/>
      <c r="O104" s="12"/>
      <c r="P104" s="3"/>
      <c r="Q104" s="261"/>
      <c r="R104" s="51"/>
      <c r="S104" s="51"/>
      <c r="T104" s="51"/>
      <c r="U104" s="51"/>
      <c r="V104" s="51"/>
      <c r="W104" s="51"/>
      <c r="X104" s="51"/>
      <c r="Y104" s="51"/>
      <c r="Z104" s="51"/>
    </row>
    <row r="105" spans="1:26">
      <c r="A105" s="342" t="s">
        <v>864</v>
      </c>
      <c r="B105" s="487">
        <f>B99</f>
        <v>335.44642561631332</v>
      </c>
      <c r="C105" s="12"/>
      <c r="D105" s="12"/>
      <c r="E105" s="12"/>
      <c r="F105" s="12"/>
      <c r="G105" s="12"/>
      <c r="H105" s="12"/>
      <c r="I105" s="12"/>
      <c r="J105" s="12"/>
      <c r="K105" s="12"/>
      <c r="L105" s="12"/>
      <c r="M105" s="12"/>
      <c r="N105" s="12"/>
      <c r="O105" s="12"/>
      <c r="P105" s="3"/>
      <c r="Q105" s="261"/>
      <c r="R105" s="51"/>
      <c r="S105" s="51"/>
      <c r="T105" s="51"/>
      <c r="U105" s="51"/>
      <c r="V105" s="51"/>
      <c r="W105" s="51"/>
      <c r="X105" s="51"/>
      <c r="Y105" s="51"/>
      <c r="Z105" s="51"/>
    </row>
    <row r="106" spans="1:26">
      <c r="A106" s="342" t="s">
        <v>865</v>
      </c>
      <c r="B106" s="487">
        <f>B100</f>
        <v>450</v>
      </c>
      <c r="C106" s="12"/>
      <c r="D106" s="12"/>
      <c r="E106" s="12"/>
      <c r="F106" s="12"/>
      <c r="G106" s="12"/>
      <c r="H106" s="12"/>
      <c r="I106" s="12"/>
      <c r="J106" s="12"/>
      <c r="K106" s="12"/>
      <c r="L106" s="12"/>
      <c r="M106" s="12"/>
      <c r="N106" s="12"/>
      <c r="O106" s="12"/>
      <c r="P106" s="3"/>
      <c r="Q106" s="261"/>
      <c r="R106" s="51"/>
      <c r="S106" s="51"/>
      <c r="T106" s="51"/>
      <c r="U106" s="51"/>
      <c r="V106" s="51"/>
      <c r="W106" s="51"/>
      <c r="X106" s="51"/>
      <c r="Y106" s="51"/>
      <c r="Z106" s="51"/>
    </row>
    <row r="107" spans="1:26">
      <c r="A107" s="343" t="s">
        <v>866</v>
      </c>
      <c r="B107" s="488">
        <f>(B105/B106)-1</f>
        <v>-0.25456349863041483</v>
      </c>
      <c r="C107" s="12"/>
      <c r="D107" s="12"/>
      <c r="E107" s="12"/>
      <c r="F107" s="12"/>
      <c r="G107" s="12"/>
      <c r="H107" s="12"/>
      <c r="I107" s="12"/>
      <c r="J107" s="12"/>
      <c r="K107" s="12"/>
      <c r="L107" s="12"/>
      <c r="M107" s="12"/>
      <c r="N107" s="12"/>
      <c r="O107" s="12"/>
      <c r="P107" s="3"/>
      <c r="Q107" s="261"/>
      <c r="R107" s="51"/>
      <c r="S107" s="51"/>
      <c r="T107" s="51"/>
      <c r="U107" s="51"/>
      <c r="V107" s="51"/>
      <c r="W107" s="51"/>
      <c r="X107" s="51"/>
      <c r="Y107" s="51"/>
      <c r="Z107" s="51"/>
    </row>
    <row r="108" spans="1:26">
      <c r="A108" s="12"/>
      <c r="B108" s="12"/>
      <c r="C108" s="12"/>
      <c r="D108" s="12"/>
      <c r="E108" s="12"/>
      <c r="F108" s="12"/>
      <c r="G108" s="12"/>
      <c r="H108" s="12"/>
      <c r="I108" s="12"/>
      <c r="J108" s="12"/>
      <c r="K108" s="12"/>
      <c r="L108" s="12"/>
      <c r="M108" s="12"/>
      <c r="N108" s="12"/>
      <c r="O108" s="12"/>
      <c r="P108" s="3"/>
      <c r="Q108" s="261"/>
      <c r="R108" s="51"/>
      <c r="S108" s="51"/>
      <c r="T108" s="51"/>
      <c r="U108" s="51"/>
      <c r="V108" s="51"/>
      <c r="W108" s="51"/>
      <c r="X108" s="51"/>
      <c r="Y108" s="51"/>
      <c r="Z108" s="51"/>
    </row>
    <row r="109" spans="1:26">
      <c r="A109" s="22" t="s">
        <v>936</v>
      </c>
      <c r="B109" s="12"/>
      <c r="C109" s="12"/>
      <c r="D109" s="22" t="s">
        <v>944</v>
      </c>
      <c r="E109" s="12"/>
      <c r="F109" s="12"/>
      <c r="G109" s="12"/>
      <c r="H109" s="12"/>
      <c r="I109" s="12"/>
      <c r="J109" s="12"/>
      <c r="K109" s="12"/>
      <c r="L109" s="12"/>
      <c r="M109" s="12"/>
      <c r="N109" s="12"/>
      <c r="O109" s="12"/>
      <c r="P109" s="3"/>
      <c r="Q109" s="261"/>
      <c r="R109" s="51"/>
      <c r="S109" s="51"/>
      <c r="T109" s="51"/>
      <c r="U109" s="51"/>
      <c r="V109" s="51"/>
      <c r="W109" s="51"/>
      <c r="X109" s="51"/>
      <c r="Y109" s="51"/>
      <c r="Z109" s="51"/>
    </row>
    <row r="110" spans="1:26">
      <c r="A110" s="22" t="s">
        <v>129</v>
      </c>
      <c r="B110" s="22" t="s">
        <v>117</v>
      </c>
      <c r="C110" s="12"/>
      <c r="D110" s="22" t="s">
        <v>411</v>
      </c>
      <c r="E110" s="22" t="s">
        <v>492</v>
      </c>
      <c r="F110" s="22" t="s">
        <v>941</v>
      </c>
      <c r="G110" s="22" t="s">
        <v>942</v>
      </c>
      <c r="H110" s="22" t="s">
        <v>940</v>
      </c>
      <c r="I110" s="127"/>
      <c r="J110" s="127"/>
      <c r="K110" s="127"/>
      <c r="L110" s="12"/>
      <c r="M110" s="12"/>
      <c r="N110" s="12"/>
      <c r="O110" s="12"/>
      <c r="P110" s="3"/>
      <c r="Q110" s="261"/>
      <c r="R110" s="51"/>
      <c r="S110" s="51"/>
      <c r="T110" s="51"/>
      <c r="U110" s="51"/>
      <c r="V110" s="51"/>
      <c r="W110" s="51"/>
      <c r="X110" s="51"/>
      <c r="Y110" s="51"/>
      <c r="Z110" s="51"/>
    </row>
    <row r="111" spans="1:26">
      <c r="A111" s="30" t="s">
        <v>433</v>
      </c>
      <c r="B111" s="97">
        <f>'DCF Valuation'!B4</f>
        <v>4.2000000000000003E-2</v>
      </c>
      <c r="C111" s="12"/>
      <c r="D111" s="30" t="s">
        <v>943</v>
      </c>
      <c r="E111" s="236">
        <f>'Profit Loss'!F4</f>
        <v>28167</v>
      </c>
      <c r="F111" s="26">
        <v>0.1</v>
      </c>
      <c r="G111" s="236">
        <f t="shared" ref="G111:G116" si="0">E111*F111</f>
        <v>2816.7000000000003</v>
      </c>
      <c r="H111" s="237" t="s">
        <v>277</v>
      </c>
      <c r="I111" s="295"/>
      <c r="J111" s="171"/>
      <c r="K111" s="295"/>
      <c r="L111" s="12"/>
      <c r="M111" s="12"/>
      <c r="N111" s="12"/>
      <c r="O111" s="12"/>
      <c r="P111" s="3"/>
      <c r="Q111" s="261"/>
      <c r="R111" s="51"/>
      <c r="S111" s="51"/>
      <c r="T111" s="51"/>
      <c r="U111" s="51"/>
      <c r="V111" s="51"/>
      <c r="W111" s="51"/>
      <c r="X111" s="51"/>
      <c r="Y111" s="51"/>
      <c r="Z111" s="51"/>
    </row>
    <row r="112" spans="1:26">
      <c r="A112" s="30" t="s">
        <v>191</v>
      </c>
      <c r="B112" s="22">
        <f>'DCF Valuation'!B6</f>
        <v>1.0354653976641053</v>
      </c>
      <c r="C112" s="12"/>
      <c r="D112" s="30" t="s">
        <v>124</v>
      </c>
      <c r="E112" s="236">
        <f>'Profit Loss'!G4</f>
        <v>31547.040000000005</v>
      </c>
      <c r="F112" s="26">
        <v>0.1</v>
      </c>
      <c r="G112" s="236">
        <f t="shared" si="0"/>
        <v>3154.7040000000006</v>
      </c>
      <c r="H112" s="237">
        <f>G112-G111</f>
        <v>338.00400000000036</v>
      </c>
      <c r="I112" s="295"/>
      <c r="J112" s="171"/>
      <c r="K112" s="295"/>
      <c r="L112" s="12"/>
      <c r="M112" s="12"/>
      <c r="N112" s="12"/>
      <c r="O112" s="12"/>
      <c r="P112" s="3"/>
      <c r="Q112" s="261"/>
      <c r="R112" s="51"/>
      <c r="S112" s="51"/>
      <c r="T112" s="51"/>
      <c r="U112" s="51"/>
      <c r="V112" s="51"/>
      <c r="W112" s="51"/>
      <c r="X112" s="51"/>
      <c r="Y112" s="51"/>
      <c r="Z112" s="51"/>
    </row>
    <row r="113" spans="1:26">
      <c r="A113" s="30" t="s">
        <v>435</v>
      </c>
      <c r="B113" s="97">
        <f>'DCF Valuation'!B15</f>
        <v>5.8000000000000003E-2</v>
      </c>
      <c r="C113" s="12"/>
      <c r="D113" s="30" t="s">
        <v>125</v>
      </c>
      <c r="E113" s="236">
        <f>'Profit Loss'!H4</f>
        <v>35648.155200000001</v>
      </c>
      <c r="F113" s="26">
        <v>0.1</v>
      </c>
      <c r="G113" s="236">
        <f t="shared" si="0"/>
        <v>3564.8155200000001</v>
      </c>
      <c r="H113" s="237">
        <f>G113-G112</f>
        <v>410.11151999999947</v>
      </c>
      <c r="I113" s="295"/>
      <c r="J113" s="171"/>
      <c r="K113" s="295"/>
      <c r="L113" s="12"/>
      <c r="M113" s="12"/>
      <c r="N113" s="12"/>
      <c r="O113" s="12"/>
      <c r="P113" s="3"/>
      <c r="Q113" s="261"/>
      <c r="R113" s="51"/>
      <c r="S113" s="51"/>
      <c r="T113" s="51"/>
      <c r="U113" s="51"/>
      <c r="V113" s="51"/>
      <c r="W113" s="51"/>
      <c r="X113" s="51"/>
      <c r="Y113" s="51"/>
      <c r="Z113" s="51"/>
    </row>
    <row r="114" spans="1:26">
      <c r="A114" s="30" t="s">
        <v>193</v>
      </c>
      <c r="B114" s="97">
        <f>'DCF Valuation'!B9</f>
        <v>0.10205699306451811</v>
      </c>
      <c r="C114" s="12"/>
      <c r="D114" s="30" t="s">
        <v>126</v>
      </c>
      <c r="E114" s="236">
        <f>'Profit Loss'!I4</f>
        <v>39925.933824000007</v>
      </c>
      <c r="F114" s="26">
        <v>0.1</v>
      </c>
      <c r="G114" s="236">
        <f t="shared" si="0"/>
        <v>3992.5933824000008</v>
      </c>
      <c r="H114" s="237">
        <f>G114-G113</f>
        <v>427.77786240000069</v>
      </c>
      <c r="I114" s="295"/>
      <c r="J114" s="171"/>
      <c r="K114" s="295"/>
      <c r="L114" s="12"/>
      <c r="M114" s="12"/>
      <c r="N114" s="12"/>
      <c r="O114" s="12"/>
      <c r="P114" s="3"/>
      <c r="Q114" s="261"/>
      <c r="R114" s="51"/>
      <c r="S114" s="51"/>
      <c r="T114" s="51"/>
      <c r="U114" s="51"/>
      <c r="V114" s="51"/>
      <c r="W114" s="51"/>
      <c r="X114" s="51"/>
      <c r="Y114" s="51"/>
      <c r="Z114" s="51"/>
    </row>
    <row r="115" spans="1:26">
      <c r="A115" s="30" t="s">
        <v>937</v>
      </c>
      <c r="B115" s="97">
        <f>'DCF Valuation'!B10</f>
        <v>3.5000000000000003E-2</v>
      </c>
      <c r="C115" s="12"/>
      <c r="D115" s="30" t="s">
        <v>127</v>
      </c>
      <c r="E115" s="236">
        <f>'Profit Loss'!J4</f>
        <v>44317.78654464001</v>
      </c>
      <c r="F115" s="26">
        <v>0.1</v>
      </c>
      <c r="G115" s="236">
        <f t="shared" si="0"/>
        <v>4431.7786544640012</v>
      </c>
      <c r="H115" s="237">
        <f>G115-G114</f>
        <v>439.1852720640004</v>
      </c>
      <c r="I115" s="295"/>
      <c r="J115" s="171"/>
      <c r="K115" s="295"/>
      <c r="L115" s="12"/>
      <c r="M115" s="12"/>
      <c r="N115" s="12"/>
      <c r="O115" s="12"/>
      <c r="P115" s="3"/>
      <c r="Q115" s="261"/>
      <c r="R115" s="51"/>
      <c r="S115" s="51"/>
      <c r="T115" s="51"/>
      <c r="U115" s="51"/>
      <c r="V115" s="51"/>
      <c r="W115" s="51"/>
      <c r="X115" s="51"/>
      <c r="Y115" s="51"/>
      <c r="Z115" s="51"/>
    </row>
    <row r="116" spans="1:26">
      <c r="A116" s="30" t="s">
        <v>118</v>
      </c>
      <c r="B116" s="26">
        <f>'DCF Valuation'!B7</f>
        <v>0.16</v>
      </c>
      <c r="C116" s="12"/>
      <c r="D116" s="30" t="s">
        <v>128</v>
      </c>
      <c r="E116" s="236">
        <f>'Profit Loss'!K4</f>
        <v>48749.565199104014</v>
      </c>
      <c r="F116" s="26">
        <v>0.1</v>
      </c>
      <c r="G116" s="236">
        <f t="shared" si="0"/>
        <v>4874.9565199104018</v>
      </c>
      <c r="H116" s="237">
        <f>G116-G115</f>
        <v>443.17786544640057</v>
      </c>
      <c r="I116" s="295"/>
      <c r="J116" s="171"/>
      <c r="K116" s="295"/>
      <c r="L116" s="12"/>
      <c r="M116" s="12"/>
      <c r="N116" s="12"/>
      <c r="O116" s="12"/>
      <c r="P116" s="3"/>
      <c r="Q116" s="261"/>
      <c r="R116" s="51"/>
      <c r="S116" s="51"/>
      <c r="T116" s="51"/>
      <c r="U116" s="51"/>
      <c r="V116" s="51"/>
      <c r="W116" s="51"/>
      <c r="X116" s="51"/>
      <c r="Y116" s="51"/>
      <c r="Z116" s="51"/>
    </row>
    <row r="117" spans="1:26">
      <c r="A117" s="30" t="s">
        <v>938</v>
      </c>
      <c r="B117" s="97">
        <f>'DCF Valuation'!B12</f>
        <v>0.1</v>
      </c>
      <c r="C117" s="12"/>
      <c r="D117" s="12"/>
      <c r="E117" s="12"/>
      <c r="F117" s="12"/>
      <c r="G117" s="12"/>
      <c r="H117" s="12"/>
      <c r="I117" s="12"/>
      <c r="J117" s="12"/>
      <c r="K117" s="12"/>
      <c r="L117" s="12"/>
      <c r="M117" s="12"/>
      <c r="N117" s="12"/>
      <c r="O117" s="12"/>
      <c r="P117" s="3"/>
      <c r="Q117" s="261"/>
      <c r="R117" s="51"/>
      <c r="S117" s="51"/>
      <c r="T117" s="51"/>
      <c r="U117" s="51"/>
      <c r="V117" s="51"/>
      <c r="W117" s="51"/>
      <c r="X117" s="51"/>
      <c r="Y117" s="51"/>
      <c r="Z117" s="51"/>
    </row>
    <row r="118" spans="1:26">
      <c r="A118" s="30" t="s">
        <v>939</v>
      </c>
      <c r="B118" s="97">
        <f>'DCF Valuation'!B11</f>
        <v>0.9</v>
      </c>
      <c r="C118" s="12"/>
      <c r="D118" s="12"/>
      <c r="E118" s="12"/>
      <c r="F118" s="12"/>
      <c r="G118" s="12"/>
      <c r="H118" s="12"/>
      <c r="I118" s="12"/>
      <c r="J118" s="12"/>
      <c r="K118" s="12"/>
      <c r="L118" s="12"/>
      <c r="M118" s="12"/>
      <c r="N118" s="12"/>
      <c r="O118" s="12"/>
      <c r="P118" s="3"/>
      <c r="Q118" s="261"/>
      <c r="R118" s="51"/>
      <c r="S118" s="51"/>
      <c r="T118" s="51"/>
      <c r="U118" s="51"/>
      <c r="V118" s="51"/>
      <c r="W118" s="51"/>
      <c r="X118" s="51"/>
      <c r="Y118" s="51"/>
      <c r="Z118" s="51"/>
    </row>
    <row r="119" spans="1:26">
      <c r="A119" s="30" t="s">
        <v>198</v>
      </c>
      <c r="B119" s="97">
        <f>'DCF Valuation'!B13</f>
        <v>9.4791293758066303E-2</v>
      </c>
      <c r="C119" s="12"/>
      <c r="D119" s="12"/>
      <c r="E119" s="12"/>
      <c r="F119" s="12"/>
      <c r="G119" s="12"/>
      <c r="H119" s="12"/>
      <c r="I119" s="12"/>
      <c r="J119" s="12"/>
      <c r="K119" s="12"/>
      <c r="L119" s="12"/>
      <c r="M119" s="12"/>
      <c r="N119" s="12"/>
      <c r="O119" s="12"/>
      <c r="P119" s="3"/>
      <c r="Q119" s="261"/>
      <c r="R119" s="51"/>
      <c r="S119" s="51"/>
      <c r="T119" s="51"/>
      <c r="U119" s="51"/>
      <c r="V119" s="51"/>
      <c r="W119" s="51"/>
      <c r="X119" s="51"/>
      <c r="Y119" s="51"/>
      <c r="Z119" s="51"/>
    </row>
    <row r="120" spans="1:26">
      <c r="A120" s="30" t="s">
        <v>787</v>
      </c>
      <c r="B120" s="97">
        <f>'DCF Valuation'!B8</f>
        <v>0.03</v>
      </c>
      <c r="C120" s="12"/>
      <c r="D120" s="12"/>
      <c r="E120" s="12"/>
      <c r="F120" s="12"/>
      <c r="G120" s="12"/>
      <c r="H120" s="12"/>
      <c r="I120" s="12"/>
      <c r="J120" s="12"/>
      <c r="K120" s="12"/>
      <c r="L120" s="12"/>
      <c r="M120" s="12"/>
      <c r="N120" s="12"/>
      <c r="O120" s="12"/>
      <c r="P120" s="3"/>
      <c r="Q120" s="261"/>
      <c r="R120" s="51"/>
      <c r="S120" s="51"/>
      <c r="T120" s="51"/>
      <c r="U120" s="51"/>
      <c r="V120" s="51"/>
      <c r="W120" s="51"/>
      <c r="X120" s="51"/>
      <c r="Y120" s="51"/>
      <c r="Z120" s="51"/>
    </row>
    <row r="121" spans="1:26">
      <c r="A121" s="30" t="s">
        <v>852</v>
      </c>
      <c r="B121" s="22">
        <v>837.93457863359993</v>
      </c>
      <c r="C121" s="12"/>
      <c r="D121" s="12"/>
      <c r="E121" s="12"/>
      <c r="F121" s="12"/>
      <c r="G121" s="12"/>
      <c r="H121" s="12"/>
      <c r="I121" s="12"/>
      <c r="J121" s="12"/>
      <c r="K121" s="12"/>
      <c r="L121" s="12"/>
      <c r="M121" s="12"/>
      <c r="N121" s="12"/>
      <c r="O121" s="12"/>
      <c r="P121" s="3"/>
      <c r="Q121" s="261"/>
      <c r="R121" s="51"/>
      <c r="S121" s="51"/>
      <c r="T121" s="51"/>
      <c r="U121" s="51"/>
      <c r="V121" s="51"/>
      <c r="W121" s="51"/>
      <c r="X121" s="51"/>
      <c r="Y121" s="51"/>
      <c r="Z121" s="51"/>
    </row>
    <row r="122" spans="1:26">
      <c r="A122" s="12"/>
      <c r="B122" s="12"/>
      <c r="C122" s="12"/>
      <c r="D122" s="12"/>
      <c r="E122" s="12"/>
      <c r="F122" s="12"/>
      <c r="G122" s="12"/>
      <c r="H122" s="12"/>
      <c r="I122" s="12"/>
      <c r="J122" s="12"/>
      <c r="K122" s="12"/>
      <c r="L122" s="12"/>
      <c r="M122" s="12"/>
      <c r="N122" s="12"/>
      <c r="O122" s="12"/>
      <c r="P122" s="3"/>
      <c r="Q122" s="261"/>
      <c r="R122" s="51"/>
      <c r="S122" s="51"/>
      <c r="T122" s="51"/>
      <c r="U122" s="51"/>
      <c r="V122" s="51"/>
      <c r="W122" s="51"/>
      <c r="X122" s="51"/>
      <c r="Y122" s="51"/>
      <c r="Z122" s="51"/>
    </row>
    <row r="123" spans="1:26">
      <c r="A123" s="22" t="s">
        <v>945</v>
      </c>
      <c r="B123" s="12"/>
      <c r="C123" s="12"/>
      <c r="D123" s="12"/>
      <c r="E123" s="12"/>
      <c r="F123" s="12"/>
      <c r="G123" s="12"/>
      <c r="H123" s="12"/>
      <c r="I123" s="12"/>
      <c r="J123" s="12"/>
      <c r="K123" s="12"/>
      <c r="L123" s="12"/>
      <c r="M123" s="12"/>
      <c r="N123" s="12"/>
      <c r="O123" s="12"/>
      <c r="P123" s="3"/>
      <c r="Q123" s="261"/>
      <c r="R123" s="51"/>
      <c r="S123" s="51"/>
      <c r="T123" s="51"/>
      <c r="U123" s="51"/>
      <c r="V123" s="51"/>
      <c r="W123" s="51"/>
      <c r="X123" s="51"/>
      <c r="Y123" s="51"/>
      <c r="Z123" s="51"/>
    </row>
    <row r="124" spans="1:26">
      <c r="A124" s="22" t="s">
        <v>411</v>
      </c>
      <c r="B124" s="22" t="s">
        <v>200</v>
      </c>
      <c r="C124" s="22" t="s">
        <v>118</v>
      </c>
      <c r="D124" s="22" t="s">
        <v>762</v>
      </c>
      <c r="E124" s="22" t="s">
        <v>202</v>
      </c>
      <c r="F124" s="22" t="s">
        <v>853</v>
      </c>
      <c r="G124" s="22" t="s">
        <v>940</v>
      </c>
      <c r="H124" s="22" t="s">
        <v>205</v>
      </c>
      <c r="I124" s="12"/>
      <c r="J124" s="12"/>
      <c r="K124" s="12"/>
      <c r="L124" s="12"/>
      <c r="M124" s="12"/>
      <c r="N124" s="12"/>
      <c r="O124" s="12"/>
      <c r="P124" s="3"/>
      <c r="Q124" s="261"/>
      <c r="R124" s="51"/>
      <c r="S124" s="51"/>
      <c r="T124" s="51"/>
      <c r="U124" s="51"/>
      <c r="V124" s="51"/>
      <c r="W124" s="51"/>
      <c r="X124" s="51"/>
      <c r="Y124" s="51"/>
      <c r="Z124" s="51"/>
    </row>
    <row r="125" spans="1:26">
      <c r="A125" s="30" t="s">
        <v>124</v>
      </c>
      <c r="B125" s="106">
        <f>'Profit Loss'!G25</f>
        <v>18297.283200000002</v>
      </c>
      <c r="C125" s="26">
        <f>B116</f>
        <v>0.16</v>
      </c>
      <c r="D125" s="22">
        <f>B125*(1-C125)</f>
        <v>15369.717888000001</v>
      </c>
      <c r="E125" s="234">
        <f>'Profit Loss'!G8</f>
        <v>946.41120000000012</v>
      </c>
      <c r="F125" s="234">
        <f>D83</f>
        <v>258.29999999999995</v>
      </c>
      <c r="G125" s="234">
        <f>H112</f>
        <v>338.00400000000036</v>
      </c>
      <c r="H125" s="106">
        <f>D125+E125-F125-G125</f>
        <v>15719.825088000001</v>
      </c>
      <c r="I125" s="12"/>
      <c r="J125" s="12"/>
      <c r="K125" s="12"/>
      <c r="L125" s="12"/>
      <c r="M125" s="12"/>
      <c r="N125" s="12"/>
      <c r="O125" s="12"/>
      <c r="P125" s="3"/>
      <c r="Q125" s="261"/>
      <c r="R125" s="51"/>
      <c r="S125" s="51"/>
      <c r="T125" s="51"/>
      <c r="U125" s="51"/>
      <c r="V125" s="51"/>
      <c r="W125" s="51"/>
      <c r="X125" s="51"/>
      <c r="Y125" s="51"/>
      <c r="Z125" s="51"/>
    </row>
    <row r="126" spans="1:26">
      <c r="A126" s="30" t="s">
        <v>125</v>
      </c>
      <c r="B126" s="106">
        <f>'Profit Loss'!H25</f>
        <v>20996.763412799999</v>
      </c>
      <c r="C126" s="26">
        <f>B116</f>
        <v>0.16</v>
      </c>
      <c r="D126" s="22">
        <f>B126*(1-C126)</f>
        <v>17637.281266751997</v>
      </c>
      <c r="E126" s="234">
        <f>'Profit Loss'!H8</f>
        <v>1033.7965007999999</v>
      </c>
      <c r="F126" s="234">
        <f>D84</f>
        <v>271.21500000000003</v>
      </c>
      <c r="G126" s="106">
        <f>H113</f>
        <v>410.11151999999947</v>
      </c>
      <c r="H126" s="106">
        <f>D126+E126-F126-G126</f>
        <v>17989.751247551998</v>
      </c>
      <c r="I126" s="12"/>
      <c r="J126" s="12"/>
      <c r="K126" s="12"/>
      <c r="L126" s="12"/>
      <c r="M126" s="12"/>
      <c r="N126" s="12"/>
      <c r="O126" s="12"/>
      <c r="P126" s="3"/>
      <c r="Q126" s="261"/>
      <c r="R126" s="51"/>
      <c r="S126" s="51"/>
      <c r="T126" s="51"/>
      <c r="U126" s="51"/>
      <c r="V126" s="51"/>
      <c r="W126" s="51"/>
      <c r="X126" s="51"/>
      <c r="Y126" s="51"/>
      <c r="Z126" s="51"/>
    </row>
    <row r="127" spans="1:26">
      <c r="A127" s="30" t="s">
        <v>126</v>
      </c>
      <c r="B127" s="106">
        <f>'Profit Loss'!I25</f>
        <v>23676.078757632004</v>
      </c>
      <c r="C127" s="26">
        <f>B116</f>
        <v>0.16</v>
      </c>
      <c r="D127" s="22">
        <f>B127*(1-C127)</f>
        <v>19887.906156410882</v>
      </c>
      <c r="E127" s="234">
        <f>'Profit Loss'!I8</f>
        <v>1117.926147072</v>
      </c>
      <c r="F127" s="234">
        <f>D85</f>
        <v>284.77575000000002</v>
      </c>
      <c r="G127" s="106">
        <f>H114</f>
        <v>427.77786240000069</v>
      </c>
      <c r="H127" s="106">
        <f>D127+E127-F127-G127</f>
        <v>20293.27869108288</v>
      </c>
      <c r="I127" s="12"/>
      <c r="J127" s="12"/>
      <c r="K127" s="12"/>
      <c r="L127" s="12"/>
      <c r="M127" s="12"/>
      <c r="N127" s="12"/>
      <c r="O127" s="12"/>
      <c r="P127" s="3"/>
      <c r="Q127" s="261"/>
      <c r="R127" s="51"/>
      <c r="S127" s="51"/>
      <c r="T127" s="51"/>
      <c r="U127" s="51"/>
      <c r="V127" s="51"/>
      <c r="W127" s="51"/>
      <c r="X127" s="51"/>
      <c r="Y127" s="51"/>
      <c r="Z127" s="51"/>
    </row>
    <row r="128" spans="1:26">
      <c r="A128" s="30" t="s">
        <v>127</v>
      </c>
      <c r="B128" s="106">
        <f>'Profit Loss'!J25</f>
        <v>26457.718567150088</v>
      </c>
      <c r="C128" s="26">
        <f>B116</f>
        <v>0.16</v>
      </c>
      <c r="D128" s="22">
        <f>B128*(1-C128)</f>
        <v>22224.483596406073</v>
      </c>
      <c r="E128" s="234">
        <f>'Profit Loss'!J8</f>
        <v>1196.5802367052804</v>
      </c>
      <c r="F128" s="234">
        <f>D86</f>
        <v>299.01453750000007</v>
      </c>
      <c r="G128" s="106">
        <f>H115</f>
        <v>439.1852720640004</v>
      </c>
      <c r="H128" s="106">
        <f>D128+E128-F128-G128</f>
        <v>22682.864023547354</v>
      </c>
      <c r="I128" s="12"/>
      <c r="J128" s="12"/>
      <c r="K128" s="12"/>
      <c r="L128" s="12"/>
      <c r="M128" s="12"/>
      <c r="N128" s="12"/>
      <c r="O128" s="12"/>
      <c r="P128" s="3"/>
      <c r="Q128" s="261"/>
      <c r="R128" s="51"/>
      <c r="S128" s="51"/>
      <c r="T128" s="51"/>
      <c r="U128" s="51"/>
      <c r="V128" s="51"/>
      <c r="W128" s="51"/>
      <c r="X128" s="51"/>
      <c r="Y128" s="51"/>
      <c r="Z128" s="51"/>
    </row>
    <row r="129" spans="1:26">
      <c r="A129" s="30" t="s">
        <v>128</v>
      </c>
      <c r="B129" s="106">
        <f>'Profit Loss'!K25</f>
        <v>29298.488684661512</v>
      </c>
      <c r="C129" s="26">
        <f>B116</f>
        <v>0.16</v>
      </c>
      <c r="D129" s="22">
        <f>B129*(1-C129)</f>
        <v>24610.730495115669</v>
      </c>
      <c r="E129" s="234">
        <f>'Profit Loss'!K8</f>
        <v>1267.4886951767044</v>
      </c>
      <c r="F129" s="234">
        <f>D87</f>
        <v>313.96526437500006</v>
      </c>
      <c r="G129" s="106">
        <f>H116</f>
        <v>443.17786544640057</v>
      </c>
      <c r="H129" s="106">
        <f>D129+E129-F129-G129</f>
        <v>25121.076060470972</v>
      </c>
      <c r="I129" s="12"/>
      <c r="J129" s="12"/>
      <c r="K129" s="12"/>
      <c r="L129" s="12"/>
      <c r="M129" s="12"/>
      <c r="N129" s="12"/>
      <c r="O129" s="12"/>
      <c r="P129" s="3"/>
      <c r="Q129" s="261"/>
      <c r="R129" s="51"/>
      <c r="S129" s="51"/>
      <c r="T129" s="51"/>
      <c r="U129" s="51"/>
      <c r="V129" s="51"/>
      <c r="W129" s="51"/>
      <c r="X129" s="51"/>
      <c r="Y129" s="51"/>
      <c r="Z129" s="51"/>
    </row>
    <row r="130" spans="1:26">
      <c r="A130" s="12"/>
      <c r="B130" s="12"/>
      <c r="C130" s="12"/>
      <c r="D130" s="12"/>
      <c r="E130" s="12"/>
      <c r="F130" s="12"/>
      <c r="G130" s="12"/>
      <c r="H130" s="12"/>
      <c r="I130" s="12"/>
      <c r="J130" s="12"/>
      <c r="K130" s="12"/>
      <c r="L130" s="12"/>
      <c r="M130" s="12"/>
      <c r="N130" s="12"/>
      <c r="O130" s="12"/>
      <c r="P130" s="3"/>
      <c r="Q130" s="261"/>
      <c r="R130" s="51"/>
      <c r="S130" s="51"/>
      <c r="T130" s="51"/>
      <c r="U130" s="51"/>
      <c r="V130" s="51"/>
      <c r="W130" s="51"/>
      <c r="X130" s="51"/>
      <c r="Y130" s="51"/>
      <c r="Z130" s="51"/>
    </row>
    <row r="131" spans="1:26">
      <c r="A131" s="22" t="s">
        <v>946</v>
      </c>
      <c r="B131" s="12"/>
      <c r="C131" s="12"/>
      <c r="D131" s="12"/>
      <c r="E131" s="12"/>
      <c r="F131" s="12"/>
      <c r="G131" s="12"/>
      <c r="H131" s="12"/>
      <c r="I131" s="12"/>
      <c r="J131" s="12"/>
      <c r="K131" s="12"/>
      <c r="L131" s="12"/>
      <c r="M131" s="12"/>
      <c r="N131" s="12"/>
      <c r="O131" s="12"/>
      <c r="P131" s="3"/>
      <c r="Q131" s="261"/>
      <c r="R131" s="51"/>
      <c r="S131" s="51"/>
      <c r="T131" s="51"/>
      <c r="U131" s="51"/>
      <c r="V131" s="51"/>
      <c r="W131" s="51"/>
      <c r="X131" s="51"/>
      <c r="Y131" s="51"/>
      <c r="Z131" s="51"/>
    </row>
    <row r="132" spans="1:26">
      <c r="A132" s="22" t="s">
        <v>411</v>
      </c>
      <c r="B132" s="22" t="s">
        <v>205</v>
      </c>
      <c r="C132" s="22" t="s">
        <v>1621</v>
      </c>
      <c r="D132" s="22" t="s">
        <v>947</v>
      </c>
      <c r="E132" s="22" t="s">
        <v>948</v>
      </c>
      <c r="F132" s="12"/>
      <c r="G132" s="12"/>
      <c r="H132" s="12"/>
      <c r="I132" s="12"/>
      <c r="J132" s="12"/>
      <c r="K132" s="12"/>
      <c r="L132" s="12"/>
      <c r="M132" s="12"/>
      <c r="N132" s="12"/>
      <c r="O132" s="12"/>
      <c r="P132" s="3"/>
      <c r="Q132" s="261"/>
      <c r="R132" s="51"/>
      <c r="S132" s="51"/>
      <c r="T132" s="51"/>
      <c r="U132" s="51"/>
      <c r="V132" s="51"/>
      <c r="W132" s="51"/>
      <c r="X132" s="51"/>
      <c r="Y132" s="51"/>
      <c r="Z132" s="51"/>
    </row>
    <row r="133" spans="1:26">
      <c r="A133" s="30">
        <v>2025</v>
      </c>
      <c r="B133" s="236">
        <f>H125</f>
        <v>15719.825088000001</v>
      </c>
      <c r="C133" s="22">
        <f>1/(1+$B$119)^1</f>
        <v>0.91341610560979314</v>
      </c>
      <c r="D133" s="236">
        <f>B133*C133</f>
        <v>14358.741412748084</v>
      </c>
      <c r="E133" s="236">
        <f>SUM(D133:D137)</f>
        <v>76595.877865083778</v>
      </c>
      <c r="F133" s="12"/>
      <c r="G133" s="12"/>
      <c r="H133" s="12"/>
      <c r="I133" s="12"/>
      <c r="J133" s="12"/>
      <c r="K133" s="12"/>
      <c r="L133" s="12"/>
      <c r="M133" s="12"/>
      <c r="N133" s="12"/>
      <c r="O133" s="12"/>
      <c r="P133" s="3"/>
      <c r="Q133" s="261"/>
      <c r="R133" s="51"/>
      <c r="S133" s="51"/>
      <c r="T133" s="51"/>
      <c r="U133" s="51"/>
      <c r="V133" s="51"/>
      <c r="W133" s="51"/>
      <c r="X133" s="51"/>
      <c r="Y133" s="51"/>
      <c r="Z133" s="51"/>
    </row>
    <row r="134" spans="1:26">
      <c r="A134" s="30">
        <v>2026</v>
      </c>
      <c r="B134" s="236">
        <f>H126</f>
        <v>17989.751247551998</v>
      </c>
      <c r="C134" s="22">
        <f>1/(1+$B$119)^2</f>
        <v>0.83432898198736083</v>
      </c>
      <c r="D134" s="236">
        <f>B134*C134</f>
        <v>15009.370844575913</v>
      </c>
      <c r="E134" s="22"/>
      <c r="F134" s="12"/>
      <c r="G134" s="12"/>
      <c r="H134" s="12"/>
      <c r="I134" s="12"/>
      <c r="J134" s="12"/>
      <c r="K134" s="12"/>
      <c r="L134" s="12"/>
      <c r="M134" s="12"/>
      <c r="N134" s="12"/>
      <c r="O134" s="12"/>
      <c r="P134" s="3"/>
      <c r="Q134" s="261"/>
      <c r="R134" s="51"/>
      <c r="S134" s="51"/>
      <c r="T134" s="51"/>
      <c r="U134" s="51"/>
      <c r="V134" s="51"/>
      <c r="W134" s="51"/>
      <c r="X134" s="51"/>
      <c r="Y134" s="51"/>
      <c r="Z134" s="51"/>
    </row>
    <row r="135" spans="1:26">
      <c r="A135" s="30">
        <v>2027</v>
      </c>
      <c r="B135" s="236">
        <f>H127</f>
        <v>20293.27869108288</v>
      </c>
      <c r="C135" s="22">
        <f>1/(1+$B$119)^3</f>
        <v>0.76208952952427833</v>
      </c>
      <c r="D135" s="236">
        <f>B135*C135</f>
        <v>15465.295210192415</v>
      </c>
      <c r="E135" s="22"/>
      <c r="F135" s="12"/>
      <c r="G135" s="12"/>
      <c r="H135" s="12"/>
      <c r="I135" s="12"/>
      <c r="J135" s="12"/>
      <c r="K135" s="12"/>
      <c r="L135" s="12"/>
      <c r="M135" s="12"/>
      <c r="N135" s="12"/>
      <c r="O135" s="12"/>
      <c r="P135" s="3"/>
      <c r="Q135" s="261"/>
      <c r="R135" s="51"/>
      <c r="S135" s="51"/>
      <c r="T135" s="51"/>
      <c r="U135" s="51"/>
      <c r="V135" s="51"/>
      <c r="W135" s="51"/>
      <c r="X135" s="51"/>
      <c r="Y135" s="51"/>
      <c r="Z135" s="51"/>
    </row>
    <row r="136" spans="1:26">
      <c r="A136" s="30">
        <v>2028</v>
      </c>
      <c r="B136" s="236">
        <f>H128</f>
        <v>22682.864023547354</v>
      </c>
      <c r="C136" s="22">
        <f>1/(1+$B$119)^4</f>
        <v>0.69610485018406576</v>
      </c>
      <c r="D136" s="236">
        <f>B136*C136</f>
        <v>15789.651662856966</v>
      </c>
      <c r="E136" s="22"/>
      <c r="F136" s="12"/>
      <c r="G136" s="12"/>
      <c r="H136" s="12"/>
      <c r="I136" s="12"/>
      <c r="J136" s="12"/>
      <c r="K136" s="12"/>
      <c r="L136" s="12"/>
      <c r="M136" s="12"/>
      <c r="N136" s="12"/>
      <c r="O136" s="12"/>
      <c r="P136" s="3"/>
      <c r="Q136" s="261"/>
      <c r="R136" s="51"/>
      <c r="S136" s="51"/>
      <c r="T136" s="51"/>
      <c r="U136" s="51"/>
      <c r="V136" s="51"/>
      <c r="W136" s="51"/>
      <c r="X136" s="51"/>
      <c r="Y136" s="51"/>
      <c r="Z136" s="51"/>
    </row>
    <row r="137" spans="1:26">
      <c r="A137" s="30">
        <v>2029</v>
      </c>
      <c r="B137" s="236">
        <f>H129</f>
        <v>25121.076060470972</v>
      </c>
      <c r="C137" s="22">
        <f>1/(1+$B$119)^5</f>
        <v>0.63583338135121781</v>
      </c>
      <c r="D137" s="236">
        <f>B137*C137</f>
        <v>15972.818734710389</v>
      </c>
      <c r="E137" s="22"/>
      <c r="F137" s="12"/>
      <c r="G137" s="12"/>
      <c r="H137" s="12"/>
      <c r="I137" s="12"/>
      <c r="J137" s="12"/>
      <c r="K137" s="12"/>
      <c r="L137" s="12"/>
      <c r="M137" s="12"/>
      <c r="N137" s="12"/>
      <c r="O137" s="12"/>
      <c r="P137" s="3"/>
      <c r="Q137" s="261"/>
      <c r="R137" s="51"/>
      <c r="S137" s="51"/>
      <c r="T137" s="51"/>
      <c r="U137" s="51"/>
      <c r="V137" s="51"/>
      <c r="W137" s="51"/>
      <c r="X137" s="51"/>
      <c r="Y137" s="51"/>
      <c r="Z137" s="51"/>
    </row>
    <row r="138" spans="1:26">
      <c r="A138" s="30" t="s">
        <v>267</v>
      </c>
      <c r="B138" s="22">
        <f>H129*(1+B120)/(B119-B120)</f>
        <v>399354.71020076342</v>
      </c>
      <c r="C138" s="12"/>
      <c r="D138" s="12"/>
      <c r="E138" s="12"/>
      <c r="F138" s="12"/>
      <c r="G138" s="12"/>
      <c r="H138" s="12"/>
      <c r="I138" s="12"/>
      <c r="J138" s="12"/>
      <c r="K138" s="12"/>
      <c r="L138" s="12"/>
      <c r="M138" s="12"/>
      <c r="N138" s="12"/>
      <c r="O138" s="12"/>
      <c r="P138" s="3"/>
      <c r="Q138" s="261"/>
      <c r="R138" s="51"/>
      <c r="S138" s="51"/>
      <c r="T138" s="51"/>
      <c r="U138" s="51"/>
      <c r="V138" s="51"/>
      <c r="W138" s="51"/>
      <c r="X138" s="51"/>
      <c r="Y138" s="51"/>
      <c r="Z138" s="51"/>
    </row>
    <row r="139" spans="1:26">
      <c r="A139" s="30" t="s">
        <v>858</v>
      </c>
      <c r="B139" s="22">
        <f>B138*C137</f>
        <v>253923.05574548707</v>
      </c>
      <c r="C139" s="12"/>
      <c r="D139" s="12"/>
      <c r="E139" s="12"/>
      <c r="F139" s="12"/>
      <c r="G139" s="12"/>
      <c r="H139" s="12"/>
      <c r="I139" s="12"/>
      <c r="J139" s="12"/>
      <c r="K139" s="12"/>
      <c r="L139" s="12"/>
      <c r="M139" s="12"/>
      <c r="N139" s="12"/>
      <c r="O139" s="12"/>
      <c r="P139" s="3"/>
      <c r="Q139" s="261"/>
      <c r="R139" s="51"/>
      <c r="S139" s="51"/>
      <c r="T139" s="51"/>
      <c r="U139" s="51"/>
      <c r="V139" s="51"/>
      <c r="W139" s="51"/>
      <c r="X139" s="51"/>
      <c r="Y139" s="51"/>
      <c r="Z139" s="51"/>
    </row>
    <row r="140" spans="1:26">
      <c r="A140" s="30" t="s">
        <v>211</v>
      </c>
      <c r="B140" s="236">
        <f>E133+B139</f>
        <v>330518.93361057085</v>
      </c>
      <c r="C140" s="12"/>
      <c r="D140" s="12"/>
      <c r="E140" s="12"/>
      <c r="F140" s="12"/>
      <c r="G140" s="12"/>
      <c r="H140" s="12"/>
      <c r="I140" s="12"/>
      <c r="J140" s="12"/>
      <c r="K140" s="12"/>
      <c r="L140" s="12"/>
      <c r="M140" s="12"/>
      <c r="N140" s="12"/>
      <c r="O140" s="12"/>
      <c r="P140" s="3"/>
      <c r="Q140" s="261"/>
      <c r="R140" s="51"/>
      <c r="S140" s="51"/>
      <c r="T140" s="51"/>
      <c r="U140" s="51"/>
      <c r="V140" s="51"/>
      <c r="W140" s="51"/>
      <c r="X140" s="51"/>
      <c r="Y140" s="51"/>
      <c r="Z140" s="51"/>
    </row>
    <row r="141" spans="1:26">
      <c r="A141" s="30" t="s">
        <v>430</v>
      </c>
      <c r="B141" s="236">
        <f>B140-0</f>
        <v>330518.93361057085</v>
      </c>
      <c r="C141" s="12"/>
      <c r="D141" s="12"/>
      <c r="E141" s="12"/>
      <c r="F141" s="12"/>
      <c r="G141" s="12"/>
      <c r="H141" s="12"/>
      <c r="I141" s="12"/>
      <c r="J141" s="12"/>
      <c r="K141" s="12"/>
      <c r="L141" s="12"/>
      <c r="M141" s="12"/>
      <c r="N141" s="12"/>
      <c r="O141" s="12"/>
      <c r="P141" s="3"/>
      <c r="Q141" s="261"/>
      <c r="R141" s="51"/>
      <c r="S141" s="51"/>
      <c r="T141" s="51"/>
      <c r="U141" s="51"/>
      <c r="V141" s="51"/>
      <c r="W141" s="51"/>
      <c r="X141" s="51"/>
      <c r="Y141" s="51"/>
      <c r="Z141" s="51"/>
    </row>
    <row r="142" spans="1:26">
      <c r="A142" s="30" t="s">
        <v>431</v>
      </c>
      <c r="B142" s="22">
        <f>B141/B121</f>
        <v>394.44479561822146</v>
      </c>
      <c r="C142" s="12"/>
      <c r="D142" s="12"/>
      <c r="E142" s="12"/>
      <c r="F142" s="12"/>
      <c r="G142" s="12"/>
      <c r="H142" s="12"/>
      <c r="I142" s="12"/>
      <c r="J142" s="12"/>
      <c r="K142" s="12"/>
      <c r="L142" s="12"/>
      <c r="M142" s="12"/>
      <c r="N142" s="12"/>
      <c r="O142" s="12"/>
      <c r="P142" s="3"/>
      <c r="Q142" s="261"/>
      <c r="R142" s="51"/>
      <c r="S142" s="51"/>
      <c r="T142" s="51"/>
      <c r="U142" s="51"/>
      <c r="V142" s="51"/>
      <c r="W142" s="51"/>
      <c r="X142" s="51"/>
      <c r="Y142" s="51"/>
      <c r="Z142" s="51"/>
    </row>
    <row r="143" spans="1:26">
      <c r="A143" s="30" t="s">
        <v>500</v>
      </c>
      <c r="B143" s="484">
        <v>450</v>
      </c>
      <c r="C143" s="137" t="s">
        <v>2191</v>
      </c>
      <c r="D143" s="12"/>
      <c r="E143" s="12"/>
      <c r="F143" s="12"/>
      <c r="G143" s="12"/>
      <c r="H143" s="12"/>
      <c r="I143" s="12"/>
      <c r="J143" s="12"/>
      <c r="K143" s="12"/>
      <c r="L143" s="12"/>
      <c r="M143" s="12"/>
      <c r="N143" s="12"/>
      <c r="O143" s="12"/>
      <c r="P143" s="3"/>
      <c r="Q143" s="261"/>
      <c r="R143" s="51"/>
      <c r="S143" s="51"/>
      <c r="T143" s="51"/>
      <c r="U143" s="51"/>
      <c r="V143" s="51"/>
      <c r="W143" s="51"/>
      <c r="X143" s="51"/>
      <c r="Y143" s="51"/>
      <c r="Z143" s="51"/>
    </row>
    <row r="144" spans="1:26">
      <c r="A144" s="30" t="s">
        <v>864</v>
      </c>
      <c r="B144" s="82">
        <f>B142</f>
        <v>394.44479561822146</v>
      </c>
      <c r="C144" s="137" t="s">
        <v>2192</v>
      </c>
      <c r="D144" s="12"/>
      <c r="E144" s="12"/>
      <c r="F144" s="12"/>
      <c r="G144" s="12"/>
      <c r="H144" s="12"/>
      <c r="I144" s="12"/>
      <c r="J144" s="12"/>
      <c r="K144" s="12"/>
      <c r="L144" s="12"/>
      <c r="M144" s="12"/>
      <c r="N144" s="12"/>
      <c r="O144" s="12"/>
      <c r="P144" s="3"/>
      <c r="Q144" s="261"/>
      <c r="R144" s="51"/>
      <c r="S144" s="51"/>
      <c r="T144" s="51"/>
      <c r="U144" s="51"/>
      <c r="V144" s="51"/>
      <c r="W144" s="51"/>
      <c r="X144" s="51"/>
      <c r="Y144" s="51"/>
      <c r="Z144" s="51"/>
    </row>
    <row r="145" spans="1:26">
      <c r="A145" s="30" t="s">
        <v>502</v>
      </c>
      <c r="B145" s="99" t="str">
        <f>IF(B142&gt;B143,"BUY",IF(B142=B143,"HOLD","SELL"))</f>
        <v>SELL</v>
      </c>
      <c r="C145" s="137" t="s">
        <v>2193</v>
      </c>
      <c r="D145" s="12"/>
      <c r="E145" s="12"/>
      <c r="F145" s="12"/>
      <c r="G145" s="12"/>
      <c r="H145" s="12"/>
      <c r="I145" s="12"/>
      <c r="J145" s="12"/>
      <c r="K145" s="12"/>
      <c r="L145" s="12"/>
      <c r="M145" s="12"/>
      <c r="N145" s="12"/>
      <c r="O145" s="12"/>
      <c r="P145" s="3"/>
      <c r="Q145" s="261"/>
      <c r="R145" s="51"/>
      <c r="S145" s="51"/>
      <c r="T145" s="51"/>
      <c r="U145" s="51"/>
      <c r="V145" s="51"/>
      <c r="W145" s="51"/>
      <c r="X145" s="51"/>
      <c r="Y145" s="51"/>
      <c r="Z145" s="51"/>
    </row>
    <row r="146" spans="1:26">
      <c r="A146" s="30" t="s">
        <v>501</v>
      </c>
      <c r="B146" s="134">
        <f>(B142-B143)/B143</f>
        <v>-0.12345600973728564</v>
      </c>
      <c r="C146" s="12"/>
      <c r="D146" s="12"/>
      <c r="E146" s="12"/>
      <c r="F146" s="12"/>
      <c r="G146" s="12"/>
      <c r="H146" s="12"/>
      <c r="I146" s="12"/>
      <c r="J146" s="12"/>
      <c r="K146" s="12"/>
      <c r="L146" s="12"/>
      <c r="M146" s="12"/>
      <c r="N146" s="12"/>
      <c r="O146" s="12"/>
      <c r="P146" s="3"/>
      <c r="Q146" s="261"/>
      <c r="R146" s="51"/>
      <c r="S146" s="51"/>
      <c r="T146" s="51"/>
      <c r="U146" s="51"/>
      <c r="V146" s="51"/>
      <c r="W146" s="51"/>
      <c r="X146" s="51"/>
      <c r="Y146" s="51"/>
      <c r="Z146" s="51"/>
    </row>
    <row r="147" spans="1:26">
      <c r="A147" s="137" t="s">
        <v>1786</v>
      </c>
      <c r="B147" s="137"/>
      <c r="C147" s="12"/>
      <c r="D147" s="12"/>
      <c r="E147" s="12"/>
      <c r="F147" s="12"/>
      <c r="G147" s="12"/>
      <c r="H147" s="12"/>
      <c r="I147" s="12"/>
      <c r="J147" s="12"/>
      <c r="K147" s="12"/>
      <c r="L147" s="12"/>
      <c r="M147" s="12"/>
      <c r="N147" s="12"/>
      <c r="O147" s="12"/>
      <c r="P147" s="3"/>
      <c r="Q147" s="261"/>
      <c r="R147" s="51"/>
      <c r="S147" s="51"/>
      <c r="T147" s="51"/>
      <c r="U147" s="51"/>
      <c r="V147" s="51"/>
      <c r="W147" s="51"/>
      <c r="X147" s="51"/>
      <c r="Y147" s="51"/>
      <c r="Z147" s="51"/>
    </row>
    <row r="148" spans="1:26">
      <c r="A148" s="12"/>
      <c r="B148" s="12"/>
      <c r="C148" s="12"/>
      <c r="D148" s="12"/>
      <c r="E148" s="12"/>
      <c r="F148" s="12"/>
      <c r="G148" s="12"/>
      <c r="H148" s="12"/>
      <c r="I148" s="12"/>
      <c r="J148" s="12"/>
      <c r="K148" s="12"/>
      <c r="L148" s="12"/>
      <c r="M148" s="12"/>
      <c r="N148" s="12"/>
      <c r="O148" s="12"/>
      <c r="P148" s="3"/>
      <c r="Q148" s="261"/>
      <c r="R148" s="51"/>
      <c r="S148" s="51"/>
      <c r="T148" s="51"/>
      <c r="U148" s="51"/>
      <c r="V148" s="51"/>
      <c r="W148" s="51"/>
      <c r="X148" s="51"/>
      <c r="Y148" s="51"/>
      <c r="Z148" s="51"/>
    </row>
    <row r="149" spans="1:26">
      <c r="A149" s="22" t="s">
        <v>956</v>
      </c>
      <c r="B149" s="12"/>
      <c r="C149" s="12"/>
      <c r="D149" s="12"/>
      <c r="E149" s="12"/>
      <c r="F149" s="12"/>
      <c r="G149" s="12"/>
      <c r="H149" s="12"/>
      <c r="I149" s="12"/>
      <c r="J149" s="12"/>
      <c r="K149" s="12"/>
      <c r="L149" s="12"/>
      <c r="M149" s="12"/>
      <c r="N149" s="12"/>
      <c r="O149" s="12"/>
      <c r="P149" s="3"/>
      <c r="Q149" s="261"/>
      <c r="R149" s="51"/>
      <c r="S149" s="51"/>
      <c r="T149" s="51"/>
      <c r="U149" s="51"/>
      <c r="V149" s="51"/>
      <c r="W149" s="51"/>
      <c r="X149" s="51"/>
      <c r="Y149" s="51"/>
      <c r="Z149" s="51"/>
    </row>
    <row r="150" spans="1:26">
      <c r="A150" s="22" t="s">
        <v>949</v>
      </c>
      <c r="B150" s="22" t="s">
        <v>864</v>
      </c>
      <c r="C150" s="12"/>
      <c r="D150" s="12"/>
      <c r="E150" s="12"/>
      <c r="F150" s="12"/>
      <c r="G150" s="12"/>
      <c r="H150" s="12"/>
      <c r="I150" s="12"/>
      <c r="J150" s="12"/>
      <c r="K150" s="12"/>
      <c r="L150" s="12"/>
      <c r="M150" s="12"/>
      <c r="N150" s="12"/>
      <c r="O150" s="12"/>
      <c r="P150" s="3"/>
      <c r="Q150" s="261"/>
      <c r="R150" s="51"/>
      <c r="S150" s="51"/>
      <c r="T150" s="51"/>
      <c r="U150" s="51"/>
      <c r="V150" s="51"/>
      <c r="W150" s="51"/>
      <c r="X150" s="51"/>
      <c r="Y150" s="51"/>
      <c r="Z150" s="51"/>
    </row>
    <row r="151" spans="1:26">
      <c r="A151" s="30" t="s">
        <v>950</v>
      </c>
      <c r="B151" s="22" t="s">
        <v>951</v>
      </c>
      <c r="C151" s="12"/>
      <c r="D151" s="12"/>
      <c r="E151" s="12"/>
      <c r="F151" s="12"/>
      <c r="G151" s="12"/>
      <c r="H151" s="12"/>
      <c r="I151" s="12"/>
      <c r="J151" s="12"/>
      <c r="K151" s="12"/>
      <c r="L151" s="12"/>
      <c r="M151" s="12"/>
      <c r="N151" s="12"/>
      <c r="O151" s="12"/>
      <c r="P151" s="3"/>
      <c r="Q151" s="261"/>
      <c r="R151" s="51"/>
      <c r="S151" s="51"/>
      <c r="T151" s="51"/>
      <c r="U151" s="51"/>
      <c r="V151" s="51"/>
      <c r="W151" s="51"/>
      <c r="X151" s="51"/>
      <c r="Y151" s="51"/>
      <c r="Z151" s="51"/>
    </row>
    <row r="152" spans="1:26">
      <c r="A152" s="30" t="s">
        <v>952</v>
      </c>
      <c r="B152" s="22" t="s">
        <v>953</v>
      </c>
      <c r="C152" s="12"/>
      <c r="D152" s="12"/>
      <c r="E152" s="12"/>
      <c r="F152" s="12"/>
      <c r="G152" s="12"/>
      <c r="H152" s="12"/>
      <c r="I152" s="12"/>
      <c r="J152" s="12"/>
      <c r="K152" s="12"/>
      <c r="L152" s="12"/>
      <c r="M152" s="12"/>
      <c r="N152" s="12"/>
      <c r="O152" s="12"/>
      <c r="P152" s="3"/>
      <c r="Q152" s="261"/>
      <c r="R152" s="51"/>
      <c r="S152" s="51"/>
      <c r="T152" s="51"/>
      <c r="U152" s="51"/>
      <c r="V152" s="51"/>
      <c r="W152" s="51"/>
      <c r="X152" s="51"/>
      <c r="Y152" s="51"/>
      <c r="Z152" s="51"/>
    </row>
    <row r="153" spans="1:26">
      <c r="A153" s="30" t="s">
        <v>954</v>
      </c>
      <c r="B153" s="22" t="s">
        <v>955</v>
      </c>
      <c r="C153" s="12"/>
      <c r="D153" s="12"/>
      <c r="E153" s="12"/>
      <c r="F153" s="12"/>
      <c r="G153" s="12"/>
      <c r="H153" s="12"/>
      <c r="I153" s="12"/>
      <c r="J153" s="12"/>
      <c r="K153" s="12"/>
      <c r="L153" s="12"/>
      <c r="M153" s="12"/>
      <c r="N153" s="12"/>
      <c r="O153" s="12"/>
      <c r="P153" s="3"/>
      <c r="Q153" s="261"/>
      <c r="R153" s="51"/>
      <c r="S153" s="51"/>
      <c r="T153" s="51"/>
      <c r="U153" s="51"/>
      <c r="V153" s="51"/>
      <c r="W153" s="51"/>
      <c r="X153" s="51"/>
      <c r="Y153" s="51"/>
      <c r="Z153" s="51"/>
    </row>
    <row r="154" spans="1:26">
      <c r="A154" s="12"/>
      <c r="B154" s="12"/>
      <c r="C154" s="12"/>
      <c r="D154" s="12"/>
      <c r="E154" s="12"/>
      <c r="F154" s="12"/>
      <c r="G154" s="12"/>
      <c r="H154" s="12"/>
      <c r="I154" s="12"/>
      <c r="J154" s="12"/>
      <c r="K154" s="12"/>
      <c r="L154" s="12"/>
      <c r="M154" s="12"/>
      <c r="N154" s="12"/>
      <c r="O154" s="12"/>
      <c r="P154" s="3"/>
      <c r="Q154" s="261"/>
      <c r="R154" s="51"/>
      <c r="S154" s="51"/>
      <c r="T154" s="51"/>
      <c r="U154" s="51"/>
      <c r="V154" s="51"/>
      <c r="W154" s="51"/>
      <c r="X154" s="51"/>
      <c r="Y154" s="51"/>
      <c r="Z154" s="51"/>
    </row>
    <row r="155" spans="1:26">
      <c r="A155" s="22" t="s">
        <v>1790</v>
      </c>
      <c r="B155" s="12"/>
      <c r="C155" s="12"/>
      <c r="D155" s="12"/>
      <c r="E155" s="12"/>
      <c r="F155" s="12"/>
      <c r="G155" s="12"/>
      <c r="H155" s="12"/>
      <c r="I155" s="12"/>
      <c r="J155" s="12"/>
      <c r="K155" s="12"/>
      <c r="L155" s="12"/>
      <c r="M155" s="12"/>
      <c r="N155" s="12"/>
      <c r="O155" s="12"/>
      <c r="P155" s="3"/>
      <c r="Q155" s="261"/>
      <c r="R155" s="51"/>
      <c r="S155" s="51"/>
      <c r="T155" s="51"/>
      <c r="U155" s="51"/>
      <c r="V155" s="51"/>
      <c r="W155" s="51"/>
      <c r="X155" s="51"/>
      <c r="Y155" s="51"/>
      <c r="Z155" s="51"/>
    </row>
    <row r="156" spans="1:26">
      <c r="A156" s="272" t="s">
        <v>442</v>
      </c>
      <c r="B156" s="272" t="s">
        <v>117</v>
      </c>
      <c r="C156" s="272" t="s">
        <v>822</v>
      </c>
      <c r="D156" s="272" t="s">
        <v>1222</v>
      </c>
      <c r="E156" s="12"/>
      <c r="F156" s="12"/>
      <c r="G156" s="12"/>
      <c r="H156" s="12"/>
      <c r="I156" s="12"/>
      <c r="J156" s="12"/>
      <c r="K156" s="12"/>
      <c r="L156" s="12"/>
      <c r="M156" s="12"/>
      <c r="N156" s="12"/>
      <c r="O156" s="12"/>
      <c r="P156" s="3"/>
      <c r="Q156" s="261"/>
      <c r="R156" s="51"/>
      <c r="S156" s="51"/>
      <c r="T156" s="51"/>
      <c r="U156" s="51"/>
      <c r="V156" s="51"/>
      <c r="W156" s="51"/>
      <c r="X156" s="51"/>
      <c r="Y156" s="51"/>
      <c r="Z156" s="51"/>
    </row>
    <row r="157" spans="1:26">
      <c r="A157" s="344" t="s">
        <v>1526</v>
      </c>
      <c r="B157" s="274">
        <v>444.78</v>
      </c>
      <c r="C157" s="275">
        <v>0.6</v>
      </c>
      <c r="D157" s="274">
        <v>266.87</v>
      </c>
      <c r="E157" s="12"/>
      <c r="F157" s="12"/>
      <c r="G157" s="12"/>
      <c r="H157" s="12"/>
      <c r="I157" s="12"/>
      <c r="J157" s="12"/>
      <c r="K157" s="12"/>
      <c r="L157" s="12"/>
      <c r="M157" s="12"/>
      <c r="N157" s="12"/>
      <c r="O157" s="12"/>
      <c r="P157" s="3"/>
      <c r="Q157" s="261"/>
      <c r="R157" s="51"/>
      <c r="S157" s="51"/>
      <c r="T157" s="51"/>
      <c r="U157" s="51"/>
      <c r="V157" s="51"/>
      <c r="W157" s="51"/>
      <c r="X157" s="51"/>
      <c r="Y157" s="51"/>
      <c r="Z157" s="51"/>
    </row>
    <row r="158" spans="1:26">
      <c r="A158" s="344" t="s">
        <v>261</v>
      </c>
      <c r="B158" s="274">
        <v>427.35</v>
      </c>
      <c r="C158" s="275">
        <v>0.4</v>
      </c>
      <c r="D158" s="274">
        <v>170.94</v>
      </c>
      <c r="E158" s="12"/>
      <c r="F158" s="12"/>
      <c r="G158" s="12"/>
      <c r="H158" s="12"/>
      <c r="I158" s="12"/>
      <c r="J158" s="12"/>
      <c r="K158" s="12"/>
      <c r="L158" s="12"/>
      <c r="M158" s="12"/>
      <c r="N158" s="12"/>
      <c r="O158" s="12"/>
      <c r="P158" s="3"/>
      <c r="Q158" s="261"/>
      <c r="R158" s="51"/>
      <c r="S158" s="51"/>
      <c r="T158" s="51"/>
      <c r="U158" s="51"/>
      <c r="V158" s="51"/>
      <c r="W158" s="51"/>
      <c r="X158" s="51"/>
      <c r="Y158" s="51"/>
      <c r="Z158" s="51"/>
    </row>
    <row r="159" spans="1:26">
      <c r="A159" s="344" t="s">
        <v>443</v>
      </c>
      <c r="B159" s="274">
        <v>66</v>
      </c>
      <c r="C159" s="275">
        <v>0</v>
      </c>
      <c r="D159" s="274" t="s">
        <v>465</v>
      </c>
      <c r="E159" s="12"/>
      <c r="F159" s="12"/>
      <c r="G159" s="12"/>
      <c r="H159" s="12"/>
      <c r="I159" s="12"/>
      <c r="J159" s="12"/>
      <c r="K159" s="12"/>
      <c r="L159" s="12"/>
      <c r="M159" s="12"/>
      <c r="N159" s="12"/>
      <c r="O159" s="12"/>
      <c r="P159" s="3"/>
      <c r="Q159" s="261"/>
      <c r="R159" s="51"/>
      <c r="S159" s="51"/>
      <c r="T159" s="51"/>
      <c r="U159" s="51"/>
      <c r="V159" s="51"/>
      <c r="W159" s="51"/>
      <c r="X159" s="51"/>
      <c r="Y159" s="51"/>
      <c r="Z159" s="51"/>
    </row>
    <row r="160" spans="1:26">
      <c r="A160" s="344" t="s">
        <v>207</v>
      </c>
      <c r="B160" s="274" t="s">
        <v>826</v>
      </c>
      <c r="C160" s="275">
        <v>0</v>
      </c>
      <c r="D160" s="274" t="s">
        <v>465</v>
      </c>
      <c r="E160" s="12"/>
      <c r="F160" s="12"/>
      <c r="G160" s="12"/>
      <c r="H160" s="12"/>
      <c r="I160" s="12"/>
      <c r="J160" s="12"/>
      <c r="K160" s="12"/>
      <c r="L160" s="12"/>
      <c r="M160" s="12"/>
      <c r="N160" s="12"/>
      <c r="O160" s="12"/>
      <c r="P160" s="3"/>
      <c r="Q160" s="261"/>
      <c r="R160" s="51"/>
      <c r="S160" s="51"/>
      <c r="T160" s="51"/>
      <c r="U160" s="51"/>
      <c r="V160" s="51"/>
      <c r="W160" s="51"/>
      <c r="X160" s="51"/>
      <c r="Y160" s="51"/>
      <c r="Z160" s="51"/>
    </row>
    <row r="161" spans="1:26">
      <c r="A161" s="273" t="s">
        <v>1223</v>
      </c>
      <c r="B161" s="273">
        <v>350</v>
      </c>
      <c r="C161" s="297"/>
      <c r="D161" s="297"/>
      <c r="E161" s="12"/>
      <c r="F161" s="12"/>
      <c r="G161" s="12"/>
      <c r="H161" s="12"/>
      <c r="I161" s="12"/>
      <c r="J161" s="12"/>
      <c r="K161" s="12"/>
      <c r="L161" s="12"/>
      <c r="M161" s="12"/>
      <c r="N161" s="12"/>
      <c r="O161" s="12"/>
      <c r="P161" s="3"/>
      <c r="Q161" s="261"/>
      <c r="R161" s="51"/>
      <c r="S161" s="51"/>
      <c r="T161" s="51"/>
      <c r="U161" s="51"/>
      <c r="V161" s="51"/>
      <c r="W161" s="51"/>
      <c r="X161" s="51"/>
      <c r="Y161" s="51"/>
      <c r="Z161" s="51"/>
    </row>
    <row r="162" spans="1:26">
      <c r="A162" s="273" t="s">
        <v>1527</v>
      </c>
      <c r="B162" s="297"/>
      <c r="C162" s="297"/>
      <c r="D162" s="297"/>
      <c r="E162" s="12"/>
      <c r="F162" s="12"/>
      <c r="G162" s="12"/>
      <c r="H162" s="12"/>
      <c r="I162" s="12"/>
      <c r="J162" s="12"/>
      <c r="K162" s="12"/>
      <c r="L162" s="12"/>
      <c r="M162" s="12"/>
      <c r="N162" s="12"/>
      <c r="O162" s="12"/>
      <c r="P162" s="3"/>
      <c r="Q162" s="261"/>
      <c r="R162" s="51"/>
      <c r="S162" s="51"/>
      <c r="T162" s="51"/>
      <c r="U162" s="51"/>
      <c r="V162" s="51"/>
      <c r="W162" s="51"/>
      <c r="X162" s="51"/>
      <c r="Y162" s="51"/>
      <c r="Z162" s="51"/>
    </row>
    <row r="163" spans="1:26">
      <c r="A163" s="272" t="s">
        <v>981</v>
      </c>
      <c r="B163" s="272" t="s">
        <v>502</v>
      </c>
      <c r="C163" s="297"/>
      <c r="D163" s="297"/>
      <c r="E163" s="12"/>
      <c r="F163" s="12"/>
      <c r="G163" s="12"/>
      <c r="H163" s="12"/>
      <c r="I163" s="12"/>
      <c r="J163" s="12"/>
      <c r="K163" s="12"/>
      <c r="L163" s="12"/>
      <c r="M163" s="12"/>
      <c r="N163" s="12"/>
      <c r="O163" s="12"/>
      <c r="P163" s="3"/>
      <c r="Q163" s="261"/>
      <c r="R163" s="51"/>
      <c r="S163" s="51"/>
      <c r="T163" s="51"/>
      <c r="U163" s="51"/>
      <c r="V163" s="51"/>
      <c r="W163" s="51"/>
      <c r="X163" s="51"/>
      <c r="Y163" s="51"/>
      <c r="Z163" s="51"/>
    </row>
    <row r="164" spans="1:26">
      <c r="A164" s="345">
        <v>0.15</v>
      </c>
      <c r="B164" s="421" t="s">
        <v>1419</v>
      </c>
      <c r="C164" s="297"/>
      <c r="D164" s="297"/>
      <c r="E164" s="12"/>
      <c r="F164" s="12"/>
      <c r="G164" s="12"/>
      <c r="H164" s="12"/>
      <c r="I164" s="12"/>
      <c r="J164" s="12"/>
      <c r="K164" s="12"/>
      <c r="L164" s="12"/>
      <c r="M164" s="12"/>
      <c r="N164" s="12"/>
      <c r="O164" s="12"/>
      <c r="P164" s="3"/>
      <c r="Q164" s="261"/>
      <c r="R164" s="51"/>
      <c r="S164" s="51"/>
      <c r="T164" s="51"/>
      <c r="U164" s="51"/>
      <c r="V164" s="51"/>
      <c r="W164" s="51"/>
      <c r="X164" s="51"/>
      <c r="Y164" s="51"/>
      <c r="Z164" s="51"/>
    </row>
    <row r="165" spans="1:26">
      <c r="A165" s="346" t="s">
        <v>1530</v>
      </c>
      <c r="B165" s="273" t="s">
        <v>1529</v>
      </c>
      <c r="C165" s="297"/>
      <c r="D165" s="297"/>
      <c r="E165" s="12"/>
      <c r="F165" s="12"/>
      <c r="G165" s="12"/>
      <c r="H165" s="12"/>
      <c r="I165" s="12"/>
      <c r="J165" s="12"/>
      <c r="K165" s="12"/>
      <c r="L165" s="12"/>
      <c r="M165" s="12"/>
      <c r="N165" s="12"/>
      <c r="O165" s="12"/>
      <c r="P165" s="3"/>
      <c r="Q165" s="261"/>
      <c r="R165" s="51"/>
      <c r="S165" s="51"/>
      <c r="T165" s="51"/>
      <c r="U165" s="51"/>
      <c r="V165" s="51"/>
      <c r="W165" s="51"/>
      <c r="X165" s="51"/>
      <c r="Y165" s="51"/>
      <c r="Z165" s="51"/>
    </row>
    <row r="166" spans="1:26">
      <c r="A166" s="320" t="s">
        <v>1531</v>
      </c>
      <c r="B166" s="420" t="s">
        <v>815</v>
      </c>
      <c r="C166" s="297"/>
      <c r="D166" s="297"/>
      <c r="E166" s="12"/>
      <c r="F166" s="12"/>
      <c r="G166" s="12"/>
      <c r="H166" s="12"/>
      <c r="I166" s="12"/>
      <c r="J166" s="12"/>
      <c r="K166" s="12"/>
      <c r="L166" s="12"/>
      <c r="M166" s="12"/>
      <c r="N166" s="12"/>
      <c r="O166" s="12"/>
      <c r="P166" s="3"/>
      <c r="Q166" s="261"/>
      <c r="R166" s="51"/>
      <c r="S166" s="51"/>
      <c r="T166" s="51"/>
      <c r="U166" s="51"/>
      <c r="V166" s="51"/>
      <c r="W166" s="51"/>
      <c r="X166" s="51"/>
      <c r="Y166" s="51"/>
      <c r="Z166" s="51"/>
    </row>
    <row r="167" spans="1:26">
      <c r="A167" s="347">
        <v>-5</v>
      </c>
      <c r="B167" s="422" t="s">
        <v>1186</v>
      </c>
      <c r="C167" s="297"/>
      <c r="D167" s="297"/>
      <c r="E167" s="12"/>
      <c r="F167" s="12"/>
      <c r="G167" s="12"/>
      <c r="H167" s="12"/>
      <c r="I167" s="12"/>
      <c r="J167" s="12"/>
      <c r="K167" s="12"/>
      <c r="L167" s="12"/>
      <c r="M167" s="12"/>
      <c r="N167" s="12"/>
      <c r="O167" s="12"/>
      <c r="P167" s="3"/>
      <c r="Q167" s="261"/>
      <c r="R167" s="51"/>
      <c r="S167" s="51"/>
      <c r="T167" s="51"/>
      <c r="U167" s="51"/>
      <c r="V167" s="51"/>
      <c r="W167" s="51"/>
      <c r="X167" s="51"/>
      <c r="Y167" s="51"/>
      <c r="Z167" s="51"/>
    </row>
    <row r="168" spans="1:26">
      <c r="A168" s="22" t="s">
        <v>981</v>
      </c>
      <c r="B168" s="134">
        <f>B146</f>
        <v>-0.12345600973728564</v>
      </c>
      <c r="C168" s="12"/>
      <c r="D168" s="12"/>
      <c r="E168" s="12"/>
      <c r="F168" s="12"/>
      <c r="G168" s="12"/>
      <c r="H168" s="12"/>
      <c r="I168" s="12"/>
      <c r="J168" s="12"/>
      <c r="K168" s="12"/>
      <c r="L168" s="12"/>
      <c r="M168" s="12"/>
      <c r="N168" s="12"/>
      <c r="O168" s="12"/>
      <c r="P168" s="3"/>
      <c r="Q168" s="261"/>
      <c r="R168" s="51"/>
      <c r="S168" s="51"/>
      <c r="T168" s="51"/>
      <c r="U168" s="51"/>
      <c r="V168" s="51"/>
      <c r="W168" s="51"/>
      <c r="X168" s="51"/>
      <c r="Y168" s="51"/>
      <c r="Z168" s="51"/>
    </row>
    <row r="169" spans="1:26">
      <c r="A169" s="22" t="s">
        <v>1528</v>
      </c>
      <c r="B169" s="99" t="s">
        <v>1186</v>
      </c>
      <c r="C169" s="12"/>
      <c r="D169" s="12"/>
      <c r="E169" s="12"/>
      <c r="F169" s="12"/>
      <c r="G169" s="12"/>
      <c r="H169" s="12"/>
      <c r="I169" s="12"/>
      <c r="J169" s="12"/>
      <c r="K169" s="12"/>
      <c r="L169" s="12"/>
      <c r="M169" s="12"/>
      <c r="N169" s="12"/>
      <c r="O169" s="12"/>
      <c r="P169" s="3"/>
      <c r="Q169" s="261"/>
      <c r="R169" s="51"/>
      <c r="S169" s="51"/>
      <c r="T169" s="51"/>
      <c r="U169" s="51"/>
      <c r="V169" s="51"/>
      <c r="W169" s="51"/>
      <c r="X169" s="51"/>
      <c r="Y169" s="51"/>
      <c r="Z169" s="51"/>
    </row>
    <row r="170" spans="1:26">
      <c r="A170" s="137" t="s">
        <v>1791</v>
      </c>
      <c r="B170" s="12"/>
      <c r="C170" s="12"/>
      <c r="D170" s="12"/>
      <c r="E170" s="12"/>
      <c r="F170" s="12"/>
      <c r="G170" s="12"/>
      <c r="H170" s="12"/>
      <c r="I170" s="12"/>
      <c r="J170" s="12"/>
      <c r="K170" s="12"/>
      <c r="L170" s="12"/>
      <c r="M170" s="12"/>
      <c r="N170" s="12"/>
      <c r="O170" s="12"/>
      <c r="P170" s="3"/>
      <c r="Q170" s="261"/>
      <c r="R170" s="51"/>
      <c r="S170" s="51"/>
      <c r="T170" s="51"/>
      <c r="U170" s="51"/>
      <c r="V170" s="51"/>
      <c r="W170" s="51"/>
      <c r="X170" s="51"/>
      <c r="Y170" s="51"/>
      <c r="Z170" s="51"/>
    </row>
    <row r="171" spans="1:26">
      <c r="A171" s="22" t="s">
        <v>1787</v>
      </c>
      <c r="B171" s="12"/>
      <c r="C171" s="12"/>
      <c r="D171" s="12"/>
      <c r="E171" s="12"/>
      <c r="F171" s="12"/>
      <c r="G171" s="12"/>
      <c r="H171" s="12"/>
      <c r="I171" s="12"/>
      <c r="J171" s="12"/>
      <c r="K171" s="12"/>
      <c r="L171" s="12"/>
      <c r="M171" s="12"/>
      <c r="N171" s="12"/>
      <c r="O171" s="12"/>
      <c r="P171" s="3"/>
      <c r="Q171" s="261"/>
      <c r="R171" s="51"/>
      <c r="S171" s="51"/>
      <c r="T171" s="51"/>
      <c r="U171" s="51"/>
      <c r="V171" s="51"/>
      <c r="W171" s="51"/>
      <c r="X171" s="51"/>
      <c r="Y171" s="51"/>
      <c r="Z171" s="51"/>
    </row>
    <row r="172" spans="1:26">
      <c r="A172" s="22" t="s">
        <v>451</v>
      </c>
      <c r="B172" s="22" t="s">
        <v>117</v>
      </c>
      <c r="C172" s="12"/>
      <c r="D172" s="12"/>
      <c r="E172" s="12"/>
      <c r="F172" s="12"/>
      <c r="G172" s="12"/>
      <c r="H172" s="12"/>
      <c r="I172" s="12"/>
      <c r="J172" s="12"/>
      <c r="K172" s="12"/>
      <c r="L172" s="12"/>
      <c r="M172" s="12"/>
      <c r="N172" s="12"/>
      <c r="O172" s="12"/>
      <c r="P172" s="3"/>
      <c r="Q172" s="261"/>
      <c r="R172" s="51"/>
      <c r="S172" s="51"/>
      <c r="T172" s="51"/>
      <c r="U172" s="51"/>
      <c r="V172" s="51"/>
      <c r="W172" s="51"/>
      <c r="X172" s="51"/>
      <c r="Y172" s="51"/>
      <c r="Z172" s="51"/>
    </row>
    <row r="173" spans="1:26">
      <c r="A173" s="30" t="s">
        <v>865</v>
      </c>
      <c r="B173" s="483">
        <v>450</v>
      </c>
      <c r="C173" s="12"/>
      <c r="D173" s="12"/>
      <c r="E173" s="12"/>
      <c r="F173" s="12"/>
      <c r="G173" s="12"/>
      <c r="H173" s="12"/>
      <c r="I173" s="12"/>
      <c r="J173" s="12"/>
      <c r="K173" s="12"/>
      <c r="L173" s="12"/>
      <c r="M173" s="12"/>
      <c r="N173" s="12"/>
      <c r="O173" s="12"/>
      <c r="P173" s="3"/>
      <c r="Q173" s="261"/>
      <c r="R173" s="51"/>
      <c r="S173" s="51"/>
      <c r="T173" s="51"/>
      <c r="U173" s="51"/>
      <c r="V173" s="51"/>
      <c r="W173" s="51"/>
      <c r="X173" s="51"/>
      <c r="Y173" s="51"/>
      <c r="Z173" s="51"/>
    </row>
    <row r="174" spans="1:26">
      <c r="A174" s="30" t="s">
        <v>864</v>
      </c>
      <c r="B174" s="82">
        <f>B161</f>
        <v>350</v>
      </c>
      <c r="C174" s="12"/>
      <c r="D174" s="12"/>
      <c r="E174" s="12"/>
      <c r="F174" s="12"/>
      <c r="G174" s="12"/>
      <c r="H174" s="12"/>
      <c r="I174" s="12"/>
      <c r="J174" s="12"/>
      <c r="K174" s="12"/>
      <c r="L174" s="12"/>
      <c r="M174" s="12"/>
      <c r="N174" s="12"/>
      <c r="O174" s="12"/>
      <c r="P174" s="3"/>
      <c r="Q174" s="261"/>
      <c r="R174" s="51"/>
      <c r="S174" s="51"/>
      <c r="T174" s="51"/>
      <c r="U174" s="51"/>
      <c r="V174" s="51"/>
      <c r="W174" s="51"/>
      <c r="X174" s="51"/>
      <c r="Y174" s="51"/>
      <c r="Z174" s="51"/>
    </row>
    <row r="175" spans="1:26">
      <c r="A175" s="30" t="s">
        <v>981</v>
      </c>
      <c r="B175" s="134">
        <f>B146</f>
        <v>-0.12345600973728564</v>
      </c>
      <c r="C175" s="12"/>
      <c r="D175" s="12"/>
      <c r="E175" s="12"/>
      <c r="F175" s="12"/>
      <c r="G175" s="12"/>
      <c r="H175" s="12"/>
      <c r="I175" s="12"/>
      <c r="J175" s="12"/>
      <c r="K175" s="12"/>
      <c r="L175" s="12"/>
      <c r="M175" s="12"/>
      <c r="N175" s="12"/>
      <c r="O175" s="12"/>
      <c r="P175" s="3"/>
      <c r="Q175" s="261"/>
      <c r="R175" s="51"/>
      <c r="S175" s="51"/>
      <c r="T175" s="51"/>
      <c r="U175" s="51"/>
      <c r="V175" s="51"/>
      <c r="W175" s="51"/>
      <c r="X175" s="51"/>
      <c r="Y175" s="51"/>
      <c r="Z175" s="51"/>
    </row>
    <row r="176" spans="1:26">
      <c r="A176" s="30" t="s">
        <v>502</v>
      </c>
      <c r="B176" s="99" t="str">
        <f>B145</f>
        <v>SELL</v>
      </c>
      <c r="C176" s="12"/>
      <c r="D176" s="12"/>
      <c r="E176" s="12"/>
      <c r="F176" s="12"/>
      <c r="G176" s="12"/>
      <c r="H176" s="12"/>
      <c r="I176" s="12"/>
      <c r="J176" s="12"/>
      <c r="K176" s="12"/>
      <c r="L176" s="12"/>
      <c r="M176" s="12"/>
      <c r="N176" s="12"/>
      <c r="O176" s="12"/>
      <c r="P176" s="3"/>
      <c r="Q176" s="261"/>
      <c r="R176" s="51"/>
      <c r="S176" s="51"/>
      <c r="T176" s="51"/>
      <c r="U176" s="51"/>
      <c r="V176" s="51"/>
      <c r="W176" s="51"/>
      <c r="X176" s="51"/>
      <c r="Y176" s="51"/>
      <c r="Z176" s="51"/>
    </row>
    <row r="177" spans="1:26">
      <c r="A177" s="30" t="s">
        <v>1378</v>
      </c>
      <c r="B177" s="22" t="s">
        <v>1387</v>
      </c>
      <c r="C177" s="12"/>
      <c r="D177" s="12"/>
      <c r="E177" s="12"/>
      <c r="F177" s="12"/>
      <c r="G177" s="12"/>
      <c r="H177" s="12"/>
      <c r="I177" s="12"/>
      <c r="J177" s="12"/>
      <c r="K177" s="12"/>
      <c r="L177" s="12"/>
      <c r="M177" s="12"/>
      <c r="N177" s="12"/>
      <c r="O177" s="12"/>
      <c r="P177" s="3"/>
      <c r="Q177" s="261"/>
      <c r="R177" s="51"/>
      <c r="S177" s="51"/>
      <c r="T177" s="51"/>
      <c r="U177" s="51"/>
      <c r="V177" s="51"/>
      <c r="W177" s="51"/>
      <c r="X177" s="51"/>
      <c r="Y177" s="51"/>
      <c r="Z177" s="51"/>
    </row>
    <row r="178" spans="1:26">
      <c r="A178" s="284"/>
      <c r="B178" s="284"/>
      <c r="C178" s="284"/>
      <c r="D178" s="284"/>
      <c r="E178" s="284"/>
      <c r="F178" s="284"/>
      <c r="G178" s="284"/>
      <c r="H178" s="284"/>
      <c r="I178" s="284"/>
      <c r="J178" s="284"/>
      <c r="K178" s="284"/>
      <c r="L178" s="284"/>
      <c r="M178" s="284"/>
      <c r="N178" s="284"/>
      <c r="O178" s="284"/>
      <c r="P178" s="198"/>
      <c r="Q178" s="201"/>
      <c r="R178" s="52"/>
      <c r="S178" s="52"/>
      <c r="T178" s="52"/>
      <c r="U178" s="52"/>
      <c r="V178" s="52"/>
      <c r="W178" s="52"/>
      <c r="X178" s="52"/>
      <c r="Y178" s="52"/>
      <c r="Z178" s="52"/>
    </row>
    <row r="179" spans="1:26">
      <c r="A179" s="162" t="s">
        <v>1789</v>
      </c>
      <c r="B179" s="379"/>
      <c r="C179" s="379"/>
      <c r="D179" s="379"/>
      <c r="E179" s="284"/>
      <c r="F179" s="284"/>
      <c r="G179" s="284"/>
      <c r="H179" s="284"/>
      <c r="I179" s="284"/>
      <c r="J179" s="284"/>
      <c r="K179" s="284"/>
      <c r="L179" s="284"/>
      <c r="M179" s="284"/>
      <c r="N179" s="284"/>
      <c r="O179" s="284"/>
      <c r="P179" s="198"/>
      <c r="Q179" s="201"/>
      <c r="R179" s="52"/>
      <c r="S179" s="52"/>
      <c r="T179" s="52"/>
      <c r="U179" s="52"/>
      <c r="V179" s="52"/>
      <c r="W179" s="52"/>
      <c r="X179" s="52"/>
      <c r="Y179" s="52"/>
      <c r="Z179" s="52"/>
    </row>
    <row r="180" spans="1:26">
      <c r="A180" s="162" t="s">
        <v>1792</v>
      </c>
      <c r="B180" s="380"/>
      <c r="C180" s="291"/>
      <c r="D180" s="291"/>
      <c r="E180" s="291"/>
      <c r="F180" s="291"/>
      <c r="G180" s="291"/>
      <c r="H180" s="291"/>
      <c r="I180" s="291"/>
      <c r="J180" s="291"/>
      <c r="K180" s="291"/>
      <c r="L180" s="291"/>
      <c r="M180" s="291"/>
      <c r="N180" s="291"/>
      <c r="O180" s="291"/>
      <c r="P180" s="201"/>
      <c r="Q180" s="201"/>
      <c r="R180" s="52"/>
      <c r="S180" s="52"/>
      <c r="T180" s="52"/>
      <c r="U180" s="52"/>
      <c r="V180" s="52"/>
      <c r="W180" s="52"/>
      <c r="X180" s="52"/>
      <c r="Y180" s="52"/>
      <c r="Z180" s="52"/>
    </row>
    <row r="181" spans="1:26">
      <c r="A181" s="162" t="s">
        <v>2194</v>
      </c>
      <c r="B181" s="291"/>
      <c r="C181" s="291"/>
      <c r="D181" s="291"/>
      <c r="E181" s="291"/>
      <c r="F181" s="291"/>
      <c r="G181" s="291"/>
      <c r="H181" s="291"/>
      <c r="I181" s="291"/>
      <c r="J181" s="291"/>
      <c r="K181" s="291"/>
      <c r="L181" s="291"/>
      <c r="M181" s="291"/>
      <c r="N181" s="291"/>
      <c r="O181" s="291"/>
      <c r="P181" s="201"/>
      <c r="Q181" s="201"/>
      <c r="R181" s="52"/>
      <c r="S181" s="52"/>
      <c r="T181" s="52"/>
      <c r="U181" s="52"/>
      <c r="V181" s="52"/>
      <c r="W181" s="52"/>
      <c r="X181" s="52"/>
      <c r="Y181" s="52"/>
      <c r="Z181" s="52"/>
    </row>
    <row r="182" spans="1:26">
      <c r="A182" s="162" t="s">
        <v>2195</v>
      </c>
      <c r="B182" s="291"/>
      <c r="C182" s="291"/>
      <c r="D182" s="291"/>
      <c r="E182" s="291"/>
      <c r="F182" s="291"/>
      <c r="G182" s="291"/>
      <c r="H182" s="291"/>
      <c r="I182" s="291"/>
      <c r="J182" s="291"/>
      <c r="K182" s="291"/>
      <c r="L182" s="291"/>
      <c r="M182" s="291"/>
      <c r="N182" s="291"/>
      <c r="O182" s="291"/>
      <c r="P182" s="201"/>
      <c r="Q182" s="201"/>
      <c r="R182" s="52"/>
      <c r="S182" s="52"/>
      <c r="T182" s="52"/>
      <c r="U182" s="52"/>
      <c r="V182" s="52"/>
      <c r="W182" s="52"/>
      <c r="X182" s="52"/>
      <c r="Y182" s="52"/>
      <c r="Z182" s="52"/>
    </row>
    <row r="183" spans="1:26">
      <c r="A183" s="162" t="s">
        <v>2345</v>
      </c>
      <c r="B183" s="291"/>
      <c r="C183" s="291"/>
      <c r="D183" s="291"/>
      <c r="E183" s="291"/>
      <c r="F183" s="291"/>
      <c r="G183" s="291"/>
      <c r="H183" s="291"/>
      <c r="I183" s="291"/>
      <c r="J183" s="291"/>
      <c r="K183" s="291"/>
      <c r="L183" s="291"/>
      <c r="M183" s="291"/>
      <c r="N183" s="291"/>
      <c r="O183" s="291"/>
      <c r="P183" s="201"/>
      <c r="Q183" s="201"/>
      <c r="R183" s="52"/>
      <c r="S183" s="52"/>
      <c r="T183" s="52"/>
      <c r="U183" s="52"/>
      <c r="V183" s="52"/>
      <c r="W183" s="52"/>
      <c r="X183" s="52"/>
      <c r="Y183" s="52"/>
      <c r="Z183" s="52"/>
    </row>
    <row r="184" spans="1:26">
      <c r="A184" s="291"/>
      <c r="B184" s="291"/>
      <c r="C184" s="291"/>
      <c r="D184" s="291"/>
      <c r="E184" s="291"/>
      <c r="F184" s="291"/>
      <c r="G184" s="291"/>
      <c r="H184" s="291"/>
      <c r="I184" s="291"/>
      <c r="J184" s="291"/>
      <c r="K184" s="291"/>
      <c r="L184" s="291"/>
      <c r="M184" s="291"/>
      <c r="N184" s="291"/>
      <c r="O184" s="291"/>
      <c r="P184" s="201"/>
      <c r="Q184" s="201"/>
      <c r="R184" s="52"/>
      <c r="S184" s="52"/>
      <c r="T184" s="52"/>
      <c r="U184" s="52"/>
      <c r="V184" s="52"/>
      <c r="W184" s="52"/>
      <c r="X184" s="52"/>
      <c r="Y184" s="52"/>
      <c r="Z184" s="52"/>
    </row>
    <row r="185" spans="1:26">
      <c r="A185" s="291"/>
      <c r="B185" s="291"/>
      <c r="C185" s="291"/>
      <c r="D185" s="291"/>
      <c r="E185" s="291"/>
      <c r="F185" s="291"/>
      <c r="G185" s="291"/>
      <c r="H185" s="291"/>
      <c r="I185" s="291"/>
      <c r="J185" s="291"/>
      <c r="K185" s="291"/>
      <c r="L185" s="291"/>
      <c r="M185" s="291"/>
      <c r="N185" s="291"/>
      <c r="O185" s="291"/>
      <c r="P185" s="201"/>
      <c r="Q185" s="201"/>
      <c r="R185" s="52"/>
      <c r="S185" s="52"/>
      <c r="T185" s="52"/>
      <c r="U185" s="52"/>
      <c r="V185" s="52"/>
      <c r="W185" s="52"/>
      <c r="X185" s="52"/>
      <c r="Y185" s="52"/>
      <c r="Z185" s="52"/>
    </row>
    <row r="186" spans="1:26">
      <c r="A186" s="291"/>
      <c r="B186" s="291"/>
      <c r="C186" s="291"/>
      <c r="D186" s="291"/>
      <c r="E186" s="291"/>
      <c r="F186" s="291"/>
      <c r="G186" s="291"/>
      <c r="H186" s="291"/>
      <c r="I186" s="291"/>
      <c r="J186" s="291"/>
      <c r="K186" s="291"/>
      <c r="L186" s="291"/>
      <c r="M186" s="291"/>
      <c r="N186" s="291"/>
      <c r="O186" s="291"/>
      <c r="P186" s="201"/>
      <c r="Q186" s="201"/>
      <c r="R186" s="52"/>
      <c r="S186" s="52"/>
      <c r="T186" s="52"/>
      <c r="U186" s="52"/>
      <c r="V186" s="52"/>
      <c r="W186" s="52"/>
      <c r="X186" s="52"/>
      <c r="Y186" s="52"/>
      <c r="Z186" s="52"/>
    </row>
    <row r="187" spans="1:26">
      <c r="A187" s="291"/>
      <c r="B187" s="291"/>
      <c r="C187" s="291"/>
      <c r="D187" s="291"/>
      <c r="E187" s="291"/>
      <c r="F187" s="291"/>
      <c r="G187" s="291"/>
      <c r="H187" s="291"/>
      <c r="I187" s="291"/>
      <c r="J187" s="291"/>
      <c r="K187" s="291"/>
      <c r="L187" s="291"/>
      <c r="M187" s="291"/>
      <c r="N187" s="291"/>
      <c r="O187" s="291"/>
      <c r="P187" s="201"/>
      <c r="Q187" s="201"/>
      <c r="R187" s="52"/>
      <c r="S187" s="52"/>
      <c r="T187" s="52"/>
      <c r="U187" s="52"/>
      <c r="V187" s="52"/>
      <c r="W187" s="52"/>
      <c r="X187" s="52"/>
      <c r="Y187" s="52"/>
      <c r="Z187" s="52"/>
    </row>
    <row r="188" spans="1:26">
      <c r="A188" s="291"/>
      <c r="B188" s="291"/>
      <c r="C188" s="291"/>
      <c r="D188" s="291"/>
      <c r="E188" s="291"/>
      <c r="F188" s="291"/>
      <c r="G188" s="291"/>
      <c r="H188" s="291"/>
      <c r="I188" s="291"/>
      <c r="J188" s="291"/>
      <c r="K188" s="291"/>
      <c r="L188" s="291"/>
      <c r="M188" s="291"/>
      <c r="N188" s="291"/>
      <c r="O188" s="291"/>
      <c r="P188" s="201"/>
      <c r="Q188" s="201"/>
      <c r="R188" s="52"/>
      <c r="S188" s="52"/>
      <c r="T188" s="52"/>
      <c r="U188" s="52"/>
      <c r="V188" s="52"/>
      <c r="W188" s="52"/>
      <c r="X188" s="52"/>
      <c r="Y188" s="52"/>
      <c r="Z188" s="52"/>
    </row>
    <row r="189" spans="1:26">
      <c r="A189" s="291"/>
      <c r="B189" s="291"/>
      <c r="C189" s="291"/>
      <c r="D189" s="291"/>
      <c r="E189" s="291"/>
      <c r="F189" s="291"/>
      <c r="G189" s="291"/>
      <c r="H189" s="291"/>
      <c r="I189" s="291"/>
      <c r="J189" s="291"/>
      <c r="K189" s="291"/>
      <c r="L189" s="291"/>
      <c r="M189" s="291"/>
      <c r="N189" s="291"/>
      <c r="O189" s="291"/>
      <c r="P189" s="201"/>
      <c r="Q189" s="201"/>
      <c r="R189" s="52"/>
      <c r="S189" s="52"/>
      <c r="T189" s="52"/>
      <c r="U189" s="52"/>
      <c r="V189" s="52"/>
      <c r="W189" s="52"/>
      <c r="X189" s="52"/>
      <c r="Y189" s="52"/>
      <c r="Z189" s="52"/>
    </row>
    <row r="190" spans="1:26">
      <c r="A190" s="291"/>
      <c r="B190" s="291"/>
      <c r="C190" s="291"/>
      <c r="D190" s="291"/>
      <c r="E190" s="291"/>
      <c r="F190" s="291"/>
      <c r="G190" s="291"/>
      <c r="H190" s="291"/>
      <c r="I190" s="291"/>
      <c r="J190" s="291"/>
      <c r="K190" s="291"/>
      <c r="L190" s="291"/>
      <c r="M190" s="291"/>
      <c r="N190" s="291"/>
      <c r="O190" s="291"/>
      <c r="P190" s="201"/>
      <c r="Q190" s="201"/>
      <c r="R190" s="52"/>
      <c r="S190" s="52"/>
      <c r="T190" s="52"/>
      <c r="U190" s="52"/>
      <c r="V190" s="52"/>
      <c r="W190" s="52"/>
      <c r="X190" s="52"/>
      <c r="Y190" s="52"/>
      <c r="Z190" s="52"/>
    </row>
    <row r="191" spans="1:26">
      <c r="A191" s="291"/>
      <c r="B191" s="291"/>
      <c r="C191" s="291"/>
      <c r="D191" s="291"/>
      <c r="E191" s="291"/>
      <c r="F191" s="291"/>
      <c r="G191" s="291"/>
      <c r="H191" s="291"/>
      <c r="I191" s="291"/>
      <c r="J191" s="291"/>
      <c r="K191" s="291"/>
      <c r="L191" s="291"/>
      <c r="M191" s="291"/>
      <c r="N191" s="291"/>
      <c r="O191" s="291"/>
      <c r="P191" s="201"/>
      <c r="Q191" s="201"/>
      <c r="R191" s="52"/>
      <c r="S191" s="52"/>
      <c r="T191" s="52"/>
      <c r="U191" s="52"/>
      <c r="V191" s="52"/>
      <c r="W191" s="52"/>
      <c r="X191" s="52"/>
      <c r="Y191" s="52"/>
      <c r="Z191" s="52"/>
    </row>
    <row r="192" spans="1:26">
      <c r="A192" s="291"/>
      <c r="B192" s="291"/>
      <c r="C192" s="291"/>
      <c r="D192" s="291"/>
      <c r="E192" s="291"/>
      <c r="F192" s="291"/>
      <c r="G192" s="291"/>
      <c r="H192" s="291"/>
      <c r="I192" s="291"/>
      <c r="J192" s="291"/>
      <c r="K192" s="291"/>
      <c r="L192" s="291"/>
      <c r="M192" s="291"/>
      <c r="N192" s="291"/>
      <c r="O192" s="291"/>
      <c r="P192" s="201"/>
      <c r="Q192" s="201"/>
      <c r="R192" s="52"/>
      <c r="S192" s="52"/>
      <c r="T192" s="52"/>
      <c r="U192" s="52"/>
      <c r="V192" s="52"/>
      <c r="W192" s="52"/>
      <c r="X192" s="52"/>
      <c r="Y192" s="52"/>
      <c r="Z192" s="52"/>
    </row>
    <row r="193" spans="1:26">
      <c r="A193" s="291"/>
      <c r="B193" s="291"/>
      <c r="C193" s="291"/>
      <c r="D193" s="291"/>
      <c r="E193" s="291"/>
      <c r="F193" s="291"/>
      <c r="G193" s="291"/>
      <c r="H193" s="291"/>
      <c r="I193" s="291"/>
      <c r="J193" s="291"/>
      <c r="K193" s="291"/>
      <c r="L193" s="291"/>
      <c r="M193" s="291"/>
      <c r="N193" s="291"/>
      <c r="O193" s="291"/>
      <c r="P193" s="201"/>
      <c r="Q193" s="201"/>
      <c r="R193" s="52"/>
      <c r="S193" s="52"/>
      <c r="T193" s="52"/>
      <c r="U193" s="52"/>
      <c r="V193" s="52"/>
      <c r="W193" s="52"/>
      <c r="X193" s="52"/>
      <c r="Y193" s="52"/>
      <c r="Z193" s="52"/>
    </row>
    <row r="194" spans="1:26">
      <c r="A194" s="291"/>
      <c r="B194" s="291"/>
      <c r="C194" s="291"/>
      <c r="D194" s="291"/>
      <c r="E194" s="291"/>
      <c r="F194" s="291"/>
      <c r="G194" s="291"/>
      <c r="H194" s="291"/>
      <c r="I194" s="291"/>
      <c r="J194" s="291"/>
      <c r="K194" s="291"/>
      <c r="L194" s="291"/>
      <c r="M194" s="291"/>
      <c r="N194" s="291"/>
      <c r="O194" s="291"/>
      <c r="P194" s="201"/>
      <c r="Q194" s="201"/>
      <c r="R194" s="52"/>
      <c r="S194" s="52"/>
      <c r="T194" s="52"/>
      <c r="U194" s="52"/>
      <c r="V194" s="52"/>
      <c r="W194" s="52"/>
      <c r="X194" s="52"/>
      <c r="Y194" s="52"/>
      <c r="Z194" s="52"/>
    </row>
    <row r="195" spans="1:26">
      <c r="A195" s="291"/>
      <c r="B195" s="291"/>
      <c r="C195" s="291"/>
      <c r="D195" s="291"/>
      <c r="E195" s="291"/>
      <c r="F195" s="291"/>
      <c r="G195" s="291"/>
      <c r="H195" s="291"/>
      <c r="I195" s="291"/>
      <c r="J195" s="291"/>
      <c r="K195" s="291"/>
      <c r="L195" s="291"/>
      <c r="M195" s="291"/>
      <c r="N195" s="291"/>
      <c r="O195" s="291"/>
      <c r="P195" s="201"/>
      <c r="Q195" s="201"/>
      <c r="R195" s="52"/>
      <c r="S195" s="52"/>
      <c r="T195" s="52"/>
      <c r="U195" s="52"/>
      <c r="V195" s="52"/>
      <c r="W195" s="52"/>
      <c r="X195" s="52"/>
      <c r="Y195" s="52"/>
      <c r="Z195" s="52"/>
    </row>
    <row r="196" spans="1:26">
      <c r="A196" s="291"/>
      <c r="B196" s="291"/>
      <c r="C196" s="291"/>
      <c r="D196" s="291"/>
      <c r="E196" s="291"/>
      <c r="F196" s="291"/>
      <c r="G196" s="291"/>
      <c r="H196" s="291"/>
      <c r="I196" s="291"/>
      <c r="J196" s="291"/>
      <c r="K196" s="291"/>
      <c r="L196" s="291"/>
      <c r="M196" s="291"/>
      <c r="N196" s="291"/>
      <c r="O196" s="291"/>
      <c r="P196" s="201"/>
      <c r="Q196" s="201"/>
      <c r="R196" s="52"/>
      <c r="S196" s="52"/>
      <c r="T196" s="52"/>
      <c r="U196" s="52"/>
      <c r="V196" s="52"/>
      <c r="W196" s="52"/>
      <c r="X196" s="52"/>
      <c r="Y196" s="52"/>
      <c r="Z196" s="52"/>
    </row>
    <row r="197" spans="1:26">
      <c r="A197" s="291"/>
      <c r="B197" s="291"/>
      <c r="C197" s="291"/>
      <c r="D197" s="291"/>
      <c r="E197" s="291"/>
      <c r="F197" s="291"/>
      <c r="G197" s="291"/>
      <c r="H197" s="291"/>
      <c r="I197" s="291"/>
      <c r="J197" s="291"/>
      <c r="K197" s="291"/>
      <c r="L197" s="291"/>
      <c r="M197" s="291"/>
      <c r="N197" s="291"/>
      <c r="O197" s="291"/>
      <c r="P197" s="201"/>
      <c r="Q197" s="201"/>
      <c r="R197" s="52"/>
      <c r="S197" s="52"/>
      <c r="T197" s="52"/>
      <c r="U197" s="52"/>
      <c r="V197" s="52"/>
      <c r="W197" s="52"/>
      <c r="X197" s="52"/>
      <c r="Y197" s="52"/>
      <c r="Z197" s="52"/>
    </row>
    <row r="198" spans="1:26">
      <c r="A198" s="291"/>
      <c r="B198" s="291"/>
      <c r="C198" s="291"/>
      <c r="D198" s="291"/>
      <c r="E198" s="291"/>
      <c r="F198" s="291"/>
      <c r="G198" s="291"/>
      <c r="H198" s="291"/>
      <c r="I198" s="291"/>
      <c r="J198" s="291"/>
      <c r="K198" s="291"/>
      <c r="L198" s="291"/>
      <c r="M198" s="291"/>
      <c r="N198" s="291"/>
      <c r="O198" s="291"/>
      <c r="P198" s="201"/>
      <c r="Q198" s="201"/>
      <c r="R198" s="52"/>
      <c r="S198" s="52"/>
      <c r="T198" s="52"/>
      <c r="U198" s="52"/>
      <c r="V198" s="52"/>
      <c r="W198" s="52"/>
      <c r="X198" s="52"/>
      <c r="Y198" s="52"/>
      <c r="Z198" s="52"/>
    </row>
    <row r="199" spans="1:26">
      <c r="A199" s="291"/>
      <c r="B199" s="291"/>
      <c r="C199" s="291"/>
      <c r="D199" s="291"/>
      <c r="E199" s="291"/>
      <c r="F199" s="291"/>
      <c r="G199" s="291"/>
      <c r="H199" s="291"/>
      <c r="I199" s="291"/>
      <c r="J199" s="291"/>
      <c r="K199" s="291"/>
      <c r="L199" s="291"/>
      <c r="M199" s="291"/>
      <c r="N199" s="291"/>
      <c r="O199" s="291"/>
      <c r="P199" s="201"/>
      <c r="Q199" s="201"/>
      <c r="R199" s="52"/>
      <c r="S199" s="52"/>
      <c r="T199" s="52"/>
      <c r="U199" s="52"/>
      <c r="V199" s="52"/>
      <c r="W199" s="52"/>
      <c r="X199" s="52"/>
      <c r="Y199" s="52"/>
      <c r="Z199" s="52"/>
    </row>
    <row r="200" spans="1:26">
      <c r="A200" s="291"/>
      <c r="B200" s="291"/>
      <c r="C200" s="291"/>
      <c r="D200" s="291"/>
      <c r="E200" s="291"/>
      <c r="F200" s="291"/>
      <c r="G200" s="291"/>
      <c r="H200" s="291"/>
      <c r="I200" s="291"/>
      <c r="J200" s="291"/>
      <c r="K200" s="291"/>
      <c r="L200" s="291"/>
      <c r="M200" s="291"/>
      <c r="N200" s="291"/>
      <c r="O200" s="291"/>
      <c r="P200" s="201"/>
      <c r="Q200" s="201"/>
      <c r="R200" s="52"/>
      <c r="S200" s="52"/>
      <c r="T200" s="52"/>
      <c r="U200" s="52"/>
      <c r="V200" s="52"/>
      <c r="W200" s="52"/>
      <c r="X200" s="52"/>
      <c r="Y200" s="52"/>
      <c r="Z200" s="52"/>
    </row>
    <row r="201" spans="1:26">
      <c r="A201" s="291"/>
      <c r="B201" s="291"/>
      <c r="C201" s="291"/>
      <c r="D201" s="291"/>
      <c r="E201" s="291"/>
      <c r="F201" s="291"/>
      <c r="G201" s="291"/>
      <c r="H201" s="291"/>
      <c r="I201" s="291"/>
      <c r="J201" s="291"/>
      <c r="K201" s="291"/>
      <c r="L201" s="291"/>
      <c r="M201" s="291"/>
      <c r="N201" s="291"/>
      <c r="O201" s="291"/>
      <c r="P201" s="201"/>
      <c r="Q201" s="201"/>
      <c r="R201" s="52"/>
      <c r="S201" s="52"/>
      <c r="T201" s="52"/>
      <c r="U201" s="52"/>
      <c r="V201" s="52"/>
      <c r="W201" s="52"/>
      <c r="X201" s="52"/>
      <c r="Y201" s="52"/>
      <c r="Z201" s="52"/>
    </row>
    <row r="202" spans="1:26">
      <c r="A202" s="291"/>
      <c r="B202" s="291"/>
      <c r="C202" s="291"/>
      <c r="D202" s="291"/>
      <c r="E202" s="291"/>
      <c r="F202" s="291"/>
      <c r="G202" s="291"/>
      <c r="H202" s="291"/>
      <c r="I202" s="291"/>
      <c r="J202" s="291"/>
      <c r="K202" s="291"/>
      <c r="L202" s="291"/>
      <c r="M202" s="291"/>
      <c r="N202" s="291"/>
      <c r="O202" s="291"/>
      <c r="P202" s="201"/>
      <c r="Q202" s="201"/>
      <c r="R202" s="52"/>
      <c r="S202" s="52"/>
      <c r="T202" s="52"/>
      <c r="U202" s="52"/>
      <c r="V202" s="52"/>
      <c r="W202" s="52"/>
      <c r="X202" s="52"/>
      <c r="Y202" s="52"/>
      <c r="Z202" s="52"/>
    </row>
    <row r="203" spans="1:26">
      <c r="A203" s="201"/>
      <c r="B203" s="201"/>
      <c r="C203" s="201"/>
      <c r="D203" s="201"/>
      <c r="E203" s="201"/>
      <c r="F203" s="201"/>
      <c r="G203" s="201"/>
      <c r="H203" s="201"/>
      <c r="I203" s="201"/>
      <c r="J203" s="201"/>
      <c r="K203" s="201"/>
      <c r="L203" s="201"/>
      <c r="M203" s="201"/>
      <c r="N203" s="201"/>
      <c r="O203" s="201"/>
      <c r="P203" s="201"/>
      <c r="Q203" s="201"/>
      <c r="R203" s="52"/>
      <c r="S203" s="52"/>
      <c r="T203" s="52"/>
      <c r="U203" s="52"/>
      <c r="V203" s="52"/>
      <c r="W203" s="52"/>
      <c r="X203" s="52"/>
      <c r="Y203" s="52"/>
      <c r="Z203" s="52"/>
    </row>
    <row r="204" spans="1:26">
      <c r="A204" s="201"/>
      <c r="B204" s="201"/>
      <c r="C204" s="201"/>
      <c r="D204" s="201"/>
      <c r="E204" s="201"/>
      <c r="F204" s="201"/>
      <c r="G204" s="201"/>
      <c r="H204" s="201"/>
      <c r="I204" s="201"/>
      <c r="J204" s="201"/>
      <c r="K204" s="201"/>
      <c r="L204" s="201"/>
      <c r="M204" s="201"/>
      <c r="N204" s="201"/>
      <c r="O204" s="201"/>
      <c r="P204" s="201"/>
      <c r="Q204" s="201"/>
      <c r="R204" s="52"/>
      <c r="S204" s="52"/>
      <c r="T204" s="52"/>
      <c r="U204" s="52"/>
      <c r="V204" s="52"/>
      <c r="W204" s="52"/>
      <c r="X204" s="52"/>
      <c r="Y204" s="52"/>
      <c r="Z204" s="52"/>
    </row>
    <row r="205" spans="1:26">
      <c r="A205" s="201"/>
      <c r="B205" s="201"/>
      <c r="C205" s="201"/>
      <c r="D205" s="201"/>
      <c r="E205" s="201"/>
      <c r="F205" s="201"/>
      <c r="G205" s="201"/>
      <c r="H205" s="201"/>
      <c r="I205" s="201"/>
      <c r="J205" s="201"/>
      <c r="K205" s="201"/>
      <c r="L205" s="201"/>
      <c r="M205" s="201"/>
      <c r="N205" s="201"/>
      <c r="O205" s="201"/>
      <c r="P205" s="201"/>
      <c r="Q205" s="201"/>
      <c r="R205" s="52"/>
      <c r="S205" s="52"/>
      <c r="T205" s="52"/>
      <c r="U205" s="52"/>
      <c r="V205" s="52"/>
      <c r="W205" s="52"/>
      <c r="X205" s="52"/>
      <c r="Y205" s="52"/>
      <c r="Z205" s="52"/>
    </row>
    <row r="206" spans="1:26">
      <c r="A206" s="201"/>
      <c r="B206" s="201"/>
      <c r="C206" s="201"/>
      <c r="D206" s="201"/>
      <c r="E206" s="201"/>
      <c r="F206" s="201"/>
      <c r="G206" s="201"/>
      <c r="H206" s="201"/>
      <c r="I206" s="201"/>
      <c r="J206" s="201"/>
      <c r="K206" s="201"/>
      <c r="L206" s="201"/>
      <c r="M206" s="201"/>
      <c r="N206" s="201"/>
      <c r="O206" s="201"/>
      <c r="P206" s="201"/>
      <c r="Q206" s="201"/>
      <c r="R206" s="52"/>
      <c r="S206" s="52"/>
      <c r="T206" s="52"/>
      <c r="U206" s="52"/>
      <c r="V206" s="52"/>
      <c r="W206" s="52"/>
      <c r="X206" s="52"/>
      <c r="Y206" s="52"/>
      <c r="Z206" s="52"/>
    </row>
    <row r="207" spans="1:26">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sheetData>
  <phoneticPr fontId="2" type="noConversion"/>
  <pageMargins left="0.7" right="0.7" top="0.75" bottom="0.75" header="0.3" footer="0.3"/>
  <pageSetup orientation="portrait" r:id="rId1"/>
  <drawing r:id="rId2"/>
  <tableParts count="1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4D12-853D-4AB8-8AC0-DBFD25DE7CAC}">
  <dimension ref="A1:AG148"/>
  <sheetViews>
    <sheetView zoomScale="60" zoomScaleNormal="60" workbookViewId="0"/>
  </sheetViews>
  <sheetFormatPr defaultRowHeight="14"/>
  <cols>
    <col min="1" max="1" width="99.25" customWidth="1"/>
    <col min="2" max="2" width="39.83203125" customWidth="1"/>
    <col min="3" max="3" width="21" customWidth="1"/>
    <col min="4" max="4" width="86.83203125" customWidth="1"/>
    <col min="5" max="5" width="26.4140625" customWidth="1"/>
    <col min="6" max="6" width="28.58203125" customWidth="1"/>
    <col min="7" max="7" width="70.25" customWidth="1"/>
    <col min="8" max="8" width="21.75" customWidth="1"/>
    <col min="9" max="9" width="32.83203125" customWidth="1"/>
    <col min="10" max="10" width="18.83203125" customWidth="1"/>
    <col min="11" max="11" width="78.83203125" customWidth="1"/>
    <col min="12" max="12" width="11.75" customWidth="1"/>
    <col min="13" max="13" width="19.25" customWidth="1"/>
  </cols>
  <sheetData>
    <row r="1" spans="1:33" ht="25">
      <c r="A1" s="154" t="s">
        <v>2299</v>
      </c>
      <c r="B1" s="155"/>
      <c r="C1" s="174"/>
      <c r="D1" s="174"/>
      <c r="E1" s="174"/>
      <c r="F1" s="174"/>
      <c r="G1" s="174"/>
      <c r="H1" s="174"/>
      <c r="I1" s="174"/>
      <c r="J1" s="174"/>
      <c r="K1" s="156" t="s">
        <v>1233</v>
      </c>
      <c r="L1" s="174"/>
      <c r="M1" s="201"/>
      <c r="N1" s="201"/>
      <c r="O1" s="52"/>
      <c r="P1" s="52"/>
      <c r="Q1" s="52"/>
      <c r="R1" s="52"/>
      <c r="S1" s="52"/>
      <c r="T1" s="52"/>
      <c r="U1" s="52"/>
      <c r="V1" s="52"/>
      <c r="W1" s="52"/>
      <c r="X1" s="52"/>
      <c r="Y1" s="52"/>
      <c r="Z1" s="52"/>
      <c r="AA1" s="52"/>
      <c r="AB1" s="52"/>
      <c r="AC1" s="52"/>
      <c r="AD1" s="52"/>
      <c r="AE1" s="52"/>
      <c r="AF1" s="52"/>
      <c r="AG1" s="52"/>
    </row>
    <row r="2" spans="1:33" ht="29.25" customHeight="1">
      <c r="A2" s="154" t="s">
        <v>982</v>
      </c>
      <c r="B2" s="155"/>
      <c r="C2" s="174"/>
      <c r="D2" s="157" t="s">
        <v>986</v>
      </c>
      <c r="E2" s="282"/>
      <c r="F2" s="174"/>
      <c r="G2" s="174"/>
      <c r="H2" s="158" t="s">
        <v>994</v>
      </c>
      <c r="I2" s="158"/>
      <c r="J2" s="174"/>
      <c r="K2" s="418" t="s">
        <v>1736</v>
      </c>
      <c r="L2" s="174"/>
      <c r="M2" s="201"/>
      <c r="N2" s="201"/>
      <c r="O2" s="52"/>
      <c r="P2" s="52"/>
      <c r="Q2" s="52"/>
      <c r="R2" s="52"/>
      <c r="S2" s="52"/>
      <c r="T2" s="52"/>
      <c r="U2" s="52"/>
      <c r="V2" s="52"/>
      <c r="W2" s="52"/>
      <c r="X2" s="52"/>
      <c r="Y2" s="52"/>
      <c r="Z2" s="52"/>
      <c r="AA2" s="52"/>
      <c r="AB2" s="52"/>
      <c r="AC2" s="52"/>
      <c r="AD2" s="52"/>
      <c r="AE2" s="52"/>
      <c r="AF2" s="52"/>
      <c r="AG2" s="52"/>
    </row>
    <row r="3" spans="1:33" ht="31.5" customHeight="1">
      <c r="A3" s="156" t="s">
        <v>451</v>
      </c>
      <c r="B3" s="156" t="s">
        <v>117</v>
      </c>
      <c r="C3" s="174"/>
      <c r="D3" s="159" t="s">
        <v>491</v>
      </c>
      <c r="E3" s="159" t="s">
        <v>213</v>
      </c>
      <c r="F3" s="174"/>
      <c r="G3" s="174"/>
      <c r="H3" s="160" t="s">
        <v>491</v>
      </c>
      <c r="I3" s="160" t="s">
        <v>271</v>
      </c>
      <c r="J3" s="174"/>
      <c r="K3" s="418" t="s">
        <v>2700</v>
      </c>
      <c r="L3" s="174"/>
      <c r="M3" s="201"/>
      <c r="N3" s="201"/>
      <c r="O3" s="52"/>
      <c r="P3" s="52"/>
      <c r="Q3" s="52"/>
      <c r="R3" s="52"/>
      <c r="S3" s="52"/>
      <c r="T3" s="52"/>
      <c r="U3" s="52"/>
      <c r="V3" s="52"/>
      <c r="W3" s="52"/>
      <c r="X3" s="52"/>
      <c r="Y3" s="52"/>
      <c r="Z3" s="52"/>
      <c r="AA3" s="52"/>
      <c r="AB3" s="52"/>
      <c r="AC3" s="52"/>
      <c r="AD3" s="52"/>
      <c r="AE3" s="52"/>
      <c r="AF3" s="52"/>
      <c r="AG3" s="52"/>
    </row>
    <row r="4" spans="1:33" ht="24" customHeight="1">
      <c r="A4" s="337" t="s">
        <v>247</v>
      </c>
      <c r="B4" s="156" t="s">
        <v>116</v>
      </c>
      <c r="C4" s="174"/>
      <c r="D4" s="338" t="s">
        <v>864</v>
      </c>
      <c r="E4" s="489">
        <f>'DCF Valuation'!B35</f>
        <v>386.11179448578162</v>
      </c>
      <c r="F4" s="174"/>
      <c r="G4" s="174"/>
      <c r="H4" s="161" t="s">
        <v>351</v>
      </c>
      <c r="I4" s="48">
        <v>450</v>
      </c>
      <c r="J4" s="174"/>
      <c r="K4" s="419" t="s">
        <v>1231</v>
      </c>
      <c r="L4" s="174"/>
      <c r="M4" s="201"/>
      <c r="N4" s="201"/>
      <c r="O4" s="52"/>
      <c r="P4" s="52"/>
      <c r="Q4" s="52"/>
      <c r="R4" s="52"/>
      <c r="S4" s="52"/>
      <c r="T4" s="52"/>
      <c r="U4" s="52"/>
      <c r="V4" s="52"/>
      <c r="W4" s="52"/>
      <c r="X4" s="52"/>
      <c r="Y4" s="52"/>
      <c r="Z4" s="52"/>
      <c r="AA4" s="52"/>
      <c r="AB4" s="52"/>
      <c r="AC4" s="52"/>
      <c r="AD4" s="52"/>
      <c r="AE4" s="52"/>
      <c r="AF4" s="52"/>
      <c r="AG4" s="52"/>
    </row>
    <row r="5" spans="1:33" ht="22.5" customHeight="1">
      <c r="A5" s="337" t="s">
        <v>246</v>
      </c>
      <c r="B5" s="156" t="s">
        <v>486</v>
      </c>
      <c r="C5" s="174"/>
      <c r="D5" s="338" t="s">
        <v>351</v>
      </c>
      <c r="E5" s="490">
        <f>'DCF Valuation'!B36</f>
        <v>450</v>
      </c>
      <c r="F5" s="174"/>
      <c r="G5" s="174"/>
      <c r="H5" s="161" t="s">
        <v>1005</v>
      </c>
      <c r="I5" s="472">
        <f>B20</f>
        <v>386.11179448578162</v>
      </c>
      <c r="J5" s="174"/>
      <c r="K5" s="159" t="s">
        <v>1232</v>
      </c>
      <c r="L5" s="174"/>
      <c r="M5" s="201"/>
      <c r="N5" s="201"/>
      <c r="O5" s="52"/>
      <c r="P5" s="52"/>
      <c r="Q5" s="52"/>
      <c r="R5" s="52"/>
      <c r="S5" s="52"/>
      <c r="T5" s="52"/>
      <c r="U5" s="52"/>
      <c r="V5" s="52"/>
      <c r="W5" s="52"/>
      <c r="X5" s="52"/>
      <c r="Y5" s="52"/>
      <c r="Z5" s="52"/>
      <c r="AA5" s="52"/>
      <c r="AB5" s="52"/>
      <c r="AC5" s="52"/>
      <c r="AD5" s="52"/>
      <c r="AE5" s="52"/>
      <c r="AF5" s="52"/>
      <c r="AG5" s="52"/>
    </row>
    <row r="6" spans="1:33" ht="24.75" customHeight="1">
      <c r="A6" s="337" t="s">
        <v>983</v>
      </c>
      <c r="B6" s="156" t="s">
        <v>984</v>
      </c>
      <c r="C6" s="174"/>
      <c r="D6" s="338" t="s">
        <v>981</v>
      </c>
      <c r="E6" s="491">
        <f>'DCF Valuation'!B37</f>
        <v>-0.14197379003159641</v>
      </c>
      <c r="F6" s="174"/>
      <c r="G6" s="174"/>
      <c r="H6" s="162"/>
      <c r="I6" s="162"/>
      <c r="J6" s="174"/>
      <c r="K6" s="174"/>
      <c r="L6" s="174"/>
      <c r="M6" s="201"/>
      <c r="N6" s="201"/>
      <c r="O6" s="52"/>
      <c r="P6" s="52"/>
      <c r="Q6" s="52"/>
      <c r="R6" s="52"/>
      <c r="S6" s="52"/>
      <c r="T6" s="52"/>
      <c r="U6" s="52"/>
      <c r="V6" s="52"/>
      <c r="W6" s="52"/>
      <c r="X6" s="52"/>
      <c r="Y6" s="52"/>
      <c r="Z6" s="52"/>
      <c r="AA6" s="52"/>
      <c r="AB6" s="52"/>
      <c r="AC6" s="52"/>
      <c r="AD6" s="52"/>
      <c r="AE6" s="52"/>
      <c r="AF6" s="52"/>
      <c r="AG6" s="52"/>
    </row>
    <row r="7" spans="1:33" ht="24" customHeight="1">
      <c r="A7" s="337" t="s">
        <v>985</v>
      </c>
      <c r="B7" s="156" t="s">
        <v>1161</v>
      </c>
      <c r="C7" s="174"/>
      <c r="D7" s="338" t="s">
        <v>502</v>
      </c>
      <c r="E7" s="418" t="str">
        <f>'DCF Valuation'!B38</f>
        <v>SELL</v>
      </c>
      <c r="F7" s="174"/>
      <c r="G7" s="174"/>
      <c r="H7" s="162"/>
      <c r="I7" s="162"/>
      <c r="J7" s="174"/>
      <c r="K7" s="270" t="s">
        <v>247</v>
      </c>
      <c r="L7" s="270" t="s">
        <v>214</v>
      </c>
      <c r="M7" s="270" t="s">
        <v>218</v>
      </c>
      <c r="N7" s="201"/>
      <c r="O7" s="52"/>
      <c r="P7" s="52"/>
      <c r="Q7" s="52"/>
      <c r="R7" s="52"/>
      <c r="S7" s="52"/>
      <c r="T7" s="52"/>
      <c r="U7" s="52"/>
      <c r="V7" s="52"/>
      <c r="W7" s="52"/>
      <c r="X7" s="52"/>
      <c r="Y7" s="52"/>
      <c r="Z7" s="52"/>
      <c r="AA7" s="52"/>
      <c r="AB7" s="52"/>
      <c r="AC7" s="52"/>
      <c r="AD7" s="52"/>
      <c r="AE7" s="52"/>
      <c r="AF7" s="52"/>
      <c r="AG7" s="52"/>
    </row>
    <row r="8" spans="1:33" ht="25">
      <c r="A8" s="337" t="s">
        <v>224</v>
      </c>
      <c r="B8" s="227">
        <f ca="1">TODAY()</f>
        <v>46123</v>
      </c>
      <c r="C8" s="174"/>
      <c r="D8" s="174"/>
      <c r="E8" s="174"/>
      <c r="F8" s="174"/>
      <c r="G8" s="174"/>
      <c r="H8" s="162"/>
      <c r="I8" s="162"/>
      <c r="J8" s="174"/>
      <c r="K8" s="415" t="s">
        <v>1103</v>
      </c>
      <c r="L8" s="271" t="s">
        <v>1513</v>
      </c>
      <c r="M8" s="271" t="s">
        <v>1514</v>
      </c>
      <c r="N8" s="201"/>
      <c r="O8" s="52"/>
      <c r="P8" s="52"/>
      <c r="Q8" s="52"/>
      <c r="R8" s="52"/>
      <c r="S8" s="52"/>
      <c r="T8" s="52"/>
      <c r="U8" s="52"/>
      <c r="V8" s="52"/>
      <c r="W8" s="52"/>
      <c r="X8" s="52"/>
      <c r="Y8" s="52"/>
      <c r="Z8" s="52"/>
      <c r="AA8" s="52"/>
      <c r="AB8" s="52"/>
      <c r="AC8" s="52"/>
      <c r="AD8" s="52"/>
      <c r="AE8" s="52"/>
      <c r="AF8" s="52"/>
      <c r="AG8" s="52"/>
    </row>
    <row r="9" spans="1:33" ht="20">
      <c r="A9" s="174"/>
      <c r="B9" s="174"/>
      <c r="C9" s="174"/>
      <c r="D9" s="174"/>
      <c r="E9" s="174"/>
      <c r="F9" s="174"/>
      <c r="G9" s="174"/>
      <c r="H9" s="162"/>
      <c r="I9" s="162"/>
      <c r="J9" s="174"/>
      <c r="K9" s="415" t="s">
        <v>1515</v>
      </c>
      <c r="L9" s="271" t="s">
        <v>1516</v>
      </c>
      <c r="M9" s="271" t="s">
        <v>1517</v>
      </c>
      <c r="N9" s="201"/>
      <c r="O9" s="52"/>
      <c r="P9" s="52"/>
      <c r="Q9" s="52"/>
      <c r="R9" s="52"/>
      <c r="S9" s="52"/>
      <c r="T9" s="52"/>
      <c r="U9" s="52"/>
      <c r="V9" s="52"/>
      <c r="W9" s="52"/>
      <c r="X9" s="52"/>
      <c r="Y9" s="52"/>
      <c r="Z9" s="52"/>
      <c r="AA9" s="52"/>
      <c r="AB9" s="52"/>
      <c r="AC9" s="52"/>
      <c r="AD9" s="52"/>
      <c r="AE9" s="52"/>
      <c r="AF9" s="52"/>
      <c r="AG9" s="52"/>
    </row>
    <row r="10" spans="1:33" ht="28">
      <c r="A10" s="157" t="s">
        <v>987</v>
      </c>
      <c r="B10" s="282"/>
      <c r="C10" s="174"/>
      <c r="D10" s="157" t="s">
        <v>497</v>
      </c>
      <c r="E10" s="282"/>
      <c r="F10" s="174"/>
      <c r="G10" s="174"/>
      <c r="H10" s="162"/>
      <c r="I10" s="162"/>
      <c r="J10" s="174"/>
      <c r="K10" s="415" t="s">
        <v>297</v>
      </c>
      <c r="L10" s="271" t="s">
        <v>1518</v>
      </c>
      <c r="M10" s="271" t="s">
        <v>1519</v>
      </c>
      <c r="N10" s="201"/>
      <c r="O10" s="52"/>
      <c r="P10" s="52"/>
      <c r="Q10" s="52"/>
      <c r="R10" s="52"/>
      <c r="S10" s="52"/>
      <c r="T10" s="52"/>
      <c r="U10" s="52"/>
      <c r="V10" s="52"/>
      <c r="W10" s="52"/>
      <c r="X10" s="52"/>
      <c r="Y10" s="52"/>
      <c r="Z10" s="52"/>
      <c r="AA10" s="52"/>
      <c r="AB10" s="52"/>
      <c r="AC10" s="52"/>
      <c r="AD10" s="52"/>
      <c r="AE10" s="52"/>
      <c r="AF10" s="52"/>
      <c r="AG10" s="52"/>
    </row>
    <row r="11" spans="1:33" ht="28">
      <c r="A11" s="159" t="s">
        <v>988</v>
      </c>
      <c r="B11" s="159" t="s">
        <v>989</v>
      </c>
      <c r="C11" s="174"/>
      <c r="D11" s="159" t="s">
        <v>491</v>
      </c>
      <c r="E11" s="159" t="s">
        <v>991</v>
      </c>
      <c r="F11" s="174"/>
      <c r="G11" s="174"/>
      <c r="H11" s="162"/>
      <c r="I11" s="162"/>
      <c r="J11" s="174"/>
      <c r="K11" s="174"/>
      <c r="L11" s="174"/>
      <c r="M11" s="201"/>
      <c r="N11" s="201"/>
      <c r="O11" s="52"/>
      <c r="P11" s="52"/>
      <c r="Q11" s="52"/>
      <c r="R11" s="52"/>
      <c r="S11" s="52"/>
      <c r="T11" s="52"/>
      <c r="U11" s="52"/>
      <c r="V11" s="52"/>
      <c r="W11" s="52"/>
      <c r="X11" s="52"/>
      <c r="Y11" s="52"/>
      <c r="Z11" s="52"/>
      <c r="AA11" s="52"/>
      <c r="AB11" s="52"/>
      <c r="AC11" s="52"/>
      <c r="AD11" s="52"/>
      <c r="AE11" s="52"/>
      <c r="AF11" s="52"/>
      <c r="AG11" s="52"/>
    </row>
    <row r="12" spans="1:33" ht="28">
      <c r="A12" s="338" t="s">
        <v>495</v>
      </c>
      <c r="B12" s="225">
        <f>('DCF Valuation'!F17/'DCF Valuation'!B17)^(1/4)-1</f>
        <v>0.11494394297551902</v>
      </c>
      <c r="C12" s="174"/>
      <c r="D12" s="338" t="s">
        <v>211</v>
      </c>
      <c r="E12" s="159">
        <f>'DCF Valuation'!B28</f>
        <v>355455.30803038343</v>
      </c>
      <c r="F12" s="174"/>
      <c r="G12" s="174"/>
      <c r="H12" s="162"/>
      <c r="I12" s="162"/>
      <c r="J12" s="174"/>
      <c r="K12" s="174"/>
      <c r="L12" s="174"/>
      <c r="M12" s="201"/>
      <c r="N12" s="201"/>
      <c r="O12" s="52"/>
      <c r="P12" s="52"/>
      <c r="Q12" s="52"/>
      <c r="R12" s="52"/>
      <c r="S12" s="52"/>
      <c r="T12" s="52"/>
      <c r="U12" s="52"/>
      <c r="V12" s="52"/>
      <c r="W12" s="52"/>
      <c r="X12" s="52"/>
      <c r="Y12" s="52"/>
      <c r="Z12" s="52"/>
      <c r="AA12" s="52"/>
      <c r="AB12" s="52"/>
      <c r="AC12" s="52"/>
      <c r="AD12" s="52"/>
      <c r="AE12" s="52"/>
      <c r="AF12" s="52"/>
      <c r="AG12" s="52"/>
    </row>
    <row r="13" spans="1:33" ht="28">
      <c r="A13" s="338" t="s">
        <v>459</v>
      </c>
      <c r="B13" s="225">
        <v>0.55000000000000004</v>
      </c>
      <c r="C13" s="174"/>
      <c r="D13" s="338" t="s">
        <v>430</v>
      </c>
      <c r="E13" s="228">
        <f>'DCF Valuation'!B29</f>
        <v>350767.1208185532</v>
      </c>
      <c r="F13" s="174"/>
      <c r="G13" s="174"/>
      <c r="H13" s="162"/>
      <c r="I13" s="162"/>
      <c r="J13" s="174"/>
      <c r="K13" s="174"/>
      <c r="L13" s="174"/>
      <c r="M13" s="201"/>
      <c r="N13" s="201"/>
      <c r="O13" s="52"/>
      <c r="P13" s="52"/>
      <c r="Q13" s="52"/>
      <c r="R13" s="52"/>
      <c r="S13" s="52"/>
      <c r="T13" s="52"/>
      <c r="U13" s="52"/>
      <c r="V13" s="52"/>
      <c r="W13" s="52"/>
      <c r="X13" s="52"/>
      <c r="Y13" s="52"/>
      <c r="Z13" s="52"/>
      <c r="AA13" s="52"/>
      <c r="AB13" s="52"/>
      <c r="AC13" s="52"/>
      <c r="AD13" s="52"/>
      <c r="AE13" s="52"/>
      <c r="AF13" s="52"/>
      <c r="AG13" s="52"/>
    </row>
    <row r="14" spans="1:33" ht="28">
      <c r="A14" s="338" t="s">
        <v>990</v>
      </c>
      <c r="B14" s="225">
        <f>('DCF Valuation'!F23/'DCF Valuation'!B23)^(1/4)-1</f>
        <v>9.3500390551906065E-2</v>
      </c>
      <c r="C14" s="174"/>
      <c r="D14" s="338" t="s">
        <v>980</v>
      </c>
      <c r="E14" s="391">
        <f>'DCF Valuation'!B35</f>
        <v>386.11179448578162</v>
      </c>
      <c r="F14" s="174"/>
      <c r="G14" s="174"/>
      <c r="H14" s="162"/>
      <c r="I14" s="162"/>
      <c r="J14" s="174"/>
      <c r="K14" s="174"/>
      <c r="L14" s="174"/>
      <c r="M14" s="201"/>
      <c r="N14" s="201"/>
      <c r="O14" s="52"/>
      <c r="P14" s="52"/>
      <c r="Q14" s="52"/>
      <c r="R14" s="52"/>
      <c r="S14" s="52"/>
      <c r="T14" s="52"/>
      <c r="U14" s="52"/>
      <c r="V14" s="52"/>
      <c r="W14" s="52"/>
      <c r="X14" s="52"/>
      <c r="Y14" s="52"/>
      <c r="Z14" s="52"/>
      <c r="AA14" s="52"/>
      <c r="AB14" s="52"/>
      <c r="AC14" s="52"/>
      <c r="AD14" s="52"/>
      <c r="AE14" s="52"/>
      <c r="AF14" s="52"/>
      <c r="AG14" s="52"/>
    </row>
    <row r="15" spans="1:33" ht="28">
      <c r="A15" s="338" t="s">
        <v>198</v>
      </c>
      <c r="B15" s="225">
        <f>'DCF Valuation'!B13</f>
        <v>9.4791293758066303E-2</v>
      </c>
      <c r="C15" s="174"/>
      <c r="D15" s="338" t="s">
        <v>992</v>
      </c>
      <c r="E15" s="229">
        <f>'DCF Valuation'!B31</f>
        <v>4688.1872118302017</v>
      </c>
      <c r="F15" s="174"/>
      <c r="G15" s="174"/>
      <c r="H15" s="162"/>
      <c r="I15" s="162"/>
      <c r="J15" s="174"/>
      <c r="K15" s="174"/>
      <c r="L15" s="174"/>
      <c r="M15" s="201"/>
      <c r="N15" s="201"/>
      <c r="O15" s="52"/>
      <c r="P15" s="52"/>
      <c r="Q15" s="52"/>
      <c r="R15" s="52"/>
      <c r="S15" s="52"/>
      <c r="T15" s="52"/>
      <c r="U15" s="52"/>
      <c r="V15" s="52"/>
      <c r="W15" s="52"/>
      <c r="X15" s="52"/>
      <c r="Y15" s="52"/>
      <c r="Z15" s="52"/>
      <c r="AA15" s="52"/>
      <c r="AB15" s="52"/>
      <c r="AC15" s="52"/>
      <c r="AD15" s="52"/>
      <c r="AE15" s="52"/>
      <c r="AF15" s="52"/>
      <c r="AG15" s="52"/>
    </row>
    <row r="16" spans="1:33" ht="28">
      <c r="A16" s="338" t="s">
        <v>448</v>
      </c>
      <c r="B16" s="226">
        <f>'DCF Valuation'!B8</f>
        <v>0.03</v>
      </c>
      <c r="C16" s="174"/>
      <c r="D16" s="174"/>
      <c r="E16" s="174"/>
      <c r="F16" s="174"/>
      <c r="G16" s="174"/>
      <c r="H16" s="162"/>
      <c r="I16" s="162"/>
      <c r="J16" s="174"/>
      <c r="K16" s="174"/>
      <c r="L16" s="174"/>
      <c r="M16" s="201"/>
      <c r="N16" s="201"/>
      <c r="O16" s="52"/>
      <c r="P16" s="52"/>
      <c r="Q16" s="52"/>
      <c r="R16" s="52"/>
      <c r="S16" s="52"/>
      <c r="T16" s="52"/>
      <c r="U16" s="52"/>
      <c r="V16" s="52"/>
      <c r="W16" s="52"/>
      <c r="X16" s="52"/>
      <c r="Y16" s="52"/>
      <c r="Z16" s="52"/>
      <c r="AA16" s="52"/>
      <c r="AB16" s="52"/>
      <c r="AC16" s="52"/>
      <c r="AD16" s="52"/>
      <c r="AE16" s="52"/>
      <c r="AF16" s="52"/>
      <c r="AG16" s="52"/>
    </row>
    <row r="17" spans="1:33" ht="28">
      <c r="A17" s="174"/>
      <c r="B17" s="174"/>
      <c r="C17" s="174"/>
      <c r="D17" s="157" t="s">
        <v>1011</v>
      </c>
      <c r="E17" s="174"/>
      <c r="F17" s="174"/>
      <c r="G17" s="174"/>
      <c r="H17" s="162"/>
      <c r="I17" s="162"/>
      <c r="J17" s="174"/>
      <c r="K17" s="174"/>
      <c r="L17" s="174"/>
      <c r="M17" s="201"/>
      <c r="N17" s="201"/>
      <c r="O17" s="52"/>
      <c r="P17" s="52"/>
      <c r="Q17" s="52"/>
      <c r="R17" s="52"/>
      <c r="S17" s="52"/>
      <c r="T17" s="52"/>
      <c r="U17" s="52"/>
      <c r="V17" s="52"/>
      <c r="W17" s="52"/>
      <c r="X17" s="52"/>
      <c r="Y17" s="52"/>
      <c r="Z17" s="52"/>
      <c r="AA17" s="52"/>
      <c r="AB17" s="52"/>
      <c r="AC17" s="52"/>
      <c r="AD17" s="52"/>
      <c r="AE17" s="52"/>
      <c r="AF17" s="52"/>
      <c r="AG17" s="52"/>
    </row>
    <row r="18" spans="1:33" ht="28">
      <c r="A18" s="154" t="s">
        <v>993</v>
      </c>
      <c r="B18" s="283"/>
      <c r="C18" s="174"/>
      <c r="D18" s="159" t="s">
        <v>1012</v>
      </c>
      <c r="E18" s="174"/>
      <c r="F18" s="174"/>
      <c r="G18" s="174"/>
      <c r="H18" s="162"/>
      <c r="I18" s="162"/>
      <c r="J18" s="174"/>
      <c r="K18" s="174"/>
      <c r="L18" s="174"/>
      <c r="M18" s="201"/>
      <c r="N18" s="201"/>
      <c r="O18" s="52"/>
      <c r="P18" s="52"/>
      <c r="Q18" s="52"/>
      <c r="R18" s="52"/>
      <c r="S18" s="52"/>
      <c r="T18" s="52"/>
      <c r="U18" s="52"/>
      <c r="V18" s="52"/>
      <c r="W18" s="52"/>
      <c r="X18" s="52"/>
      <c r="Y18" s="52"/>
      <c r="Z18" s="52"/>
      <c r="AA18" s="52"/>
      <c r="AB18" s="52"/>
      <c r="AC18" s="52"/>
      <c r="AD18" s="52"/>
      <c r="AE18" s="52"/>
      <c r="AF18" s="52"/>
      <c r="AG18" s="52"/>
    </row>
    <row r="19" spans="1:33" ht="28">
      <c r="A19" s="337" t="s">
        <v>502</v>
      </c>
      <c r="B19" s="492" t="str">
        <f>E7</f>
        <v>SELL</v>
      </c>
      <c r="C19" s="174"/>
      <c r="D19" s="159" t="s">
        <v>1013</v>
      </c>
      <c r="E19" s="174"/>
      <c r="F19" s="174"/>
      <c r="G19" s="174"/>
      <c r="H19" s="162"/>
      <c r="I19" s="162"/>
      <c r="J19" s="174"/>
      <c r="K19" s="174"/>
      <c r="L19" s="174"/>
      <c r="M19" s="201"/>
      <c r="N19" s="201"/>
      <c r="O19" s="52"/>
      <c r="P19" s="52"/>
      <c r="Q19" s="52"/>
      <c r="R19" s="52"/>
      <c r="S19" s="52"/>
      <c r="T19" s="52"/>
      <c r="U19" s="52"/>
      <c r="V19" s="52"/>
      <c r="W19" s="52"/>
      <c r="X19" s="52"/>
      <c r="Y19" s="52"/>
      <c r="Z19" s="52"/>
      <c r="AA19" s="52"/>
      <c r="AB19" s="52"/>
      <c r="AC19" s="52"/>
      <c r="AD19" s="52"/>
      <c r="AE19" s="52"/>
      <c r="AF19" s="52"/>
      <c r="AG19" s="52"/>
    </row>
    <row r="20" spans="1:33" ht="28">
      <c r="A20" s="337" t="s">
        <v>864</v>
      </c>
      <c r="B20" s="493">
        <f>E4</f>
        <v>386.11179448578162</v>
      </c>
      <c r="C20" s="174"/>
      <c r="D20" s="159" t="s">
        <v>1014</v>
      </c>
      <c r="E20" s="174"/>
      <c r="F20" s="174"/>
      <c r="G20" s="174"/>
      <c r="H20" s="162"/>
      <c r="I20" s="162"/>
      <c r="J20" s="174"/>
      <c r="K20" s="174"/>
      <c r="L20" s="174"/>
      <c r="M20" s="201"/>
      <c r="N20" s="201"/>
      <c r="O20" s="52"/>
      <c r="P20" s="52"/>
      <c r="Q20" s="52"/>
      <c r="R20" s="52"/>
      <c r="S20" s="52"/>
      <c r="T20" s="52"/>
      <c r="U20" s="52"/>
      <c r="V20" s="52"/>
      <c r="W20" s="52"/>
      <c r="X20" s="52"/>
      <c r="Y20" s="52"/>
      <c r="Z20" s="52"/>
      <c r="AA20" s="52"/>
      <c r="AB20" s="52"/>
      <c r="AC20" s="52"/>
      <c r="AD20" s="52"/>
      <c r="AE20" s="52"/>
      <c r="AF20" s="52"/>
      <c r="AG20" s="52"/>
    </row>
    <row r="21" spans="1:33" ht="25">
      <c r="A21" s="337" t="s">
        <v>501</v>
      </c>
      <c r="B21" s="494">
        <f>E6</f>
        <v>-0.14197379003159641</v>
      </c>
      <c r="C21" s="174"/>
      <c r="D21" s="174"/>
      <c r="E21" s="174"/>
      <c r="F21" s="174"/>
      <c r="G21" s="174"/>
      <c r="H21" s="162"/>
      <c r="I21" s="162"/>
      <c r="J21" s="174"/>
      <c r="K21" s="174"/>
      <c r="L21" s="174"/>
      <c r="M21" s="201"/>
      <c r="N21" s="201"/>
      <c r="O21" s="52"/>
      <c r="P21" s="52"/>
      <c r="Q21" s="52"/>
      <c r="R21" s="52"/>
      <c r="S21" s="52"/>
      <c r="T21" s="52"/>
      <c r="U21" s="52"/>
      <c r="V21" s="52"/>
      <c r="W21" s="52"/>
      <c r="X21" s="52"/>
      <c r="Y21" s="52"/>
      <c r="Z21" s="52"/>
      <c r="AA21" s="52"/>
      <c r="AB21" s="52"/>
      <c r="AC21" s="52"/>
      <c r="AD21" s="52"/>
      <c r="AE21" s="52"/>
      <c r="AF21" s="52"/>
      <c r="AG21" s="52"/>
    </row>
    <row r="22" spans="1:33">
      <c r="A22" s="162" t="s">
        <v>2300</v>
      </c>
      <c r="B22" s="162"/>
      <c r="C22" s="174"/>
      <c r="D22" s="174"/>
      <c r="E22" s="174"/>
      <c r="F22" s="174"/>
      <c r="G22" s="174"/>
      <c r="H22" s="162"/>
      <c r="I22" s="162"/>
      <c r="J22" s="174"/>
      <c r="K22" s="174"/>
      <c r="L22" s="174"/>
      <c r="M22" s="201"/>
      <c r="N22" s="201"/>
      <c r="O22" s="52"/>
      <c r="P22" s="52"/>
      <c r="Q22" s="52"/>
      <c r="R22" s="52"/>
      <c r="S22" s="52"/>
      <c r="T22" s="52"/>
      <c r="U22" s="52"/>
      <c r="V22" s="52"/>
      <c r="W22" s="52"/>
      <c r="X22" s="52"/>
      <c r="Y22" s="52"/>
      <c r="Z22" s="52"/>
      <c r="AA22" s="52"/>
      <c r="AB22" s="52"/>
      <c r="AC22" s="52"/>
      <c r="AD22" s="52"/>
      <c r="AE22" s="52"/>
      <c r="AF22" s="52"/>
      <c r="AG22" s="52"/>
    </row>
    <row r="23" spans="1:33" ht="23">
      <c r="A23" s="160" t="s">
        <v>995</v>
      </c>
      <c r="B23" s="160" t="str">
        <f>'DCF Valuation'!B16</f>
        <v>2025E</v>
      </c>
      <c r="C23" s="160" t="str">
        <f>'DCF Valuation'!C16</f>
        <v>2026E</v>
      </c>
      <c r="D23" s="160" t="str">
        <f>'DCF Valuation'!D16</f>
        <v>2027E</v>
      </c>
      <c r="E23" s="160" t="str">
        <f>'DCF Valuation'!E16</f>
        <v>2028E</v>
      </c>
      <c r="F23" s="160" t="str">
        <f>'DCF Valuation'!F16</f>
        <v>2029E</v>
      </c>
      <c r="G23" s="174"/>
      <c r="H23" s="163" t="s">
        <v>998</v>
      </c>
      <c r="I23" s="48"/>
      <c r="J23" s="174"/>
      <c r="K23" s="174"/>
      <c r="L23" s="174"/>
      <c r="M23" s="201"/>
      <c r="N23" s="201"/>
      <c r="O23" s="52"/>
      <c r="P23" s="52"/>
      <c r="Q23" s="52"/>
      <c r="R23" s="52"/>
      <c r="S23" s="52"/>
      <c r="T23" s="52"/>
      <c r="U23" s="52"/>
      <c r="V23" s="52"/>
      <c r="W23" s="52"/>
      <c r="X23" s="52"/>
      <c r="Y23" s="52"/>
      <c r="Z23" s="52"/>
      <c r="AA23" s="52"/>
      <c r="AB23" s="52"/>
      <c r="AC23" s="52"/>
      <c r="AD23" s="52"/>
      <c r="AE23" s="52"/>
      <c r="AF23" s="52"/>
      <c r="AG23" s="52"/>
    </row>
    <row r="24" spans="1:33">
      <c r="A24" s="161" t="s">
        <v>492</v>
      </c>
      <c r="B24" s="90">
        <f>'DCF Valuation'!B17</f>
        <v>31547.040000000005</v>
      </c>
      <c r="C24" s="90">
        <f>'DCF Valuation'!C17</f>
        <v>35648.155200000001</v>
      </c>
      <c r="D24" s="90">
        <f>'DCF Valuation'!D17</f>
        <v>39925.933824000007</v>
      </c>
      <c r="E24" s="90">
        <f>'DCF Valuation'!E17</f>
        <v>44317.78654464001</v>
      </c>
      <c r="F24" s="90">
        <f>'DCF Valuation'!F17</f>
        <v>48749.565199104014</v>
      </c>
      <c r="G24" s="174"/>
      <c r="H24" s="48" t="s">
        <v>997</v>
      </c>
      <c r="I24" s="48" t="s">
        <v>117</v>
      </c>
      <c r="J24" s="174"/>
      <c r="K24" s="174"/>
      <c r="L24" s="174"/>
      <c r="M24" s="201"/>
      <c r="N24" s="201"/>
      <c r="O24" s="52"/>
      <c r="P24" s="52"/>
      <c r="Q24" s="52"/>
      <c r="R24" s="52"/>
      <c r="S24" s="52"/>
      <c r="T24" s="52"/>
      <c r="U24" s="52"/>
      <c r="V24" s="52"/>
      <c r="W24" s="52"/>
      <c r="X24" s="52"/>
      <c r="Y24" s="52"/>
      <c r="Z24" s="52"/>
      <c r="AA24" s="52"/>
      <c r="AB24" s="52"/>
      <c r="AC24" s="52"/>
      <c r="AD24" s="52"/>
      <c r="AE24" s="52"/>
      <c r="AF24" s="52"/>
      <c r="AG24" s="52"/>
    </row>
    <row r="25" spans="1:33">
      <c r="A25" s="162"/>
      <c r="B25" s="162"/>
      <c r="C25" s="162"/>
      <c r="D25" s="162"/>
      <c r="E25" s="162"/>
      <c r="F25" s="162"/>
      <c r="G25" s="174"/>
      <c r="H25" s="161" t="s">
        <v>211</v>
      </c>
      <c r="I25" s="48">
        <f>E12</f>
        <v>355455.30803038343</v>
      </c>
      <c r="J25" s="174"/>
      <c r="K25" s="174"/>
      <c r="L25" s="174"/>
      <c r="M25" s="201"/>
      <c r="N25" s="201"/>
      <c r="O25" s="52"/>
      <c r="P25" s="52"/>
      <c r="Q25" s="52"/>
      <c r="R25" s="52"/>
      <c r="S25" s="52"/>
      <c r="T25" s="52"/>
      <c r="U25" s="52"/>
      <c r="V25" s="52"/>
      <c r="W25" s="52"/>
      <c r="X25" s="52"/>
      <c r="Y25" s="52"/>
      <c r="Z25" s="52"/>
      <c r="AA25" s="52"/>
      <c r="AB25" s="52"/>
      <c r="AC25" s="52"/>
      <c r="AD25" s="52"/>
      <c r="AE25" s="52"/>
      <c r="AF25" s="52"/>
      <c r="AG25" s="52"/>
    </row>
    <row r="26" spans="1:33">
      <c r="A26" s="162"/>
      <c r="B26" s="162"/>
      <c r="C26" s="162"/>
      <c r="D26" s="162"/>
      <c r="E26" s="162"/>
      <c r="F26" s="162"/>
      <c r="G26" s="174"/>
      <c r="H26" s="161" t="s">
        <v>992</v>
      </c>
      <c r="I26" s="269">
        <f>E15</f>
        <v>4688.1872118302017</v>
      </c>
      <c r="J26" s="174"/>
      <c r="K26" s="174"/>
      <c r="L26" s="174"/>
      <c r="M26" s="201"/>
      <c r="N26" s="201"/>
      <c r="O26" s="52"/>
      <c r="P26" s="52"/>
      <c r="Q26" s="52"/>
      <c r="R26" s="52"/>
      <c r="S26" s="52"/>
      <c r="T26" s="52"/>
      <c r="U26" s="52"/>
      <c r="V26" s="52"/>
      <c r="W26" s="52"/>
      <c r="X26" s="52"/>
      <c r="Y26" s="52"/>
      <c r="Z26" s="52"/>
      <c r="AA26" s="52"/>
      <c r="AB26" s="52"/>
      <c r="AC26" s="52"/>
      <c r="AD26" s="52"/>
      <c r="AE26" s="52"/>
      <c r="AF26" s="52"/>
      <c r="AG26" s="52"/>
    </row>
    <row r="27" spans="1:33">
      <c r="A27" s="162"/>
      <c r="B27" s="162"/>
      <c r="C27" s="162"/>
      <c r="D27" s="162"/>
      <c r="E27" s="162"/>
      <c r="F27" s="162"/>
      <c r="G27" s="174"/>
      <c r="H27" s="161" t="s">
        <v>430</v>
      </c>
      <c r="I27" s="268">
        <f>E13</f>
        <v>350767.1208185532</v>
      </c>
      <c r="J27" s="174"/>
      <c r="K27" s="174"/>
      <c r="L27" s="174"/>
      <c r="M27" s="201"/>
      <c r="N27" s="201"/>
      <c r="O27" s="52"/>
      <c r="P27" s="52"/>
      <c r="Q27" s="52"/>
      <c r="R27" s="52"/>
      <c r="S27" s="52"/>
      <c r="T27" s="52"/>
      <c r="U27" s="52"/>
      <c r="V27" s="52"/>
      <c r="W27" s="52"/>
      <c r="X27" s="52"/>
      <c r="Y27" s="52"/>
      <c r="Z27" s="52"/>
      <c r="AA27" s="52"/>
      <c r="AB27" s="52"/>
      <c r="AC27" s="52"/>
      <c r="AD27" s="52"/>
      <c r="AE27" s="52"/>
      <c r="AF27" s="52"/>
      <c r="AG27" s="52"/>
    </row>
    <row r="28" spans="1:33">
      <c r="A28" s="162"/>
      <c r="B28" s="162"/>
      <c r="C28" s="162"/>
      <c r="D28" s="162"/>
      <c r="E28" s="162"/>
      <c r="F28" s="162"/>
      <c r="G28" s="174"/>
      <c r="H28" s="162"/>
      <c r="I28" s="162"/>
      <c r="J28" s="174"/>
      <c r="K28" s="174"/>
      <c r="L28" s="174"/>
      <c r="M28" s="201"/>
      <c r="N28" s="201"/>
      <c r="O28" s="52"/>
      <c r="P28" s="52"/>
      <c r="Q28" s="52"/>
      <c r="R28" s="52"/>
      <c r="S28" s="52"/>
      <c r="T28" s="52"/>
      <c r="U28" s="52"/>
      <c r="V28" s="52"/>
      <c r="W28" s="52"/>
      <c r="X28" s="52"/>
      <c r="Y28" s="52"/>
      <c r="Z28" s="52"/>
      <c r="AA28" s="52"/>
      <c r="AB28" s="52"/>
      <c r="AC28" s="52"/>
      <c r="AD28" s="52"/>
      <c r="AE28" s="52"/>
      <c r="AF28" s="52"/>
      <c r="AG28" s="52"/>
    </row>
    <row r="29" spans="1:33">
      <c r="A29" s="162"/>
      <c r="B29" s="162"/>
      <c r="C29" s="162"/>
      <c r="D29" s="162"/>
      <c r="E29" s="162"/>
      <c r="F29" s="162"/>
      <c r="G29" s="174"/>
      <c r="H29" s="162"/>
      <c r="I29" s="162"/>
      <c r="J29" s="174"/>
      <c r="K29" s="174"/>
      <c r="L29" s="174"/>
      <c r="M29" s="201"/>
      <c r="N29" s="201"/>
      <c r="O29" s="52"/>
      <c r="P29" s="52"/>
      <c r="Q29" s="52"/>
      <c r="R29" s="52"/>
      <c r="S29" s="52"/>
      <c r="T29" s="52"/>
      <c r="U29" s="52"/>
      <c r="V29" s="52"/>
      <c r="W29" s="52"/>
      <c r="X29" s="52"/>
      <c r="Y29" s="52"/>
      <c r="Z29" s="52"/>
      <c r="AA29" s="52"/>
      <c r="AB29" s="52"/>
      <c r="AC29" s="52"/>
      <c r="AD29" s="52"/>
      <c r="AE29" s="52"/>
      <c r="AF29" s="52"/>
      <c r="AG29" s="52"/>
    </row>
    <row r="30" spans="1:33">
      <c r="A30" s="162"/>
      <c r="B30" s="162"/>
      <c r="C30" s="162"/>
      <c r="D30" s="162"/>
      <c r="E30" s="162"/>
      <c r="F30" s="162"/>
      <c r="G30" s="174"/>
      <c r="H30" s="162"/>
      <c r="I30" s="162"/>
      <c r="J30" s="174"/>
      <c r="K30" s="174"/>
      <c r="L30" s="174"/>
      <c r="M30" s="201"/>
      <c r="N30" s="201"/>
      <c r="O30" s="52"/>
      <c r="P30" s="52"/>
      <c r="Q30" s="52"/>
      <c r="R30" s="52"/>
      <c r="S30" s="52"/>
      <c r="T30" s="52"/>
      <c r="U30" s="52"/>
      <c r="V30" s="52"/>
      <c r="W30" s="52"/>
      <c r="X30" s="52"/>
      <c r="Y30" s="52"/>
      <c r="Z30" s="52"/>
      <c r="AA30" s="52"/>
      <c r="AB30" s="52"/>
      <c r="AC30" s="52"/>
      <c r="AD30" s="52"/>
      <c r="AE30" s="52"/>
      <c r="AF30" s="52"/>
      <c r="AG30" s="52"/>
    </row>
    <row r="31" spans="1:33">
      <c r="A31" s="162"/>
      <c r="B31" s="162"/>
      <c r="C31" s="162"/>
      <c r="D31" s="162"/>
      <c r="E31" s="162"/>
      <c r="F31" s="162"/>
      <c r="G31" s="174"/>
      <c r="H31" s="162"/>
      <c r="I31" s="162"/>
      <c r="J31" s="174"/>
      <c r="K31" s="174"/>
      <c r="L31" s="174"/>
      <c r="M31" s="201"/>
      <c r="N31" s="201"/>
      <c r="O31" s="52"/>
      <c r="P31" s="52"/>
      <c r="Q31" s="52"/>
      <c r="R31" s="52"/>
      <c r="S31" s="52"/>
      <c r="T31" s="52"/>
      <c r="U31" s="52"/>
      <c r="V31" s="52"/>
      <c r="W31" s="52"/>
      <c r="X31" s="52"/>
      <c r="Y31" s="52"/>
      <c r="Z31" s="52"/>
      <c r="AA31" s="52"/>
      <c r="AB31" s="52"/>
      <c r="AC31" s="52"/>
      <c r="AD31" s="52"/>
      <c r="AE31" s="52"/>
      <c r="AF31" s="52"/>
      <c r="AG31" s="52"/>
    </row>
    <row r="32" spans="1:33">
      <c r="A32" s="162"/>
      <c r="B32" s="162"/>
      <c r="C32" s="162"/>
      <c r="D32" s="162"/>
      <c r="E32" s="162"/>
      <c r="F32" s="162"/>
      <c r="G32" s="174"/>
      <c r="H32" s="162"/>
      <c r="I32" s="162"/>
      <c r="J32" s="174"/>
      <c r="K32" s="174"/>
      <c r="L32" s="174"/>
      <c r="M32" s="201"/>
      <c r="N32" s="201"/>
      <c r="O32" s="52"/>
      <c r="P32" s="52"/>
      <c r="Q32" s="52"/>
      <c r="R32" s="52"/>
      <c r="S32" s="52"/>
      <c r="T32" s="52"/>
      <c r="U32" s="52"/>
      <c r="V32" s="52"/>
      <c r="W32" s="52"/>
      <c r="X32" s="52"/>
      <c r="Y32" s="52"/>
      <c r="Z32" s="52"/>
      <c r="AA32" s="52"/>
      <c r="AB32" s="52"/>
      <c r="AC32" s="52"/>
      <c r="AD32" s="52"/>
      <c r="AE32" s="52"/>
      <c r="AF32" s="52"/>
      <c r="AG32" s="52"/>
    </row>
    <row r="33" spans="1:33">
      <c r="A33" s="162"/>
      <c r="B33" s="162"/>
      <c r="C33" s="162"/>
      <c r="D33" s="162"/>
      <c r="E33" s="162"/>
      <c r="F33" s="162"/>
      <c r="G33" s="174"/>
      <c r="H33" s="162"/>
      <c r="I33" s="162"/>
      <c r="J33" s="174"/>
      <c r="K33" s="174"/>
      <c r="L33" s="174"/>
      <c r="M33" s="201"/>
      <c r="N33" s="201"/>
      <c r="O33" s="52"/>
      <c r="P33" s="52"/>
      <c r="Q33" s="52"/>
      <c r="R33" s="52"/>
      <c r="S33" s="52"/>
      <c r="T33" s="52"/>
      <c r="U33" s="52"/>
      <c r="V33" s="52"/>
      <c r="W33" s="52"/>
      <c r="X33" s="52"/>
      <c r="Y33" s="52"/>
      <c r="Z33" s="52"/>
      <c r="AA33" s="52"/>
      <c r="AB33" s="52"/>
      <c r="AC33" s="52"/>
      <c r="AD33" s="52"/>
      <c r="AE33" s="52"/>
      <c r="AF33" s="52"/>
      <c r="AG33" s="52"/>
    </row>
    <row r="34" spans="1:33">
      <c r="A34" s="162"/>
      <c r="B34" s="162"/>
      <c r="C34" s="162"/>
      <c r="D34" s="162"/>
      <c r="E34" s="162"/>
      <c r="F34" s="162"/>
      <c r="G34" s="174"/>
      <c r="H34" s="162"/>
      <c r="I34" s="162"/>
      <c r="J34" s="174"/>
      <c r="K34" s="174"/>
      <c r="L34" s="174"/>
      <c r="M34" s="201"/>
      <c r="N34" s="201"/>
      <c r="O34" s="52"/>
      <c r="P34" s="52"/>
      <c r="Q34" s="52"/>
      <c r="R34" s="52"/>
      <c r="S34" s="52"/>
      <c r="T34" s="52"/>
      <c r="U34" s="52"/>
      <c r="V34" s="52"/>
      <c r="W34" s="52"/>
      <c r="X34" s="52"/>
      <c r="Y34" s="52"/>
      <c r="Z34" s="52"/>
      <c r="AA34" s="52"/>
      <c r="AB34" s="52"/>
      <c r="AC34" s="52"/>
      <c r="AD34" s="52"/>
      <c r="AE34" s="52"/>
      <c r="AF34" s="52"/>
      <c r="AG34" s="52"/>
    </row>
    <row r="35" spans="1:33">
      <c r="A35" s="162"/>
      <c r="B35" s="162"/>
      <c r="C35" s="162"/>
      <c r="D35" s="162"/>
      <c r="E35" s="162"/>
      <c r="F35" s="162"/>
      <c r="G35" s="174"/>
      <c r="H35" s="162"/>
      <c r="I35" s="162"/>
      <c r="J35" s="174"/>
      <c r="K35" s="174"/>
      <c r="L35" s="174"/>
      <c r="M35" s="201"/>
      <c r="N35" s="201"/>
      <c r="O35" s="52"/>
      <c r="P35" s="52"/>
      <c r="Q35" s="52"/>
      <c r="R35" s="52"/>
      <c r="S35" s="52"/>
      <c r="T35" s="52"/>
      <c r="U35" s="52"/>
      <c r="V35" s="52"/>
      <c r="W35" s="52"/>
      <c r="X35" s="52"/>
      <c r="Y35" s="52"/>
      <c r="Z35" s="52"/>
      <c r="AA35" s="52"/>
      <c r="AB35" s="52"/>
      <c r="AC35" s="52"/>
      <c r="AD35" s="52"/>
      <c r="AE35" s="52"/>
      <c r="AF35" s="52"/>
      <c r="AG35" s="52"/>
    </row>
    <row r="36" spans="1:33">
      <c r="A36" s="162"/>
      <c r="B36" s="162"/>
      <c r="C36" s="162"/>
      <c r="D36" s="162"/>
      <c r="E36" s="162"/>
      <c r="F36" s="162"/>
      <c r="G36" s="174"/>
      <c r="H36" s="162"/>
      <c r="I36" s="162"/>
      <c r="J36" s="174"/>
      <c r="K36" s="174"/>
      <c r="L36" s="174"/>
      <c r="M36" s="201"/>
      <c r="N36" s="201"/>
      <c r="O36" s="52"/>
      <c r="P36" s="52"/>
      <c r="Q36" s="52"/>
      <c r="R36" s="52"/>
      <c r="S36" s="52"/>
      <c r="T36" s="52"/>
      <c r="U36" s="52"/>
      <c r="V36" s="52"/>
      <c r="W36" s="52"/>
      <c r="X36" s="52"/>
      <c r="Y36" s="52"/>
      <c r="Z36" s="52"/>
      <c r="AA36" s="52"/>
      <c r="AB36" s="52"/>
      <c r="AC36" s="52"/>
      <c r="AD36" s="52"/>
      <c r="AE36" s="52"/>
      <c r="AF36" s="52"/>
      <c r="AG36" s="52"/>
    </row>
    <row r="37" spans="1:33">
      <c r="A37" s="162"/>
      <c r="B37" s="162"/>
      <c r="C37" s="162"/>
      <c r="D37" s="162"/>
      <c r="E37" s="162"/>
      <c r="F37" s="162"/>
      <c r="G37" s="174"/>
      <c r="H37" s="162"/>
      <c r="I37" s="162"/>
      <c r="J37" s="174"/>
      <c r="K37" s="174"/>
      <c r="L37" s="174"/>
      <c r="M37" s="201"/>
      <c r="N37" s="201"/>
      <c r="O37" s="52"/>
      <c r="P37" s="52"/>
      <c r="Q37" s="52"/>
      <c r="R37" s="52"/>
      <c r="S37" s="52"/>
      <c r="T37" s="52"/>
      <c r="U37" s="52"/>
      <c r="V37" s="52"/>
      <c r="W37" s="52"/>
      <c r="X37" s="52"/>
      <c r="Y37" s="52"/>
      <c r="Z37" s="52"/>
      <c r="AA37" s="52"/>
      <c r="AB37" s="52"/>
      <c r="AC37" s="52"/>
      <c r="AD37" s="52"/>
      <c r="AE37" s="52"/>
      <c r="AF37" s="52"/>
      <c r="AG37" s="52"/>
    </row>
    <row r="38" spans="1:33">
      <c r="A38" s="162"/>
      <c r="B38" s="162"/>
      <c r="C38" s="162"/>
      <c r="D38" s="162"/>
      <c r="E38" s="162"/>
      <c r="F38" s="162"/>
      <c r="G38" s="174"/>
      <c r="H38" s="162"/>
      <c r="I38" s="162"/>
      <c r="J38" s="174"/>
      <c r="K38" s="174"/>
      <c r="L38" s="174"/>
      <c r="M38" s="201"/>
      <c r="N38" s="201"/>
      <c r="O38" s="52"/>
      <c r="P38" s="52"/>
      <c r="Q38" s="52"/>
      <c r="R38" s="52"/>
      <c r="S38" s="52"/>
      <c r="T38" s="52"/>
      <c r="U38" s="52"/>
      <c r="V38" s="52"/>
      <c r="W38" s="52"/>
      <c r="X38" s="52"/>
      <c r="Y38" s="52"/>
      <c r="Z38" s="52"/>
      <c r="AA38" s="52"/>
      <c r="AB38" s="52"/>
      <c r="AC38" s="52"/>
      <c r="AD38" s="52"/>
      <c r="AE38" s="52"/>
      <c r="AF38" s="52"/>
      <c r="AG38" s="52"/>
    </row>
    <row r="39" spans="1:33">
      <c r="A39" s="162"/>
      <c r="B39" s="162"/>
      <c r="C39" s="162"/>
      <c r="D39" s="162"/>
      <c r="E39" s="162"/>
      <c r="F39" s="162"/>
      <c r="G39" s="174"/>
      <c r="H39" s="162"/>
      <c r="I39" s="162"/>
      <c r="J39" s="174"/>
      <c r="K39" s="174"/>
      <c r="L39" s="174"/>
      <c r="M39" s="201"/>
      <c r="N39" s="201"/>
      <c r="O39" s="52"/>
      <c r="P39" s="52"/>
      <c r="Q39" s="52"/>
      <c r="R39" s="52"/>
      <c r="S39" s="52"/>
      <c r="T39" s="52"/>
      <c r="U39" s="52"/>
      <c r="V39" s="52"/>
      <c r="W39" s="52"/>
      <c r="X39" s="52"/>
      <c r="Y39" s="52"/>
      <c r="Z39" s="52"/>
      <c r="AA39" s="52"/>
      <c r="AB39" s="52"/>
      <c r="AC39" s="52"/>
      <c r="AD39" s="52"/>
      <c r="AE39" s="52"/>
      <c r="AF39" s="52"/>
      <c r="AG39" s="52"/>
    </row>
    <row r="40" spans="1:33">
      <c r="A40" s="164" t="s">
        <v>996</v>
      </c>
      <c r="B40" s="164" t="str">
        <f>'DCF Valuation'!B16</f>
        <v>2025E</v>
      </c>
      <c r="C40" s="164" t="str">
        <f>'DCF Valuation'!C16</f>
        <v>2026E</v>
      </c>
      <c r="D40" s="164" t="str">
        <f>'DCF Valuation'!D16</f>
        <v>2027E</v>
      </c>
      <c r="E40" s="164" t="str">
        <f>'DCF Valuation'!E16</f>
        <v>2028E</v>
      </c>
      <c r="F40" s="164" t="str">
        <f>'DCF Valuation'!F16</f>
        <v>2029E</v>
      </c>
      <c r="G40" s="174"/>
      <c r="H40" s="162"/>
      <c r="I40" s="162"/>
      <c r="J40" s="174"/>
      <c r="K40" s="174"/>
      <c r="L40" s="174"/>
      <c r="M40" s="201"/>
      <c r="N40" s="201"/>
      <c r="O40" s="52"/>
      <c r="P40" s="52"/>
      <c r="Q40" s="52"/>
      <c r="R40" s="52"/>
      <c r="S40" s="52"/>
      <c r="T40" s="52"/>
      <c r="U40" s="52"/>
      <c r="V40" s="52"/>
      <c r="W40" s="52"/>
      <c r="X40" s="52"/>
      <c r="Y40" s="52"/>
      <c r="Z40" s="52"/>
      <c r="AA40" s="52"/>
      <c r="AB40" s="52"/>
      <c r="AC40" s="52"/>
      <c r="AD40" s="52"/>
      <c r="AE40" s="52"/>
      <c r="AF40" s="52"/>
      <c r="AG40" s="52"/>
    </row>
    <row r="41" spans="1:33">
      <c r="A41" s="161" t="str">
        <f>'DCF Valuation'!A23</f>
        <v>Free Cash Flow to Firm</v>
      </c>
      <c r="B41" s="90">
        <f>'DCF Valuation'!B23</f>
        <v>18784.948275775998</v>
      </c>
      <c r="C41" s="90">
        <f>'DCF Valuation'!C23</f>
        <v>19435.741645375994</v>
      </c>
      <c r="D41" s="90">
        <f>'DCF Valuation'!D23</f>
        <v>21798.440108364801</v>
      </c>
      <c r="E41" s="90">
        <f>'DCF Valuation'!E23</f>
        <v>24283.100438018817</v>
      </c>
      <c r="F41" s="90">
        <f>'DCF Valuation'!F23</f>
        <v>26858.748557578921</v>
      </c>
      <c r="G41" s="174"/>
      <c r="H41" s="162"/>
      <c r="I41" s="162"/>
      <c r="J41" s="174"/>
      <c r="K41" s="174"/>
      <c r="L41" s="174"/>
      <c r="M41" s="201"/>
      <c r="N41" s="201"/>
      <c r="O41" s="52"/>
      <c r="P41" s="52"/>
      <c r="Q41" s="52"/>
      <c r="R41" s="52"/>
      <c r="S41" s="52"/>
      <c r="T41" s="52"/>
      <c r="U41" s="52"/>
      <c r="V41" s="52"/>
      <c r="W41" s="52"/>
      <c r="X41" s="52"/>
      <c r="Y41" s="52"/>
      <c r="Z41" s="52"/>
      <c r="AA41" s="52"/>
      <c r="AB41" s="52"/>
      <c r="AC41" s="52"/>
      <c r="AD41" s="52"/>
      <c r="AE41" s="52"/>
      <c r="AF41" s="52"/>
      <c r="AG41" s="52"/>
    </row>
    <row r="42" spans="1:33">
      <c r="A42" s="162"/>
      <c r="B42" s="162"/>
      <c r="C42" s="162"/>
      <c r="D42" s="162"/>
      <c r="E42" s="162"/>
      <c r="F42" s="162"/>
      <c r="G42" s="174"/>
      <c r="H42" s="162"/>
      <c r="I42" s="162"/>
      <c r="J42" s="174"/>
      <c r="K42" s="174"/>
      <c r="L42" s="174"/>
      <c r="M42" s="201"/>
      <c r="N42" s="201"/>
      <c r="O42" s="52"/>
      <c r="P42" s="52"/>
      <c r="Q42" s="52"/>
      <c r="R42" s="52"/>
      <c r="S42" s="52"/>
      <c r="T42" s="52"/>
      <c r="U42" s="52"/>
      <c r="V42" s="52"/>
      <c r="W42" s="52"/>
      <c r="X42" s="52"/>
      <c r="Y42" s="52"/>
      <c r="Z42" s="52"/>
      <c r="AA42" s="52"/>
      <c r="AB42" s="52"/>
      <c r="AC42" s="52"/>
      <c r="AD42" s="52"/>
      <c r="AE42" s="52"/>
      <c r="AF42" s="52"/>
      <c r="AG42" s="52"/>
    </row>
    <row r="43" spans="1:33">
      <c r="A43" s="162"/>
      <c r="B43" s="162"/>
      <c r="C43" s="162"/>
      <c r="D43" s="162"/>
      <c r="E43" s="162"/>
      <c r="F43" s="162"/>
      <c r="G43" s="174"/>
      <c r="H43" s="162"/>
      <c r="I43" s="162"/>
      <c r="J43" s="174"/>
      <c r="K43" s="174"/>
      <c r="L43" s="174"/>
      <c r="M43" s="201"/>
      <c r="N43" s="201"/>
      <c r="O43" s="52"/>
      <c r="P43" s="52"/>
      <c r="Q43" s="52"/>
      <c r="R43" s="52"/>
      <c r="S43" s="52"/>
      <c r="T43" s="52"/>
      <c r="U43" s="52"/>
      <c r="V43" s="52"/>
      <c r="W43" s="52"/>
      <c r="X43" s="52"/>
      <c r="Y43" s="52"/>
      <c r="Z43" s="52"/>
      <c r="AA43" s="52"/>
      <c r="AB43" s="52"/>
      <c r="AC43" s="52"/>
      <c r="AD43" s="52"/>
      <c r="AE43" s="52"/>
      <c r="AF43" s="52"/>
      <c r="AG43" s="52"/>
    </row>
    <row r="44" spans="1:33">
      <c r="A44" s="162"/>
      <c r="B44" s="162"/>
      <c r="C44" s="162"/>
      <c r="D44" s="162"/>
      <c r="E44" s="162"/>
      <c r="F44" s="162"/>
      <c r="G44" s="174"/>
      <c r="H44" s="162"/>
      <c r="I44" s="162"/>
      <c r="J44" s="174"/>
      <c r="K44" s="174"/>
      <c r="L44" s="174"/>
      <c r="M44" s="201"/>
      <c r="N44" s="201"/>
      <c r="O44" s="52"/>
      <c r="P44" s="52"/>
      <c r="Q44" s="52"/>
      <c r="R44" s="52"/>
      <c r="S44" s="52"/>
      <c r="T44" s="52"/>
      <c r="U44" s="52"/>
      <c r="V44" s="52"/>
      <c r="W44" s="52"/>
      <c r="X44" s="52"/>
      <c r="Y44" s="52"/>
      <c r="Z44" s="52"/>
      <c r="AA44" s="52"/>
      <c r="AB44" s="52"/>
      <c r="AC44" s="52"/>
      <c r="AD44" s="52"/>
      <c r="AE44" s="52"/>
      <c r="AF44" s="52"/>
      <c r="AG44" s="52"/>
    </row>
    <row r="45" spans="1:33">
      <c r="A45" s="162"/>
      <c r="B45" s="162"/>
      <c r="C45" s="162"/>
      <c r="D45" s="162"/>
      <c r="E45" s="162"/>
      <c r="F45" s="162"/>
      <c r="G45" s="174"/>
      <c r="H45" s="162"/>
      <c r="I45" s="162"/>
      <c r="J45" s="174"/>
      <c r="K45" s="174"/>
      <c r="L45" s="174"/>
      <c r="M45" s="201"/>
      <c r="N45" s="201"/>
      <c r="O45" s="52"/>
      <c r="P45" s="52"/>
      <c r="Q45" s="52"/>
      <c r="R45" s="52"/>
      <c r="S45" s="52"/>
      <c r="T45" s="52"/>
      <c r="U45" s="52"/>
      <c r="V45" s="52"/>
      <c r="W45" s="52"/>
      <c r="X45" s="52"/>
      <c r="Y45" s="52"/>
      <c r="Z45" s="52"/>
      <c r="AA45" s="52"/>
      <c r="AB45" s="52"/>
      <c r="AC45" s="52"/>
      <c r="AD45" s="52"/>
      <c r="AE45" s="52"/>
      <c r="AF45" s="52"/>
      <c r="AG45" s="52"/>
    </row>
    <row r="46" spans="1:33">
      <c r="A46" s="162"/>
      <c r="B46" s="162"/>
      <c r="C46" s="162"/>
      <c r="D46" s="162"/>
      <c r="E46" s="162"/>
      <c r="F46" s="162"/>
      <c r="G46" s="174"/>
      <c r="H46" s="162"/>
      <c r="I46" s="162"/>
      <c r="J46" s="174"/>
      <c r="K46" s="174"/>
      <c r="L46" s="174"/>
      <c r="M46" s="201"/>
      <c r="N46" s="201"/>
      <c r="O46" s="52"/>
      <c r="P46" s="52"/>
      <c r="Q46" s="52"/>
      <c r="R46" s="52"/>
      <c r="S46" s="52"/>
      <c r="T46" s="52"/>
      <c r="U46" s="52"/>
      <c r="V46" s="52"/>
      <c r="W46" s="52"/>
      <c r="X46" s="52"/>
      <c r="Y46" s="52"/>
      <c r="Z46" s="52"/>
      <c r="AA46" s="52"/>
      <c r="AB46" s="52"/>
      <c r="AC46" s="52"/>
      <c r="AD46" s="52"/>
      <c r="AE46" s="52"/>
      <c r="AF46" s="52"/>
      <c r="AG46" s="52"/>
    </row>
    <row r="47" spans="1:33">
      <c r="A47" s="162"/>
      <c r="B47" s="162"/>
      <c r="C47" s="162"/>
      <c r="D47" s="162"/>
      <c r="E47" s="162"/>
      <c r="F47" s="162"/>
      <c r="G47" s="174"/>
      <c r="H47" s="162"/>
      <c r="I47" s="162"/>
      <c r="J47" s="174"/>
      <c r="K47" s="174"/>
      <c r="L47" s="174"/>
      <c r="M47" s="201"/>
      <c r="N47" s="201"/>
      <c r="O47" s="52"/>
      <c r="P47" s="52"/>
      <c r="Q47" s="52"/>
      <c r="R47" s="52"/>
      <c r="S47" s="52"/>
      <c r="T47" s="52"/>
      <c r="U47" s="52"/>
      <c r="V47" s="52"/>
      <c r="W47" s="52"/>
      <c r="X47" s="52"/>
      <c r="Y47" s="52"/>
      <c r="Z47" s="52"/>
      <c r="AA47" s="52"/>
      <c r="AB47" s="52"/>
      <c r="AC47" s="52"/>
      <c r="AD47" s="52"/>
      <c r="AE47" s="52"/>
      <c r="AF47" s="52"/>
      <c r="AG47" s="52"/>
    </row>
    <row r="48" spans="1:33">
      <c r="A48" s="162"/>
      <c r="B48" s="162"/>
      <c r="C48" s="162"/>
      <c r="D48" s="162"/>
      <c r="E48" s="162"/>
      <c r="F48" s="162"/>
      <c r="G48" s="174"/>
      <c r="H48" s="162"/>
      <c r="I48" s="162"/>
      <c r="J48" s="174"/>
      <c r="K48" s="174"/>
      <c r="L48" s="174"/>
      <c r="M48" s="201"/>
      <c r="N48" s="201"/>
      <c r="O48" s="52"/>
      <c r="P48" s="52"/>
      <c r="Q48" s="52"/>
      <c r="R48" s="52"/>
      <c r="S48" s="52"/>
      <c r="T48" s="52"/>
      <c r="U48" s="52"/>
      <c r="V48" s="52"/>
      <c r="W48" s="52"/>
      <c r="X48" s="52"/>
      <c r="Y48" s="52"/>
      <c r="Z48" s="52"/>
      <c r="AA48" s="52"/>
      <c r="AB48" s="52"/>
      <c r="AC48" s="52"/>
      <c r="AD48" s="52"/>
      <c r="AE48" s="52"/>
      <c r="AF48" s="52"/>
      <c r="AG48" s="52"/>
    </row>
    <row r="49" spans="1:33">
      <c r="A49" s="162"/>
      <c r="B49" s="162"/>
      <c r="C49" s="162"/>
      <c r="D49" s="162"/>
      <c r="E49" s="162"/>
      <c r="F49" s="162"/>
      <c r="G49" s="174"/>
      <c r="H49" s="162"/>
      <c r="I49" s="162"/>
      <c r="J49" s="174"/>
      <c r="K49" s="174"/>
      <c r="L49" s="174"/>
      <c r="M49" s="201"/>
      <c r="N49" s="201"/>
      <c r="O49" s="52"/>
      <c r="P49" s="52"/>
      <c r="Q49" s="52"/>
      <c r="R49" s="52"/>
      <c r="S49" s="52"/>
      <c r="T49" s="52"/>
      <c r="U49" s="52"/>
      <c r="V49" s="52"/>
      <c r="W49" s="52"/>
      <c r="X49" s="52"/>
      <c r="Y49" s="52"/>
      <c r="Z49" s="52"/>
      <c r="AA49" s="52"/>
      <c r="AB49" s="52"/>
      <c r="AC49" s="52"/>
      <c r="AD49" s="52"/>
      <c r="AE49" s="52"/>
      <c r="AF49" s="52"/>
      <c r="AG49" s="52"/>
    </row>
    <row r="50" spans="1:33">
      <c r="A50" s="162"/>
      <c r="B50" s="162"/>
      <c r="C50" s="162"/>
      <c r="D50" s="162"/>
      <c r="E50" s="162"/>
      <c r="F50" s="162"/>
      <c r="G50" s="174"/>
      <c r="H50" s="162"/>
      <c r="I50" s="162"/>
      <c r="J50" s="174"/>
      <c r="K50" s="174"/>
      <c r="L50" s="174"/>
      <c r="M50" s="201"/>
      <c r="N50" s="201"/>
      <c r="O50" s="52"/>
      <c r="P50" s="52"/>
      <c r="Q50" s="52"/>
      <c r="R50" s="52"/>
      <c r="S50" s="52"/>
      <c r="T50" s="52"/>
      <c r="U50" s="52"/>
      <c r="V50" s="52"/>
      <c r="W50" s="52"/>
      <c r="X50" s="52"/>
      <c r="Y50" s="52"/>
      <c r="Z50" s="52"/>
      <c r="AA50" s="52"/>
      <c r="AB50" s="52"/>
      <c r="AC50" s="52"/>
      <c r="AD50" s="52"/>
      <c r="AE50" s="52"/>
      <c r="AF50" s="52"/>
      <c r="AG50" s="52"/>
    </row>
    <row r="51" spans="1:33">
      <c r="A51" s="162"/>
      <c r="B51" s="162"/>
      <c r="C51" s="162"/>
      <c r="D51" s="162"/>
      <c r="E51" s="162"/>
      <c r="F51" s="162"/>
      <c r="G51" s="174"/>
      <c r="H51" s="162"/>
      <c r="I51" s="162"/>
      <c r="J51" s="174"/>
      <c r="K51" s="174"/>
      <c r="L51" s="174"/>
      <c r="M51" s="201"/>
      <c r="N51" s="201"/>
      <c r="O51" s="52"/>
      <c r="P51" s="52"/>
      <c r="Q51" s="52"/>
      <c r="R51" s="52"/>
      <c r="S51" s="52"/>
      <c r="T51" s="52"/>
      <c r="U51" s="52"/>
      <c r="V51" s="52"/>
      <c r="W51" s="52"/>
      <c r="X51" s="52"/>
      <c r="Y51" s="52"/>
      <c r="Z51" s="52"/>
      <c r="AA51" s="52"/>
      <c r="AB51" s="52"/>
      <c r="AC51" s="52"/>
      <c r="AD51" s="52"/>
      <c r="AE51" s="52"/>
      <c r="AF51" s="52"/>
      <c r="AG51" s="52"/>
    </row>
    <row r="52" spans="1:33">
      <c r="A52" s="162"/>
      <c r="B52" s="162"/>
      <c r="C52" s="162"/>
      <c r="D52" s="162"/>
      <c r="E52" s="162"/>
      <c r="F52" s="162"/>
      <c r="G52" s="174"/>
      <c r="H52" s="162"/>
      <c r="I52" s="162"/>
      <c r="J52" s="174"/>
      <c r="K52" s="174"/>
      <c r="L52" s="174"/>
      <c r="M52" s="201"/>
      <c r="N52" s="201"/>
      <c r="O52" s="52"/>
      <c r="P52" s="52"/>
      <c r="Q52" s="52"/>
      <c r="R52" s="52"/>
      <c r="S52" s="52"/>
      <c r="T52" s="52"/>
      <c r="U52" s="52"/>
      <c r="V52" s="52"/>
      <c r="W52" s="52"/>
      <c r="X52" s="52"/>
      <c r="Y52" s="52"/>
      <c r="Z52" s="52"/>
      <c r="AA52" s="52"/>
      <c r="AB52" s="52"/>
      <c r="AC52" s="52"/>
      <c r="AD52" s="52"/>
      <c r="AE52" s="52"/>
      <c r="AF52" s="52"/>
      <c r="AG52" s="52"/>
    </row>
    <row r="53" spans="1:33">
      <c r="A53" s="162"/>
      <c r="B53" s="162"/>
      <c r="C53" s="162"/>
      <c r="D53" s="162"/>
      <c r="E53" s="162"/>
      <c r="F53" s="162"/>
      <c r="G53" s="174"/>
      <c r="H53" s="162"/>
      <c r="I53" s="162"/>
      <c r="J53" s="174"/>
      <c r="K53" s="174"/>
      <c r="L53" s="174"/>
      <c r="M53" s="201"/>
      <c r="N53" s="201"/>
      <c r="O53" s="52"/>
      <c r="P53" s="52"/>
      <c r="Q53" s="52"/>
      <c r="R53" s="52"/>
      <c r="S53" s="52"/>
      <c r="T53" s="52"/>
      <c r="U53" s="52"/>
      <c r="V53" s="52"/>
      <c r="W53" s="52"/>
      <c r="X53" s="52"/>
      <c r="Y53" s="52"/>
      <c r="Z53" s="52"/>
      <c r="AA53" s="52"/>
      <c r="AB53" s="52"/>
      <c r="AC53" s="52"/>
      <c r="AD53" s="52"/>
      <c r="AE53" s="52"/>
      <c r="AF53" s="52"/>
      <c r="AG53" s="52"/>
    </row>
    <row r="54" spans="1:33">
      <c r="A54" s="162"/>
      <c r="B54" s="162"/>
      <c r="C54" s="162"/>
      <c r="D54" s="162"/>
      <c r="E54" s="162"/>
      <c r="F54" s="162"/>
      <c r="G54" s="174"/>
      <c r="H54" s="162"/>
      <c r="I54" s="162"/>
      <c r="J54" s="174"/>
      <c r="K54" s="174"/>
      <c r="L54" s="174"/>
      <c r="M54" s="201"/>
      <c r="N54" s="201"/>
      <c r="O54" s="52"/>
      <c r="P54" s="52"/>
      <c r="Q54" s="52"/>
      <c r="R54" s="52"/>
      <c r="S54" s="52"/>
      <c r="T54" s="52"/>
      <c r="U54" s="52"/>
      <c r="V54" s="52"/>
      <c r="W54" s="52"/>
      <c r="X54" s="52"/>
      <c r="Y54" s="52"/>
      <c r="Z54" s="52"/>
      <c r="AA54" s="52"/>
      <c r="AB54" s="52"/>
      <c r="AC54" s="52"/>
      <c r="AD54" s="52"/>
      <c r="AE54" s="52"/>
      <c r="AF54" s="52"/>
      <c r="AG54" s="52"/>
    </row>
    <row r="55" spans="1:33">
      <c r="A55" s="162"/>
      <c r="B55" s="162"/>
      <c r="C55" s="162"/>
      <c r="D55" s="162"/>
      <c r="E55" s="162"/>
      <c r="F55" s="162"/>
      <c r="G55" s="174"/>
      <c r="H55" s="162"/>
      <c r="I55" s="162"/>
      <c r="J55" s="174"/>
      <c r="K55" s="174"/>
      <c r="L55" s="174"/>
      <c r="M55" s="201"/>
      <c r="N55" s="201"/>
      <c r="O55" s="52"/>
      <c r="P55" s="52"/>
      <c r="Q55" s="52"/>
      <c r="R55" s="52"/>
      <c r="S55" s="52"/>
      <c r="T55" s="52"/>
      <c r="U55" s="52"/>
      <c r="V55" s="52"/>
      <c r="W55" s="52"/>
      <c r="X55" s="52"/>
      <c r="Y55" s="52"/>
      <c r="Z55" s="52"/>
      <c r="AA55" s="52"/>
      <c r="AB55" s="52"/>
      <c r="AC55" s="52"/>
      <c r="AD55" s="52"/>
      <c r="AE55" s="52"/>
      <c r="AF55" s="52"/>
      <c r="AG55" s="52"/>
    </row>
    <row r="56" spans="1:33">
      <c r="A56" s="162"/>
      <c r="B56" s="162"/>
      <c r="C56" s="162"/>
      <c r="D56" s="162"/>
      <c r="E56" s="162"/>
      <c r="F56" s="162"/>
      <c r="G56" s="174"/>
      <c r="H56" s="162"/>
      <c r="I56" s="162"/>
      <c r="J56" s="174"/>
      <c r="K56" s="174"/>
      <c r="L56" s="174"/>
      <c r="M56" s="201"/>
      <c r="N56" s="201"/>
      <c r="O56" s="52"/>
      <c r="P56" s="52"/>
      <c r="Q56" s="52"/>
      <c r="R56" s="52"/>
      <c r="S56" s="52"/>
      <c r="T56" s="52"/>
      <c r="U56" s="52"/>
      <c r="V56" s="52"/>
      <c r="W56" s="52"/>
      <c r="X56" s="52"/>
      <c r="Y56" s="52"/>
      <c r="Z56" s="52"/>
      <c r="AA56" s="52"/>
      <c r="AB56" s="52"/>
      <c r="AC56" s="52"/>
      <c r="AD56" s="52"/>
      <c r="AE56" s="52"/>
      <c r="AF56" s="52"/>
      <c r="AG56" s="52"/>
    </row>
    <row r="57" spans="1:33">
      <c r="A57" s="162"/>
      <c r="B57" s="162"/>
      <c r="C57" s="162"/>
      <c r="D57" s="162"/>
      <c r="E57" s="162"/>
      <c r="F57" s="162"/>
      <c r="G57" s="174"/>
      <c r="H57" s="162"/>
      <c r="I57" s="162"/>
      <c r="J57" s="174"/>
      <c r="K57" s="174"/>
      <c r="L57" s="174"/>
      <c r="M57" s="201"/>
      <c r="N57" s="201"/>
      <c r="O57" s="52"/>
      <c r="P57" s="52"/>
      <c r="Q57" s="52"/>
      <c r="R57" s="52"/>
      <c r="S57" s="52"/>
      <c r="T57" s="52"/>
      <c r="U57" s="52"/>
      <c r="V57" s="52"/>
      <c r="W57" s="52"/>
      <c r="X57" s="52"/>
      <c r="Y57" s="52"/>
      <c r="Z57" s="52"/>
      <c r="AA57" s="52"/>
      <c r="AB57" s="52"/>
      <c r="AC57" s="52"/>
      <c r="AD57" s="52"/>
      <c r="AE57" s="52"/>
      <c r="AF57" s="52"/>
      <c r="AG57" s="52"/>
    </row>
    <row r="58" spans="1:33">
      <c r="A58" s="162"/>
      <c r="B58" s="162"/>
      <c r="C58" s="162"/>
      <c r="D58" s="162"/>
      <c r="E58" s="162"/>
      <c r="F58" s="162"/>
      <c r="G58" s="174"/>
      <c r="H58" s="162"/>
      <c r="I58" s="162"/>
      <c r="J58" s="174"/>
      <c r="K58" s="174"/>
      <c r="L58" s="174"/>
      <c r="M58" s="201"/>
      <c r="N58" s="201"/>
      <c r="O58" s="52"/>
      <c r="P58" s="52"/>
      <c r="Q58" s="52"/>
      <c r="R58" s="52"/>
      <c r="S58" s="52"/>
      <c r="T58" s="52"/>
      <c r="U58" s="52"/>
      <c r="V58" s="52"/>
      <c r="W58" s="52"/>
      <c r="X58" s="52"/>
      <c r="Y58" s="52"/>
      <c r="Z58" s="52"/>
      <c r="AA58" s="52"/>
      <c r="AB58" s="52"/>
      <c r="AC58" s="52"/>
      <c r="AD58" s="52"/>
      <c r="AE58" s="52"/>
      <c r="AF58" s="52"/>
      <c r="AG58" s="52"/>
    </row>
    <row r="59" spans="1:33">
      <c r="A59" s="162"/>
      <c r="B59" s="162"/>
      <c r="C59" s="162"/>
      <c r="D59" s="162"/>
      <c r="E59" s="162"/>
      <c r="F59" s="162"/>
      <c r="G59" s="174"/>
      <c r="H59" s="162"/>
      <c r="I59" s="162"/>
      <c r="J59" s="174"/>
      <c r="K59" s="174"/>
      <c r="L59" s="174"/>
      <c r="M59" s="201"/>
      <c r="N59" s="201"/>
      <c r="O59" s="52"/>
      <c r="P59" s="52"/>
      <c r="Q59" s="52"/>
      <c r="R59" s="52"/>
      <c r="S59" s="52"/>
      <c r="T59" s="52"/>
      <c r="U59" s="52"/>
      <c r="V59" s="52"/>
      <c r="W59" s="52"/>
      <c r="X59" s="52"/>
      <c r="Y59" s="52"/>
      <c r="Z59" s="52"/>
      <c r="AA59" s="52"/>
      <c r="AB59" s="52"/>
      <c r="AC59" s="52"/>
      <c r="AD59" s="52"/>
      <c r="AE59" s="52"/>
      <c r="AF59" s="52"/>
      <c r="AG59" s="52"/>
    </row>
    <row r="60" spans="1:33">
      <c r="A60" s="162"/>
      <c r="B60" s="162"/>
      <c r="C60" s="162"/>
      <c r="D60" s="162"/>
      <c r="E60" s="162"/>
      <c r="F60" s="162"/>
      <c r="G60" s="174"/>
      <c r="H60" s="162"/>
      <c r="I60" s="162"/>
      <c r="J60" s="174"/>
      <c r="K60" s="174"/>
      <c r="L60" s="174"/>
      <c r="M60" s="201"/>
      <c r="N60" s="201"/>
      <c r="O60" s="52"/>
      <c r="P60" s="52"/>
      <c r="Q60" s="52"/>
      <c r="R60" s="52"/>
      <c r="S60" s="52"/>
      <c r="T60" s="52"/>
      <c r="U60" s="52"/>
      <c r="V60" s="52"/>
      <c r="W60" s="52"/>
      <c r="X60" s="52"/>
      <c r="Y60" s="52"/>
      <c r="Z60" s="52"/>
      <c r="AA60" s="52"/>
      <c r="AB60" s="52"/>
      <c r="AC60" s="52"/>
      <c r="AD60" s="52"/>
      <c r="AE60" s="52"/>
      <c r="AF60" s="52"/>
      <c r="AG60" s="52"/>
    </row>
    <row r="61" spans="1:33" ht="18">
      <c r="A61" s="165" t="s">
        <v>1003</v>
      </c>
      <c r="B61" s="165" t="s">
        <v>999</v>
      </c>
      <c r="C61" s="165" t="s">
        <v>1000</v>
      </c>
      <c r="D61" s="160" t="s">
        <v>1004</v>
      </c>
      <c r="E61" s="166" t="s">
        <v>1006</v>
      </c>
      <c r="F61" s="166"/>
      <c r="G61" s="174"/>
      <c r="H61" s="174"/>
      <c r="I61" s="174"/>
      <c r="J61" s="174"/>
      <c r="K61" s="174"/>
      <c r="L61" s="174"/>
      <c r="M61" s="201"/>
      <c r="N61" s="201"/>
      <c r="O61" s="52"/>
      <c r="P61" s="52"/>
      <c r="Q61" s="52"/>
      <c r="R61" s="52"/>
      <c r="S61" s="52"/>
      <c r="T61" s="52"/>
      <c r="U61" s="52"/>
      <c r="V61" s="52"/>
      <c r="W61" s="52"/>
      <c r="X61" s="52"/>
      <c r="Y61" s="52"/>
      <c r="Z61" s="52"/>
      <c r="AA61" s="52"/>
      <c r="AB61" s="52"/>
      <c r="AC61" s="52"/>
      <c r="AD61" s="52"/>
      <c r="AE61" s="52"/>
      <c r="AF61" s="52"/>
      <c r="AG61" s="52"/>
    </row>
    <row r="62" spans="1:33" ht="18">
      <c r="A62" s="161" t="s">
        <v>840</v>
      </c>
      <c r="B62" s="48">
        <v>350</v>
      </c>
      <c r="C62" s="48">
        <v>420</v>
      </c>
      <c r="D62" s="48">
        <f>C62-B62</f>
        <v>70</v>
      </c>
      <c r="E62" s="230" t="s">
        <v>1007</v>
      </c>
      <c r="F62" s="230"/>
      <c r="G62" s="174"/>
      <c r="H62" s="174"/>
      <c r="I62" s="174"/>
      <c r="J62" s="174"/>
      <c r="K62" s="174"/>
      <c r="L62" s="174"/>
      <c r="M62" s="201"/>
      <c r="N62" s="201"/>
      <c r="O62" s="52"/>
      <c r="P62" s="52"/>
      <c r="Q62" s="52"/>
      <c r="R62" s="52"/>
      <c r="S62" s="52"/>
      <c r="T62" s="52"/>
      <c r="U62" s="52"/>
      <c r="V62" s="52"/>
      <c r="W62" s="52"/>
      <c r="X62" s="52"/>
      <c r="Y62" s="52"/>
      <c r="Z62" s="52"/>
      <c r="AA62" s="52"/>
      <c r="AB62" s="52"/>
      <c r="AC62" s="52"/>
      <c r="AD62" s="52"/>
      <c r="AE62" s="52"/>
      <c r="AF62" s="52"/>
      <c r="AG62" s="52"/>
    </row>
    <row r="63" spans="1:33" ht="18">
      <c r="A63" s="161" t="s">
        <v>1001</v>
      </c>
      <c r="B63" s="48">
        <v>320</v>
      </c>
      <c r="C63" s="48">
        <v>420</v>
      </c>
      <c r="D63" s="48">
        <f>C63-B63</f>
        <v>100</v>
      </c>
      <c r="E63" s="230" t="s">
        <v>1008</v>
      </c>
      <c r="F63" s="230"/>
      <c r="G63" s="174"/>
      <c r="H63" s="174"/>
      <c r="I63" s="174"/>
      <c r="J63" s="174"/>
      <c r="K63" s="284"/>
      <c r="L63" s="284"/>
      <c r="M63" s="201"/>
      <c r="N63" s="201"/>
      <c r="O63" s="52"/>
      <c r="P63" s="52"/>
      <c r="Q63" s="52"/>
      <c r="R63" s="52"/>
      <c r="S63" s="52"/>
      <c r="T63" s="52"/>
      <c r="U63" s="52"/>
      <c r="V63" s="52"/>
      <c r="W63" s="52"/>
      <c r="X63" s="52"/>
      <c r="Y63" s="52"/>
      <c r="Z63" s="52"/>
      <c r="AA63" s="52"/>
      <c r="AB63" s="52"/>
      <c r="AC63" s="52"/>
      <c r="AD63" s="52"/>
      <c r="AE63" s="52"/>
      <c r="AF63" s="52"/>
      <c r="AG63" s="52"/>
    </row>
    <row r="64" spans="1:33" ht="18">
      <c r="A64" s="161" t="s">
        <v>218</v>
      </c>
      <c r="B64" s="48">
        <v>300</v>
      </c>
      <c r="C64" s="48">
        <v>410</v>
      </c>
      <c r="D64" s="48">
        <f>C64-B64</f>
        <v>110</v>
      </c>
      <c r="E64" s="230" t="s">
        <v>1009</v>
      </c>
      <c r="F64" s="230"/>
      <c r="G64" s="174"/>
      <c r="H64" s="174"/>
      <c r="I64" s="174"/>
      <c r="J64" s="174"/>
      <c r="K64" s="174"/>
      <c r="L64" s="174"/>
      <c r="M64" s="201"/>
      <c r="N64" s="201"/>
      <c r="O64" s="52"/>
      <c r="P64" s="52"/>
      <c r="Q64" s="52"/>
      <c r="R64" s="52"/>
      <c r="S64" s="52"/>
      <c r="T64" s="52"/>
      <c r="U64" s="52"/>
      <c r="V64" s="52"/>
      <c r="W64" s="52"/>
      <c r="X64" s="52"/>
      <c r="Y64" s="52"/>
      <c r="Z64" s="52"/>
      <c r="AA64" s="52"/>
      <c r="AB64" s="52"/>
      <c r="AC64" s="52"/>
      <c r="AD64" s="52"/>
      <c r="AE64" s="52"/>
      <c r="AF64" s="52"/>
      <c r="AG64" s="52"/>
    </row>
    <row r="65" spans="1:33" ht="18">
      <c r="A65" s="161" t="s">
        <v>1002</v>
      </c>
      <c r="B65" s="48">
        <v>350</v>
      </c>
      <c r="C65" s="48">
        <v>480</v>
      </c>
      <c r="D65" s="48">
        <f>C65-B65</f>
        <v>130</v>
      </c>
      <c r="E65" s="230" t="s">
        <v>1010</v>
      </c>
      <c r="F65" s="230"/>
      <c r="G65" s="174"/>
      <c r="H65" s="174"/>
      <c r="I65" s="174"/>
      <c r="J65" s="174"/>
      <c r="K65" s="174"/>
      <c r="L65" s="174"/>
      <c r="M65" s="201"/>
      <c r="N65" s="201"/>
      <c r="O65" s="52"/>
      <c r="P65" s="52"/>
      <c r="Q65" s="52"/>
      <c r="R65" s="52"/>
      <c r="S65" s="52"/>
      <c r="T65" s="52"/>
      <c r="U65" s="52"/>
      <c r="V65" s="52"/>
      <c r="W65" s="52"/>
      <c r="X65" s="52"/>
      <c r="Y65" s="52"/>
      <c r="Z65" s="52"/>
      <c r="AA65" s="52"/>
      <c r="AB65" s="52"/>
      <c r="AC65" s="52"/>
      <c r="AD65" s="52"/>
      <c r="AE65" s="52"/>
      <c r="AF65" s="52"/>
      <c r="AG65" s="52"/>
    </row>
    <row r="66" spans="1:33">
      <c r="A66" s="161" t="s">
        <v>500</v>
      </c>
      <c r="B66" s="48">
        <v>450</v>
      </c>
      <c r="C66" s="48">
        <v>450</v>
      </c>
      <c r="D66" s="48">
        <f>C66-B66</f>
        <v>0</v>
      </c>
      <c r="E66" s="174"/>
      <c r="F66" s="174"/>
      <c r="G66" s="174"/>
      <c r="H66" s="174"/>
      <c r="I66" s="174"/>
      <c r="J66" s="174"/>
      <c r="K66" s="174"/>
      <c r="L66" s="174"/>
      <c r="M66" s="201"/>
      <c r="N66" s="201"/>
      <c r="O66" s="52"/>
      <c r="P66" s="52"/>
      <c r="Q66" s="52"/>
      <c r="R66" s="52"/>
      <c r="S66" s="52"/>
      <c r="T66" s="52"/>
      <c r="U66" s="52"/>
      <c r="V66" s="52"/>
      <c r="W66" s="52"/>
      <c r="X66" s="52"/>
      <c r="Y66" s="52"/>
      <c r="Z66" s="52"/>
      <c r="AA66" s="52"/>
      <c r="AB66" s="52"/>
      <c r="AC66" s="52"/>
      <c r="AD66" s="52"/>
      <c r="AE66" s="52"/>
      <c r="AF66" s="52"/>
      <c r="AG66" s="52"/>
    </row>
    <row r="67" spans="1:33">
      <c r="A67" s="161" t="s">
        <v>1015</v>
      </c>
      <c r="B67" s="161" t="s">
        <v>1323</v>
      </c>
      <c r="C67" s="161"/>
      <c r="D67" s="161"/>
      <c r="E67" s="174"/>
      <c r="F67" s="174"/>
      <c r="G67" s="174"/>
      <c r="H67" s="174"/>
      <c r="I67" s="174"/>
      <c r="J67" s="174"/>
      <c r="K67" s="174"/>
      <c r="L67" s="174"/>
      <c r="M67" s="201"/>
      <c r="N67" s="201"/>
      <c r="O67" s="52"/>
      <c r="P67" s="52"/>
      <c r="Q67" s="52"/>
      <c r="R67" s="52"/>
      <c r="S67" s="52"/>
      <c r="T67" s="52"/>
      <c r="U67" s="52"/>
      <c r="V67" s="52"/>
      <c r="W67" s="52"/>
      <c r="X67" s="52"/>
      <c r="Y67" s="52"/>
      <c r="Z67" s="52"/>
      <c r="AA67" s="52"/>
      <c r="AB67" s="52"/>
      <c r="AC67" s="52"/>
      <c r="AD67" s="52"/>
      <c r="AE67" s="52"/>
      <c r="AF67" s="52"/>
      <c r="AG67" s="52"/>
    </row>
    <row r="68" spans="1:33">
      <c r="A68" s="162"/>
      <c r="B68" s="162"/>
      <c r="C68" s="162"/>
      <c r="D68" s="162"/>
      <c r="E68" s="162"/>
      <c r="F68" s="162"/>
      <c r="G68" s="174"/>
      <c r="H68" s="174"/>
      <c r="I68" s="174"/>
      <c r="J68" s="174"/>
      <c r="K68" s="174"/>
      <c r="L68" s="174"/>
      <c r="M68" s="201"/>
      <c r="N68" s="201"/>
      <c r="O68" s="52"/>
      <c r="P68" s="52"/>
      <c r="Q68" s="52"/>
      <c r="R68" s="52"/>
      <c r="S68" s="52"/>
      <c r="T68" s="52"/>
      <c r="U68" s="52"/>
      <c r="V68" s="52"/>
      <c r="W68" s="52"/>
      <c r="X68" s="52"/>
      <c r="Y68" s="52"/>
      <c r="Z68" s="52"/>
      <c r="AA68" s="52"/>
      <c r="AB68" s="52"/>
      <c r="AC68" s="52"/>
      <c r="AD68" s="52"/>
      <c r="AE68" s="52"/>
      <c r="AF68" s="52"/>
      <c r="AG68" s="52"/>
    </row>
    <row r="69" spans="1:33">
      <c r="A69" s="162"/>
      <c r="B69" s="162"/>
      <c r="C69" s="162"/>
      <c r="D69" s="162"/>
      <c r="E69" s="162"/>
      <c r="F69" s="162"/>
      <c r="G69" s="174"/>
      <c r="H69" s="174"/>
      <c r="I69" s="174"/>
      <c r="J69" s="174"/>
      <c r="K69" s="174"/>
      <c r="L69" s="174"/>
      <c r="M69" s="201"/>
      <c r="N69" s="201"/>
      <c r="O69" s="52"/>
      <c r="P69" s="52"/>
      <c r="Q69" s="52"/>
      <c r="R69" s="52"/>
      <c r="S69" s="52"/>
      <c r="T69" s="52"/>
      <c r="U69" s="52"/>
      <c r="V69" s="52"/>
      <c r="W69" s="52"/>
      <c r="X69" s="52"/>
      <c r="Y69" s="52"/>
      <c r="Z69" s="52"/>
      <c r="AA69" s="52"/>
      <c r="AB69" s="52"/>
      <c r="AC69" s="52"/>
      <c r="AD69" s="52"/>
      <c r="AE69" s="52"/>
      <c r="AF69" s="52"/>
      <c r="AG69" s="52"/>
    </row>
    <row r="70" spans="1:33">
      <c r="A70" s="162"/>
      <c r="B70" s="162"/>
      <c r="C70" s="162"/>
      <c r="D70" s="162"/>
      <c r="E70" s="162"/>
      <c r="F70" s="162"/>
      <c r="G70" s="174"/>
      <c r="H70" s="174"/>
      <c r="I70" s="174"/>
      <c r="J70" s="174"/>
      <c r="K70" s="174"/>
      <c r="L70" s="174"/>
      <c r="M70" s="201"/>
      <c r="N70" s="201"/>
      <c r="O70" s="52"/>
      <c r="P70" s="52"/>
      <c r="Q70" s="52"/>
      <c r="R70" s="52"/>
      <c r="S70" s="52"/>
      <c r="T70" s="52"/>
      <c r="U70" s="52"/>
      <c r="V70" s="52"/>
      <c r="W70" s="52"/>
      <c r="X70" s="52"/>
      <c r="Y70" s="52"/>
      <c r="Z70" s="52"/>
      <c r="AA70" s="52"/>
      <c r="AB70" s="52"/>
      <c r="AC70" s="52"/>
      <c r="AD70" s="52"/>
      <c r="AE70" s="52"/>
      <c r="AF70" s="52"/>
      <c r="AG70" s="52"/>
    </row>
    <row r="71" spans="1:33">
      <c r="A71" s="162"/>
      <c r="B71" s="162"/>
      <c r="C71" s="162"/>
      <c r="D71" s="162"/>
      <c r="E71" s="162"/>
      <c r="F71" s="162"/>
      <c r="G71" s="174"/>
      <c r="H71" s="174"/>
      <c r="I71" s="174"/>
      <c r="J71" s="174"/>
      <c r="K71" s="174"/>
      <c r="L71" s="174"/>
      <c r="M71" s="201"/>
      <c r="N71" s="201"/>
      <c r="O71" s="52"/>
      <c r="P71" s="52"/>
      <c r="Q71" s="52"/>
      <c r="R71" s="52"/>
      <c r="S71" s="52"/>
      <c r="T71" s="52"/>
      <c r="U71" s="52"/>
      <c r="V71" s="52"/>
      <c r="W71" s="52"/>
      <c r="X71" s="52"/>
      <c r="Y71" s="52"/>
      <c r="Z71" s="52"/>
      <c r="AA71" s="52"/>
      <c r="AB71" s="52"/>
      <c r="AC71" s="52"/>
      <c r="AD71" s="52"/>
      <c r="AE71" s="52"/>
      <c r="AF71" s="52"/>
      <c r="AG71" s="52"/>
    </row>
    <row r="72" spans="1:33">
      <c r="A72" s="162"/>
      <c r="B72" s="162"/>
      <c r="C72" s="162"/>
      <c r="D72" s="162"/>
      <c r="E72" s="162"/>
      <c r="F72" s="162"/>
      <c r="G72" s="174"/>
      <c r="H72" s="174"/>
      <c r="I72" s="174"/>
      <c r="J72" s="174"/>
      <c r="K72" s="174"/>
      <c r="L72" s="174"/>
      <c r="M72" s="201"/>
      <c r="N72" s="201"/>
      <c r="O72" s="52"/>
      <c r="P72" s="52"/>
      <c r="Q72" s="52"/>
      <c r="R72" s="52"/>
      <c r="S72" s="52"/>
      <c r="T72" s="52"/>
      <c r="U72" s="52"/>
      <c r="V72" s="52"/>
      <c r="W72" s="52"/>
      <c r="X72" s="52"/>
      <c r="Y72" s="52"/>
      <c r="Z72" s="52"/>
      <c r="AA72" s="52"/>
      <c r="AB72" s="52"/>
      <c r="AC72" s="52"/>
      <c r="AD72" s="52"/>
      <c r="AE72" s="52"/>
      <c r="AF72" s="52"/>
      <c r="AG72" s="52"/>
    </row>
    <row r="73" spans="1:33">
      <c r="A73" s="162"/>
      <c r="B73" s="162"/>
      <c r="C73" s="162"/>
      <c r="D73" s="162"/>
      <c r="E73" s="162"/>
      <c r="F73" s="162"/>
      <c r="G73" s="174"/>
      <c r="H73" s="174"/>
      <c r="I73" s="174"/>
      <c r="J73" s="174"/>
      <c r="K73" s="174"/>
      <c r="L73" s="174"/>
      <c r="M73" s="201"/>
      <c r="N73" s="201"/>
      <c r="O73" s="52"/>
      <c r="P73" s="52"/>
      <c r="Q73" s="52"/>
      <c r="R73" s="52"/>
      <c r="S73" s="52"/>
      <c r="T73" s="52"/>
      <c r="U73" s="52"/>
      <c r="V73" s="52"/>
      <c r="W73" s="52"/>
      <c r="X73" s="52"/>
      <c r="Y73" s="52"/>
      <c r="Z73" s="52"/>
      <c r="AA73" s="52"/>
      <c r="AB73" s="52"/>
      <c r="AC73" s="52"/>
      <c r="AD73" s="52"/>
      <c r="AE73" s="52"/>
      <c r="AF73" s="52"/>
      <c r="AG73" s="52"/>
    </row>
    <row r="74" spans="1:33">
      <c r="A74" s="162"/>
      <c r="B74" s="162"/>
      <c r="C74" s="162"/>
      <c r="D74" s="162"/>
      <c r="E74" s="162"/>
      <c r="F74" s="162"/>
      <c r="G74" s="174"/>
      <c r="H74" s="174"/>
      <c r="I74" s="174"/>
      <c r="J74" s="174"/>
      <c r="K74" s="174"/>
      <c r="L74" s="174"/>
      <c r="M74" s="201"/>
      <c r="N74" s="201"/>
      <c r="O74" s="52"/>
      <c r="P74" s="52"/>
      <c r="Q74" s="52"/>
      <c r="R74" s="52"/>
      <c r="S74" s="52"/>
      <c r="T74" s="52"/>
      <c r="U74" s="52"/>
      <c r="V74" s="52"/>
      <c r="W74" s="52"/>
      <c r="X74" s="52"/>
      <c r="Y74" s="52"/>
      <c r="Z74" s="52"/>
      <c r="AA74" s="52"/>
      <c r="AB74" s="52"/>
      <c r="AC74" s="52"/>
      <c r="AD74" s="52"/>
      <c r="AE74" s="52"/>
      <c r="AF74" s="52"/>
      <c r="AG74" s="52"/>
    </row>
    <row r="75" spans="1:33">
      <c r="A75" s="162"/>
      <c r="B75" s="162"/>
      <c r="C75" s="162"/>
      <c r="D75" s="162"/>
      <c r="E75" s="162"/>
      <c r="F75" s="162"/>
      <c r="G75" s="174"/>
      <c r="H75" s="174"/>
      <c r="I75" s="174"/>
      <c r="J75" s="174"/>
      <c r="K75" s="174"/>
      <c r="L75" s="174"/>
      <c r="M75" s="201"/>
      <c r="N75" s="201"/>
      <c r="O75" s="52"/>
      <c r="P75" s="52"/>
      <c r="Q75" s="52"/>
      <c r="R75" s="52"/>
      <c r="S75" s="52"/>
      <c r="T75" s="52"/>
      <c r="U75" s="52"/>
      <c r="V75" s="52"/>
      <c r="W75" s="52"/>
      <c r="X75" s="52"/>
      <c r="Y75" s="52"/>
      <c r="Z75" s="52"/>
      <c r="AA75" s="52"/>
      <c r="AB75" s="52"/>
      <c r="AC75" s="52"/>
      <c r="AD75" s="52"/>
      <c r="AE75" s="52"/>
      <c r="AF75" s="52"/>
      <c r="AG75" s="52"/>
    </row>
    <row r="76" spans="1:33">
      <c r="A76" s="162"/>
      <c r="B76" s="162"/>
      <c r="C76" s="162"/>
      <c r="D76" s="162"/>
      <c r="E76" s="162"/>
      <c r="F76" s="162"/>
      <c r="G76" s="174"/>
      <c r="H76" s="174"/>
      <c r="I76" s="174"/>
      <c r="J76" s="174"/>
      <c r="K76" s="284"/>
      <c r="L76" s="284"/>
      <c r="M76" s="201"/>
      <c r="N76" s="201"/>
      <c r="O76" s="52"/>
      <c r="P76" s="52"/>
      <c r="Q76" s="52"/>
      <c r="R76" s="52"/>
      <c r="S76" s="52"/>
      <c r="T76" s="52"/>
      <c r="U76" s="52"/>
      <c r="V76" s="52"/>
      <c r="W76" s="52"/>
      <c r="X76" s="52"/>
      <c r="Y76" s="52"/>
      <c r="Z76" s="52"/>
      <c r="AA76" s="52"/>
      <c r="AB76" s="52"/>
      <c r="AC76" s="52"/>
      <c r="AD76" s="52"/>
      <c r="AE76" s="52"/>
      <c r="AF76" s="52"/>
      <c r="AG76" s="52"/>
    </row>
    <row r="77" spans="1:33">
      <c r="A77" s="162"/>
      <c r="B77" s="162"/>
      <c r="C77" s="162"/>
      <c r="D77" s="162"/>
      <c r="E77" s="162"/>
      <c r="F77" s="162"/>
      <c r="G77" s="174"/>
      <c r="H77" s="174"/>
      <c r="I77" s="174"/>
      <c r="J77" s="174"/>
      <c r="K77" s="284"/>
      <c r="L77" s="284"/>
      <c r="M77" s="201"/>
      <c r="N77" s="201"/>
      <c r="O77" s="52"/>
      <c r="P77" s="52"/>
      <c r="Q77" s="52"/>
      <c r="R77" s="52"/>
      <c r="S77" s="52"/>
      <c r="T77" s="52"/>
      <c r="U77" s="52"/>
      <c r="V77" s="52"/>
      <c r="W77" s="52"/>
      <c r="X77" s="52"/>
      <c r="Y77" s="52"/>
      <c r="Z77" s="52"/>
      <c r="AA77" s="52"/>
      <c r="AB77" s="52"/>
      <c r="AC77" s="52"/>
      <c r="AD77" s="52"/>
      <c r="AE77" s="52"/>
      <c r="AF77" s="52"/>
      <c r="AG77" s="52"/>
    </row>
    <row r="78" spans="1:33">
      <c r="A78" s="162"/>
      <c r="B78" s="162"/>
      <c r="C78" s="162"/>
      <c r="D78" s="162"/>
      <c r="E78" s="162"/>
      <c r="F78" s="162"/>
      <c r="G78" s="174"/>
      <c r="H78" s="174"/>
      <c r="I78" s="174"/>
      <c r="J78" s="174"/>
      <c r="K78" s="284"/>
      <c r="L78" s="284"/>
      <c r="M78" s="201"/>
      <c r="N78" s="201"/>
      <c r="O78" s="52"/>
      <c r="P78" s="52"/>
      <c r="Q78" s="52"/>
      <c r="R78" s="52"/>
      <c r="S78" s="52"/>
      <c r="T78" s="52"/>
      <c r="U78" s="52"/>
      <c r="V78" s="52"/>
      <c r="W78" s="52"/>
      <c r="X78" s="52"/>
      <c r="Y78" s="52"/>
      <c r="Z78" s="52"/>
      <c r="AA78" s="52"/>
      <c r="AB78" s="52"/>
      <c r="AC78" s="52"/>
      <c r="AD78" s="52"/>
      <c r="AE78" s="52"/>
      <c r="AF78" s="52"/>
      <c r="AG78" s="52"/>
    </row>
    <row r="79" spans="1:33">
      <c r="A79" s="162"/>
      <c r="B79" s="162"/>
      <c r="C79" s="162"/>
      <c r="D79" s="162"/>
      <c r="E79" s="162"/>
      <c r="F79" s="162"/>
      <c r="G79" s="174"/>
      <c r="H79" s="174"/>
      <c r="I79" s="174"/>
      <c r="J79" s="174"/>
      <c r="K79" s="174"/>
      <c r="L79" s="174"/>
      <c r="M79" s="261"/>
      <c r="N79" s="261"/>
      <c r="O79" s="51"/>
      <c r="P79" s="51"/>
      <c r="Q79" s="51"/>
      <c r="R79" s="51"/>
      <c r="S79" s="51"/>
      <c r="T79" s="51"/>
      <c r="U79" s="51"/>
      <c r="V79" s="51"/>
      <c r="W79" s="51"/>
      <c r="X79" s="51"/>
      <c r="Y79" s="51"/>
      <c r="Z79" s="51"/>
      <c r="AA79" s="52"/>
      <c r="AB79" s="52"/>
      <c r="AC79" s="52"/>
      <c r="AD79" s="52"/>
      <c r="AE79" s="52"/>
      <c r="AF79" s="52"/>
      <c r="AG79" s="52"/>
    </row>
    <row r="80" spans="1:33">
      <c r="A80" s="162"/>
      <c r="B80" s="162"/>
      <c r="C80" s="162"/>
      <c r="D80" s="162"/>
      <c r="E80" s="162"/>
      <c r="F80" s="162"/>
      <c r="G80" s="174"/>
      <c r="H80" s="174"/>
      <c r="I80" s="174"/>
      <c r="J80" s="174"/>
      <c r="K80" s="174"/>
      <c r="L80" s="174"/>
      <c r="M80" s="261"/>
      <c r="N80" s="261"/>
      <c r="O80" s="51"/>
      <c r="P80" s="51"/>
      <c r="Q80" s="51"/>
      <c r="R80" s="51"/>
      <c r="S80" s="51"/>
      <c r="T80" s="51"/>
      <c r="U80" s="51"/>
      <c r="V80" s="51"/>
      <c r="W80" s="51"/>
      <c r="X80" s="51"/>
      <c r="Y80" s="51"/>
      <c r="Z80" s="51"/>
      <c r="AA80" s="52"/>
      <c r="AB80" s="52"/>
      <c r="AC80" s="52"/>
      <c r="AD80" s="52"/>
      <c r="AE80" s="52"/>
      <c r="AF80" s="52"/>
      <c r="AG80" s="52"/>
    </row>
    <row r="81" spans="1:33">
      <c r="A81" s="162"/>
      <c r="B81" s="162"/>
      <c r="C81" s="162"/>
      <c r="D81" s="162"/>
      <c r="E81" s="162"/>
      <c r="F81" s="162"/>
      <c r="G81" s="174"/>
      <c r="H81" s="174"/>
      <c r="I81" s="174"/>
      <c r="J81" s="174"/>
      <c r="K81" s="174"/>
      <c r="L81" s="174"/>
      <c r="M81" s="261"/>
      <c r="N81" s="261"/>
      <c r="O81" s="51"/>
      <c r="P81" s="51"/>
      <c r="Q81" s="51"/>
      <c r="R81" s="51"/>
      <c r="S81" s="51"/>
      <c r="T81" s="51"/>
      <c r="U81" s="51"/>
      <c r="V81" s="51"/>
      <c r="W81" s="51"/>
      <c r="X81" s="51"/>
      <c r="Y81" s="51"/>
      <c r="Z81" s="51"/>
      <c r="AA81" s="52"/>
      <c r="AB81" s="52"/>
      <c r="AC81" s="52"/>
      <c r="AD81" s="52"/>
      <c r="AE81" s="52"/>
      <c r="AF81" s="52"/>
      <c r="AG81" s="52"/>
    </row>
    <row r="82" spans="1:33">
      <c r="A82" s="162"/>
      <c r="B82" s="162"/>
      <c r="C82" s="162"/>
      <c r="D82" s="162"/>
      <c r="E82" s="162"/>
      <c r="F82" s="162"/>
      <c r="G82" s="174"/>
      <c r="H82" s="174"/>
      <c r="I82" s="174"/>
      <c r="J82" s="174"/>
      <c r="K82" s="174"/>
      <c r="L82" s="174"/>
      <c r="M82" s="261"/>
      <c r="N82" s="261"/>
      <c r="O82" s="51"/>
      <c r="P82" s="51"/>
      <c r="Q82" s="51"/>
      <c r="R82" s="51"/>
      <c r="S82" s="51"/>
      <c r="T82" s="51"/>
      <c r="U82" s="51"/>
      <c r="V82" s="51"/>
      <c r="W82" s="51"/>
      <c r="X82" s="51"/>
      <c r="Y82" s="51"/>
      <c r="Z82" s="51"/>
      <c r="AA82" s="52"/>
      <c r="AB82" s="52"/>
      <c r="AC82" s="52"/>
      <c r="AD82" s="52"/>
      <c r="AE82" s="52"/>
      <c r="AF82" s="52"/>
      <c r="AG82" s="52"/>
    </row>
    <row r="83" spans="1:33">
      <c r="A83" s="162"/>
      <c r="B83" s="162"/>
      <c r="C83" s="162"/>
      <c r="D83" s="162"/>
      <c r="E83" s="162"/>
      <c r="F83" s="162"/>
      <c r="G83" s="174"/>
      <c r="H83" s="174"/>
      <c r="I83" s="174"/>
      <c r="J83" s="174"/>
      <c r="K83" s="174"/>
      <c r="L83" s="174"/>
      <c r="M83" s="261"/>
      <c r="N83" s="261"/>
      <c r="O83" s="51"/>
      <c r="P83" s="51"/>
      <c r="Q83" s="51"/>
      <c r="R83" s="51"/>
      <c r="S83" s="51"/>
      <c r="T83" s="51"/>
      <c r="U83" s="51"/>
      <c r="V83" s="51"/>
      <c r="W83" s="51"/>
      <c r="X83" s="51"/>
      <c r="Y83" s="51"/>
      <c r="Z83" s="51"/>
      <c r="AA83" s="52"/>
      <c r="AB83" s="52"/>
      <c r="AC83" s="52"/>
      <c r="AD83" s="52"/>
      <c r="AE83" s="52"/>
      <c r="AF83" s="52"/>
      <c r="AG83" s="52"/>
    </row>
    <row r="84" spans="1:33">
      <c r="A84" s="162"/>
      <c r="B84" s="162"/>
      <c r="C84" s="162"/>
      <c r="D84" s="162"/>
      <c r="E84" s="162"/>
      <c r="F84" s="162"/>
      <c r="G84" s="174"/>
      <c r="H84" s="174"/>
      <c r="I84" s="174"/>
      <c r="J84" s="174"/>
      <c r="K84" s="174"/>
      <c r="L84" s="174"/>
      <c r="M84" s="261"/>
      <c r="N84" s="261"/>
      <c r="O84" s="51"/>
      <c r="P84" s="51"/>
      <c r="Q84" s="51"/>
      <c r="R84" s="51"/>
      <c r="S84" s="51"/>
      <c r="T84" s="51"/>
      <c r="U84" s="51"/>
      <c r="V84" s="51"/>
      <c r="W84" s="51"/>
      <c r="X84" s="51"/>
      <c r="Y84" s="51"/>
      <c r="Z84" s="51"/>
      <c r="AA84" s="52"/>
      <c r="AB84" s="52"/>
      <c r="AC84" s="52"/>
      <c r="AD84" s="52"/>
      <c r="AE84" s="52"/>
      <c r="AF84" s="52"/>
      <c r="AG84" s="52"/>
    </row>
    <row r="85" spans="1:33">
      <c r="A85" s="162"/>
      <c r="B85" s="162"/>
      <c r="C85" s="162"/>
      <c r="D85" s="162"/>
      <c r="E85" s="162"/>
      <c r="F85" s="162"/>
      <c r="G85" s="174"/>
      <c r="H85" s="174"/>
      <c r="I85" s="174"/>
      <c r="J85" s="174"/>
      <c r="K85" s="174"/>
      <c r="L85" s="174"/>
      <c r="M85" s="261"/>
      <c r="N85" s="261"/>
      <c r="O85" s="51"/>
      <c r="P85" s="51"/>
      <c r="Q85" s="51"/>
      <c r="R85" s="51"/>
      <c r="S85" s="51"/>
      <c r="T85" s="51"/>
      <c r="U85" s="51"/>
      <c r="V85" s="51"/>
      <c r="W85" s="51"/>
      <c r="X85" s="51"/>
      <c r="Y85" s="51"/>
      <c r="Z85" s="51"/>
      <c r="AA85" s="52"/>
      <c r="AB85" s="52"/>
      <c r="AC85" s="52"/>
      <c r="AD85" s="52"/>
      <c r="AE85" s="52"/>
      <c r="AF85" s="52"/>
      <c r="AG85" s="52"/>
    </row>
    <row r="86" spans="1:33">
      <c r="A86" s="162"/>
      <c r="B86" s="162"/>
      <c r="C86" s="162"/>
      <c r="D86" s="162"/>
      <c r="E86" s="162"/>
      <c r="F86" s="162"/>
      <c r="G86" s="174"/>
      <c r="H86" s="174"/>
      <c r="I86" s="174"/>
      <c r="J86" s="174"/>
      <c r="K86" s="174"/>
      <c r="L86" s="174"/>
      <c r="M86" s="261"/>
      <c r="N86" s="261"/>
      <c r="O86" s="51"/>
      <c r="P86" s="51"/>
      <c r="Q86" s="51"/>
      <c r="R86" s="51"/>
      <c r="S86" s="51"/>
      <c r="T86" s="51"/>
      <c r="U86" s="51"/>
      <c r="V86" s="51"/>
      <c r="W86" s="51"/>
      <c r="X86" s="51"/>
      <c r="Y86" s="51"/>
      <c r="Z86" s="51"/>
      <c r="AA86" s="52"/>
      <c r="AB86" s="52"/>
      <c r="AC86" s="52"/>
      <c r="AD86" s="52"/>
      <c r="AE86" s="52"/>
      <c r="AF86" s="52"/>
      <c r="AG86" s="52"/>
    </row>
    <row r="87" spans="1:33">
      <c r="A87" s="162"/>
      <c r="B87" s="162"/>
      <c r="C87" s="162"/>
      <c r="D87" s="162"/>
      <c r="E87" s="162"/>
      <c r="F87" s="162"/>
      <c r="G87" s="174"/>
      <c r="H87" s="174"/>
      <c r="I87" s="174"/>
      <c r="J87" s="174"/>
      <c r="K87" s="174"/>
      <c r="L87" s="174"/>
      <c r="M87" s="261"/>
      <c r="N87" s="261"/>
      <c r="O87" s="51"/>
      <c r="P87" s="51"/>
      <c r="Q87" s="51"/>
      <c r="R87" s="51"/>
      <c r="S87" s="51"/>
      <c r="T87" s="51"/>
      <c r="U87" s="51"/>
      <c r="V87" s="51"/>
      <c r="W87" s="51"/>
      <c r="X87" s="51"/>
      <c r="Y87" s="51"/>
      <c r="Z87" s="51"/>
      <c r="AA87" s="52"/>
      <c r="AB87" s="52"/>
      <c r="AC87" s="52"/>
      <c r="AD87" s="52"/>
      <c r="AE87" s="52"/>
      <c r="AF87" s="52"/>
      <c r="AG87" s="52"/>
    </row>
    <row r="88" spans="1:33">
      <c r="A88" s="162"/>
      <c r="B88" s="162"/>
      <c r="C88" s="162"/>
      <c r="D88" s="162"/>
      <c r="E88" s="162"/>
      <c r="F88" s="162"/>
      <c r="G88" s="174"/>
      <c r="H88" s="174"/>
      <c r="I88" s="174"/>
      <c r="J88" s="174"/>
      <c r="K88" s="174"/>
      <c r="L88" s="174"/>
      <c r="M88" s="261"/>
      <c r="N88" s="261"/>
      <c r="O88" s="51"/>
      <c r="P88" s="51"/>
      <c r="Q88" s="51"/>
      <c r="R88" s="51"/>
      <c r="S88" s="51"/>
      <c r="T88" s="51"/>
      <c r="U88" s="51"/>
      <c r="V88" s="51"/>
      <c r="W88" s="51"/>
      <c r="X88" s="51"/>
      <c r="Y88" s="51"/>
      <c r="Z88" s="51"/>
      <c r="AA88" s="52"/>
      <c r="AB88" s="52"/>
      <c r="AC88" s="52"/>
      <c r="AD88" s="52"/>
      <c r="AE88" s="52"/>
      <c r="AF88" s="52"/>
      <c r="AG88" s="52"/>
    </row>
    <row r="89" spans="1:33">
      <c r="A89" s="174"/>
      <c r="B89" s="174"/>
      <c r="C89" s="174"/>
      <c r="D89" s="174"/>
      <c r="E89" s="174"/>
      <c r="F89" s="174"/>
      <c r="G89" s="174"/>
      <c r="H89" s="174"/>
      <c r="I89" s="174"/>
      <c r="J89" s="174"/>
      <c r="K89" s="284"/>
      <c r="L89" s="284"/>
      <c r="M89" s="201"/>
      <c r="N89" s="201"/>
      <c r="O89" s="52"/>
      <c r="P89" s="52"/>
      <c r="Q89" s="52"/>
      <c r="R89" s="52"/>
      <c r="S89" s="52"/>
      <c r="T89" s="52"/>
      <c r="U89" s="52"/>
      <c r="V89" s="52"/>
      <c r="W89" s="52"/>
      <c r="X89" s="52"/>
      <c r="Y89" s="52"/>
      <c r="Z89" s="52"/>
      <c r="AA89" s="52"/>
      <c r="AB89" s="52"/>
      <c r="AC89" s="52"/>
      <c r="AD89" s="52"/>
      <c r="AE89" s="52"/>
      <c r="AF89" s="52"/>
      <c r="AG89" s="52"/>
    </row>
    <row r="90" spans="1:33" ht="25">
      <c r="A90" s="156" t="s">
        <v>1100</v>
      </c>
      <c r="B90" s="283"/>
      <c r="C90" s="283"/>
      <c r="D90" s="283"/>
      <c r="E90" s="283"/>
      <c r="F90" s="283"/>
      <c r="G90" s="283"/>
      <c r="H90" s="174"/>
      <c r="I90" s="174"/>
      <c r="J90" s="174"/>
      <c r="K90" s="284"/>
      <c r="L90" s="284"/>
      <c r="M90" s="201"/>
      <c r="N90" s="201"/>
      <c r="O90" s="52"/>
      <c r="P90" s="52"/>
      <c r="Q90" s="52"/>
      <c r="R90" s="52"/>
      <c r="S90" s="52"/>
      <c r="T90" s="52"/>
      <c r="U90" s="52"/>
      <c r="V90" s="52"/>
      <c r="W90" s="52"/>
      <c r="X90" s="52"/>
      <c r="Y90" s="52"/>
      <c r="Z90" s="52"/>
      <c r="AA90" s="52"/>
      <c r="AB90" s="52"/>
      <c r="AC90" s="52"/>
      <c r="AD90" s="52"/>
      <c r="AE90" s="52"/>
      <c r="AF90" s="52"/>
      <c r="AG90" s="52"/>
    </row>
    <row r="91" spans="1:33" ht="25">
      <c r="A91" s="156" t="s">
        <v>1089</v>
      </c>
      <c r="B91" s="283"/>
      <c r="C91" s="283"/>
      <c r="D91" s="283"/>
      <c r="E91" s="283"/>
      <c r="F91" s="283"/>
      <c r="G91" s="283"/>
      <c r="H91" s="174"/>
      <c r="I91" s="174"/>
      <c r="J91" s="174"/>
      <c r="K91" s="284"/>
      <c r="L91" s="284"/>
      <c r="M91" s="201"/>
      <c r="N91" s="201"/>
      <c r="O91" s="52"/>
      <c r="P91" s="52"/>
      <c r="Q91" s="52"/>
      <c r="R91" s="52"/>
      <c r="S91" s="52"/>
      <c r="T91" s="52"/>
      <c r="U91" s="52"/>
      <c r="V91" s="52"/>
      <c r="W91" s="52"/>
      <c r="X91" s="52"/>
      <c r="Y91" s="52"/>
      <c r="Z91" s="52"/>
      <c r="AA91" s="52"/>
      <c r="AB91" s="52"/>
      <c r="AC91" s="52"/>
      <c r="AD91" s="52"/>
      <c r="AE91" s="52"/>
      <c r="AF91" s="52"/>
      <c r="AG91" s="52"/>
    </row>
    <row r="92" spans="1:33" ht="25">
      <c r="A92" s="337" t="s">
        <v>1090</v>
      </c>
      <c r="B92" s="337"/>
      <c r="C92" s="337"/>
      <c r="D92" s="337"/>
      <c r="E92" s="337"/>
      <c r="F92" s="337"/>
      <c r="G92" s="337"/>
      <c r="H92" s="174"/>
      <c r="I92" s="174"/>
      <c r="J92" s="174"/>
      <c r="K92" s="284"/>
      <c r="L92" s="284"/>
      <c r="M92" s="201"/>
      <c r="N92" s="201"/>
      <c r="O92" s="52"/>
      <c r="P92" s="52"/>
      <c r="Q92" s="52"/>
      <c r="R92" s="52"/>
      <c r="S92" s="52"/>
      <c r="T92" s="52"/>
      <c r="U92" s="52"/>
      <c r="V92" s="52"/>
      <c r="W92" s="52"/>
      <c r="X92" s="52"/>
      <c r="Y92" s="52"/>
      <c r="Z92" s="52"/>
      <c r="AA92" s="52"/>
      <c r="AB92" s="52"/>
      <c r="AC92" s="52"/>
      <c r="AD92" s="52"/>
      <c r="AE92" s="52"/>
      <c r="AF92" s="52"/>
      <c r="AG92" s="52"/>
    </row>
    <row r="93" spans="1:33" ht="25">
      <c r="A93" s="337"/>
      <c r="B93" s="337"/>
      <c r="C93" s="337"/>
      <c r="D93" s="337"/>
      <c r="E93" s="337"/>
      <c r="F93" s="337"/>
      <c r="G93" s="337"/>
      <c r="H93" s="174"/>
      <c r="I93" s="174"/>
      <c r="J93" s="174"/>
      <c r="K93" s="284"/>
      <c r="L93" s="284"/>
      <c r="M93" s="201"/>
      <c r="N93" s="201"/>
      <c r="O93" s="52"/>
      <c r="P93" s="52"/>
      <c r="Q93" s="52"/>
      <c r="R93" s="52"/>
      <c r="S93" s="52"/>
      <c r="T93" s="52"/>
      <c r="U93" s="52"/>
      <c r="V93" s="52"/>
      <c r="W93" s="52"/>
      <c r="X93" s="52"/>
      <c r="Y93" s="52"/>
      <c r="Z93" s="52"/>
      <c r="AA93" s="52"/>
      <c r="AB93" s="52"/>
      <c r="AC93" s="52"/>
      <c r="AD93" s="52"/>
      <c r="AE93" s="52"/>
      <c r="AF93" s="52"/>
      <c r="AG93" s="52"/>
    </row>
    <row r="94" spans="1:33" ht="25">
      <c r="A94" s="156" t="s">
        <v>1091</v>
      </c>
      <c r="B94" s="283"/>
      <c r="C94" s="283"/>
      <c r="D94" s="283"/>
      <c r="E94" s="283"/>
      <c r="F94" s="283"/>
      <c r="G94" s="283"/>
      <c r="H94" s="174"/>
      <c r="I94" s="174"/>
      <c r="J94" s="174"/>
      <c r="K94" s="284"/>
      <c r="L94" s="284"/>
      <c r="M94" s="201"/>
      <c r="N94" s="201"/>
      <c r="O94" s="52"/>
      <c r="P94" s="52"/>
      <c r="Q94" s="52"/>
      <c r="R94" s="52"/>
      <c r="S94" s="52"/>
      <c r="T94" s="52"/>
      <c r="U94" s="52"/>
      <c r="V94" s="52"/>
      <c r="W94" s="52"/>
      <c r="X94" s="52"/>
      <c r="Y94" s="52"/>
      <c r="Z94" s="52"/>
      <c r="AA94" s="52"/>
      <c r="AB94" s="52"/>
      <c r="AC94" s="52"/>
      <c r="AD94" s="52"/>
      <c r="AE94" s="52"/>
      <c r="AF94" s="52"/>
      <c r="AG94" s="52"/>
    </row>
    <row r="95" spans="1:33" ht="25">
      <c r="A95" s="156" t="s">
        <v>1092</v>
      </c>
      <c r="B95" s="156"/>
      <c r="C95" s="156"/>
      <c r="D95" s="156"/>
      <c r="E95" s="156"/>
      <c r="F95" s="156"/>
      <c r="G95" s="156"/>
      <c r="H95" s="174"/>
      <c r="I95" s="174"/>
      <c r="J95" s="174"/>
      <c r="K95" s="284"/>
      <c r="L95" s="284"/>
      <c r="M95" s="201"/>
      <c r="N95" s="201"/>
      <c r="O95" s="52"/>
      <c r="P95" s="52"/>
      <c r="Q95" s="52"/>
      <c r="R95" s="52"/>
      <c r="S95" s="52"/>
      <c r="T95" s="52"/>
      <c r="U95" s="52"/>
      <c r="V95" s="52"/>
      <c r="W95" s="52"/>
      <c r="X95" s="52"/>
      <c r="Y95" s="52"/>
      <c r="Z95" s="52"/>
      <c r="AA95" s="52"/>
      <c r="AB95" s="52"/>
      <c r="AC95" s="52"/>
      <c r="AD95" s="52"/>
      <c r="AE95" s="52"/>
      <c r="AF95" s="52"/>
      <c r="AG95" s="52"/>
    </row>
    <row r="96" spans="1:33" ht="25">
      <c r="A96" s="337"/>
      <c r="B96" s="337"/>
      <c r="C96" s="337"/>
      <c r="D96" s="337"/>
      <c r="E96" s="337"/>
      <c r="F96" s="337"/>
      <c r="G96" s="337"/>
      <c r="H96" s="174"/>
      <c r="I96" s="174"/>
      <c r="J96" s="174"/>
      <c r="K96" s="284"/>
      <c r="L96" s="284"/>
      <c r="M96" s="201"/>
      <c r="N96" s="201"/>
      <c r="O96" s="52"/>
      <c r="P96" s="52"/>
      <c r="Q96" s="52"/>
      <c r="R96" s="52"/>
      <c r="S96" s="52"/>
      <c r="T96" s="52"/>
      <c r="U96" s="52"/>
      <c r="V96" s="52"/>
      <c r="W96" s="52"/>
      <c r="X96" s="52"/>
      <c r="Y96" s="52"/>
      <c r="Z96" s="52"/>
      <c r="AA96" s="52"/>
      <c r="AB96" s="52"/>
      <c r="AC96" s="52"/>
      <c r="AD96" s="52"/>
      <c r="AE96" s="52"/>
      <c r="AF96" s="52"/>
      <c r="AG96" s="52"/>
    </row>
    <row r="97" spans="1:33" ht="25">
      <c r="A97" s="156" t="s">
        <v>1093</v>
      </c>
      <c r="B97" s="283"/>
      <c r="C97" s="283"/>
      <c r="D97" s="283"/>
      <c r="E97" s="337"/>
      <c r="F97" s="337"/>
      <c r="G97" s="337"/>
      <c r="H97" s="174"/>
      <c r="I97" s="174"/>
      <c r="J97" s="174"/>
      <c r="K97" s="284"/>
      <c r="L97" s="284"/>
      <c r="M97" s="201"/>
      <c r="N97" s="201"/>
      <c r="O97" s="52"/>
      <c r="P97" s="52"/>
      <c r="Q97" s="52"/>
      <c r="R97" s="52"/>
      <c r="S97" s="52"/>
      <c r="T97" s="52"/>
      <c r="U97" s="52"/>
      <c r="V97" s="52"/>
      <c r="W97" s="52"/>
      <c r="X97" s="52"/>
      <c r="Y97" s="52"/>
      <c r="Z97" s="52"/>
      <c r="AA97" s="52"/>
      <c r="AB97" s="52"/>
      <c r="AC97" s="52"/>
      <c r="AD97" s="52"/>
      <c r="AE97" s="52"/>
      <c r="AF97" s="52"/>
      <c r="AG97" s="52"/>
    </row>
    <row r="98" spans="1:33" ht="25">
      <c r="A98" s="156" t="s">
        <v>1094</v>
      </c>
      <c r="B98" s="156"/>
      <c r="C98" s="156"/>
      <c r="D98" s="156"/>
      <c r="E98" s="337"/>
      <c r="F98" s="337"/>
      <c r="G98" s="337"/>
      <c r="H98" s="174"/>
      <c r="I98" s="174"/>
      <c r="J98" s="174"/>
      <c r="K98" s="284"/>
      <c r="L98" s="284"/>
      <c r="M98" s="201"/>
      <c r="N98" s="201"/>
      <c r="O98" s="52"/>
      <c r="P98" s="52"/>
      <c r="Q98" s="52"/>
      <c r="R98" s="52"/>
      <c r="S98" s="52"/>
      <c r="T98" s="52"/>
      <c r="U98" s="52"/>
      <c r="V98" s="52"/>
      <c r="W98" s="52"/>
      <c r="X98" s="52"/>
      <c r="Y98" s="52"/>
      <c r="Z98" s="52"/>
      <c r="AA98" s="52"/>
      <c r="AB98" s="52"/>
      <c r="AC98" s="52"/>
      <c r="AD98" s="52"/>
      <c r="AE98" s="52"/>
      <c r="AF98" s="52"/>
      <c r="AG98" s="52"/>
    </row>
    <row r="99" spans="1:33" ht="25">
      <c r="A99" s="337"/>
      <c r="B99" s="337"/>
      <c r="C99" s="337"/>
      <c r="D99" s="337"/>
      <c r="E99" s="337"/>
      <c r="F99" s="337"/>
      <c r="G99" s="337"/>
      <c r="H99" s="174"/>
      <c r="I99" s="174"/>
      <c r="J99" s="174"/>
      <c r="K99" s="284"/>
      <c r="L99" s="284"/>
      <c r="M99" s="201"/>
      <c r="N99" s="201"/>
      <c r="O99" s="52"/>
      <c r="P99" s="52"/>
      <c r="Q99" s="52"/>
      <c r="R99" s="52"/>
      <c r="S99" s="52"/>
      <c r="T99" s="52"/>
      <c r="U99" s="52"/>
      <c r="V99" s="52"/>
      <c r="W99" s="52"/>
      <c r="X99" s="52"/>
      <c r="Y99" s="52"/>
      <c r="Z99" s="52"/>
      <c r="AA99" s="52"/>
      <c r="AB99" s="52"/>
      <c r="AC99" s="52"/>
      <c r="AD99" s="52"/>
      <c r="AE99" s="52"/>
      <c r="AF99" s="52"/>
      <c r="AG99" s="52"/>
    </row>
    <row r="100" spans="1:33" ht="25">
      <c r="A100" s="156" t="s">
        <v>1095</v>
      </c>
      <c r="B100" s="283"/>
      <c r="C100" s="283"/>
      <c r="D100" s="283"/>
      <c r="E100" s="283"/>
      <c r="F100" s="283"/>
      <c r="G100" s="283"/>
      <c r="H100" s="174"/>
      <c r="I100" s="174"/>
      <c r="J100" s="174"/>
      <c r="K100" s="284"/>
      <c r="L100" s="284"/>
      <c r="M100" s="201"/>
      <c r="N100" s="201"/>
      <c r="O100" s="52"/>
      <c r="P100" s="52"/>
      <c r="Q100" s="52"/>
      <c r="R100" s="52"/>
      <c r="S100" s="52"/>
      <c r="T100" s="52"/>
      <c r="U100" s="52"/>
      <c r="V100" s="52"/>
      <c r="W100" s="52"/>
      <c r="X100" s="52"/>
      <c r="Y100" s="52"/>
      <c r="Z100" s="52"/>
      <c r="AA100" s="52"/>
      <c r="AB100" s="52"/>
      <c r="AC100" s="52"/>
      <c r="AD100" s="52"/>
      <c r="AE100" s="52"/>
      <c r="AF100" s="52"/>
      <c r="AG100" s="52"/>
    </row>
    <row r="101" spans="1:33" ht="25">
      <c r="A101" s="156" t="s">
        <v>1096</v>
      </c>
      <c r="B101" s="156"/>
      <c r="C101" s="156"/>
      <c r="D101" s="156"/>
      <c r="E101" s="156"/>
      <c r="F101" s="156"/>
      <c r="G101" s="156"/>
      <c r="H101" s="174"/>
      <c r="I101" s="174"/>
      <c r="J101" s="174"/>
      <c r="K101" s="284"/>
      <c r="L101" s="284"/>
      <c r="M101" s="201"/>
      <c r="N101" s="201"/>
      <c r="O101" s="52"/>
      <c r="P101" s="52"/>
      <c r="Q101" s="52"/>
      <c r="R101" s="52"/>
      <c r="S101" s="52"/>
      <c r="T101" s="52"/>
      <c r="U101" s="52"/>
      <c r="V101" s="52"/>
      <c r="W101" s="52"/>
      <c r="X101" s="52"/>
      <c r="Y101" s="52"/>
      <c r="Z101" s="52"/>
      <c r="AA101" s="52"/>
      <c r="AB101" s="52"/>
      <c r="AC101" s="52"/>
      <c r="AD101" s="52"/>
      <c r="AE101" s="52"/>
      <c r="AF101" s="52"/>
      <c r="AG101" s="52"/>
    </row>
    <row r="102" spans="1:33" ht="25">
      <c r="A102" s="337"/>
      <c r="B102" s="337"/>
      <c r="C102" s="337"/>
      <c r="D102" s="337"/>
      <c r="E102" s="337"/>
      <c r="F102" s="337"/>
      <c r="G102" s="337"/>
      <c r="H102" s="174"/>
      <c r="I102" s="174"/>
      <c r="J102" s="174"/>
      <c r="K102" s="284"/>
      <c r="L102" s="284"/>
      <c r="M102" s="201"/>
      <c r="N102" s="201"/>
      <c r="O102" s="52"/>
      <c r="P102" s="52"/>
      <c r="Q102" s="52"/>
      <c r="R102" s="52"/>
      <c r="S102" s="52"/>
      <c r="T102" s="52"/>
      <c r="U102" s="52"/>
      <c r="V102" s="52"/>
      <c r="W102" s="52"/>
      <c r="X102" s="52"/>
      <c r="Y102" s="52"/>
      <c r="Z102" s="52"/>
      <c r="AA102" s="52"/>
      <c r="AB102" s="52"/>
      <c r="AC102" s="52"/>
      <c r="AD102" s="52"/>
      <c r="AE102" s="52"/>
      <c r="AF102" s="52"/>
      <c r="AG102" s="52"/>
    </row>
    <row r="103" spans="1:33" ht="25">
      <c r="A103" s="156" t="s">
        <v>1097</v>
      </c>
      <c r="B103" s="156"/>
      <c r="C103" s="283"/>
      <c r="D103" s="283"/>
      <c r="E103" s="283"/>
      <c r="F103" s="283"/>
      <c r="G103" s="283"/>
      <c r="H103" s="174"/>
      <c r="I103" s="174"/>
      <c r="J103" s="174"/>
      <c r="K103" s="284"/>
      <c r="L103" s="284"/>
      <c r="M103" s="201"/>
      <c r="N103" s="201"/>
      <c r="O103" s="52"/>
      <c r="P103" s="52"/>
      <c r="Q103" s="52"/>
      <c r="R103" s="52"/>
      <c r="S103" s="52"/>
      <c r="T103" s="52"/>
      <c r="U103" s="52"/>
      <c r="V103" s="52"/>
      <c r="W103" s="52"/>
      <c r="X103" s="52"/>
      <c r="Y103" s="52"/>
      <c r="Z103" s="52"/>
      <c r="AA103" s="52"/>
      <c r="AB103" s="52"/>
      <c r="AC103" s="52"/>
      <c r="AD103" s="52"/>
      <c r="AE103" s="52"/>
      <c r="AF103" s="52"/>
      <c r="AG103" s="52"/>
    </row>
    <row r="104" spans="1:33" ht="25">
      <c r="A104" s="156" t="s">
        <v>1098</v>
      </c>
      <c r="B104" s="156"/>
      <c r="C104" s="156"/>
      <c r="D104" s="156"/>
      <c r="E104" s="156"/>
      <c r="F104" s="156"/>
      <c r="G104" s="156"/>
      <c r="H104" s="174"/>
      <c r="I104" s="174"/>
      <c r="J104" s="174"/>
      <c r="K104" s="284"/>
      <c r="L104" s="284"/>
      <c r="M104" s="201"/>
      <c r="N104" s="201"/>
      <c r="O104" s="52"/>
      <c r="P104" s="52"/>
      <c r="Q104" s="52"/>
      <c r="R104" s="52"/>
      <c r="S104" s="52"/>
      <c r="T104" s="52"/>
      <c r="U104" s="52"/>
      <c r="V104" s="52"/>
      <c r="W104" s="52"/>
      <c r="X104" s="52"/>
      <c r="Y104" s="52"/>
      <c r="Z104" s="52"/>
      <c r="AA104" s="52"/>
      <c r="AB104" s="52"/>
      <c r="AC104" s="52"/>
      <c r="AD104" s="52"/>
      <c r="AE104" s="52"/>
      <c r="AF104" s="52"/>
      <c r="AG104" s="52"/>
    </row>
    <row r="105" spans="1:33" ht="25">
      <c r="A105" s="337"/>
      <c r="B105" s="337"/>
      <c r="C105" s="337"/>
      <c r="D105" s="337"/>
      <c r="E105" s="337"/>
      <c r="F105" s="337"/>
      <c r="G105" s="337"/>
      <c r="H105" s="174"/>
      <c r="I105" s="174"/>
      <c r="J105" s="174"/>
      <c r="K105" s="284"/>
      <c r="L105" s="284"/>
      <c r="M105" s="201"/>
      <c r="N105" s="201"/>
      <c r="O105" s="52"/>
      <c r="P105" s="52"/>
      <c r="Q105" s="52"/>
      <c r="R105" s="52"/>
      <c r="S105" s="52"/>
      <c r="T105" s="52"/>
      <c r="U105" s="52"/>
      <c r="V105" s="52"/>
      <c r="W105" s="52"/>
      <c r="X105" s="52"/>
      <c r="Y105" s="52"/>
      <c r="Z105" s="52"/>
      <c r="AA105" s="52"/>
      <c r="AB105" s="52"/>
      <c r="AC105" s="52"/>
      <c r="AD105" s="52"/>
      <c r="AE105" s="52"/>
      <c r="AF105" s="52"/>
      <c r="AG105" s="52"/>
    </row>
    <row r="106" spans="1:33" ht="25">
      <c r="A106" s="156" t="s">
        <v>1101</v>
      </c>
      <c r="B106" s="283"/>
      <c r="C106" s="283"/>
      <c r="D106" s="283"/>
      <c r="E106" s="283"/>
      <c r="F106" s="283"/>
      <c r="G106" s="283"/>
      <c r="H106" s="174"/>
      <c r="I106" s="174"/>
      <c r="J106" s="174"/>
      <c r="K106" s="284"/>
      <c r="L106" s="284"/>
      <c r="M106" s="201"/>
      <c r="N106" s="201"/>
      <c r="O106" s="52"/>
      <c r="P106" s="52"/>
      <c r="Q106" s="52"/>
      <c r="R106" s="52"/>
      <c r="S106" s="52"/>
      <c r="T106" s="52"/>
      <c r="U106" s="52"/>
      <c r="V106" s="52"/>
      <c r="W106" s="52"/>
      <c r="X106" s="52"/>
      <c r="Y106" s="52"/>
      <c r="Z106" s="52"/>
      <c r="AA106" s="52"/>
      <c r="AB106" s="52"/>
      <c r="AC106" s="52"/>
      <c r="AD106" s="52"/>
      <c r="AE106" s="52"/>
      <c r="AF106" s="52"/>
      <c r="AG106" s="52"/>
    </row>
    <row r="107" spans="1:33" ht="25">
      <c r="A107" s="156" t="s">
        <v>1099</v>
      </c>
      <c r="B107" s="156"/>
      <c r="C107" s="156"/>
      <c r="D107" s="156"/>
      <c r="E107" s="156"/>
      <c r="F107" s="156"/>
      <c r="G107" s="156"/>
      <c r="H107" s="48"/>
      <c r="I107" s="174"/>
      <c r="J107" s="174"/>
      <c r="K107" s="284"/>
      <c r="L107" s="284"/>
      <c r="M107" s="201"/>
      <c r="N107" s="201"/>
      <c r="O107" s="52"/>
      <c r="P107" s="52"/>
      <c r="Q107" s="52"/>
      <c r="R107" s="52"/>
      <c r="S107" s="52"/>
      <c r="T107" s="52"/>
      <c r="U107" s="52"/>
      <c r="V107" s="52"/>
      <c r="W107" s="52"/>
      <c r="X107" s="52"/>
      <c r="Y107" s="52"/>
      <c r="Z107" s="52"/>
      <c r="AA107" s="52"/>
      <c r="AB107" s="52"/>
      <c r="AC107" s="52"/>
      <c r="AD107" s="52"/>
      <c r="AE107" s="52"/>
      <c r="AF107" s="52"/>
      <c r="AG107" s="52"/>
    </row>
    <row r="108" spans="1:33">
      <c r="A108" s="161"/>
      <c r="B108" s="161"/>
      <c r="C108" s="161"/>
      <c r="D108" s="161"/>
      <c r="E108" s="161"/>
      <c r="F108" s="161"/>
      <c r="G108" s="161"/>
      <c r="H108" s="174"/>
      <c r="I108" s="174"/>
      <c r="J108" s="201"/>
      <c r="K108" s="284"/>
      <c r="L108" s="284"/>
      <c r="M108" s="201"/>
      <c r="N108" s="201"/>
      <c r="O108" s="52"/>
      <c r="P108" s="52"/>
      <c r="Q108" s="52"/>
      <c r="R108" s="52"/>
      <c r="S108" s="52"/>
      <c r="T108" s="52"/>
      <c r="U108" s="52"/>
      <c r="V108" s="52"/>
      <c r="W108" s="52"/>
      <c r="X108" s="52"/>
      <c r="Y108" s="52"/>
      <c r="Z108" s="52"/>
      <c r="AA108" s="52"/>
      <c r="AB108" s="52"/>
      <c r="AC108" s="52"/>
      <c r="AD108" s="52"/>
      <c r="AE108" s="52"/>
      <c r="AF108" s="52"/>
      <c r="AG108" s="52"/>
    </row>
    <row r="109" spans="1:33">
      <c r="A109" s="161"/>
      <c r="B109" s="161"/>
      <c r="C109" s="161"/>
      <c r="D109" s="161"/>
      <c r="E109" s="161"/>
      <c r="F109" s="161"/>
      <c r="G109" s="161"/>
      <c r="H109" s="174"/>
      <c r="I109" s="174"/>
      <c r="J109" s="174"/>
      <c r="K109" s="284"/>
      <c r="L109" s="284"/>
      <c r="M109" s="201"/>
      <c r="N109" s="201"/>
      <c r="O109" s="52"/>
      <c r="P109" s="52"/>
      <c r="Q109" s="52"/>
      <c r="R109" s="52"/>
      <c r="S109" s="52"/>
      <c r="T109" s="52"/>
      <c r="U109" s="52"/>
      <c r="V109" s="52"/>
      <c r="W109" s="52"/>
      <c r="X109" s="52"/>
      <c r="Y109" s="52"/>
      <c r="Z109" s="52"/>
      <c r="AA109" s="52"/>
      <c r="AB109" s="52"/>
      <c r="AC109" s="52"/>
      <c r="AD109" s="52"/>
      <c r="AE109" s="52"/>
      <c r="AF109" s="52"/>
      <c r="AG109" s="52"/>
    </row>
    <row r="110" spans="1:33">
      <c r="A110" s="162" t="s">
        <v>1622</v>
      </c>
      <c r="B110" s="162"/>
      <c r="C110" s="174"/>
      <c r="D110" s="174"/>
      <c r="E110" s="174"/>
      <c r="F110" s="174"/>
      <c r="G110" s="174"/>
      <c r="H110" s="174"/>
      <c r="I110" s="174"/>
      <c r="J110" s="174"/>
      <c r="K110" s="174"/>
      <c r="L110" s="174"/>
      <c r="M110" s="261"/>
      <c r="N110" s="261"/>
      <c r="O110" s="51"/>
      <c r="P110" s="51"/>
      <c r="Q110" s="51"/>
      <c r="R110" s="51"/>
      <c r="S110" s="51"/>
      <c r="T110" s="51"/>
      <c r="U110" s="51"/>
      <c r="V110" s="51"/>
      <c r="W110" s="51"/>
      <c r="X110" s="51"/>
      <c r="Y110" s="51"/>
      <c r="Z110" s="51"/>
      <c r="AA110" s="52"/>
      <c r="AB110" s="52"/>
      <c r="AC110" s="52"/>
      <c r="AD110" s="52"/>
      <c r="AE110" s="52"/>
      <c r="AF110" s="52"/>
      <c r="AG110" s="52"/>
    </row>
    <row r="111" spans="1:33">
      <c r="A111" s="162" t="s">
        <v>2189</v>
      </c>
      <c r="B111" s="174"/>
      <c r="C111" s="174"/>
      <c r="D111" s="174"/>
      <c r="E111" s="174"/>
      <c r="F111" s="174"/>
      <c r="G111" s="174"/>
      <c r="H111" s="174"/>
      <c r="I111" s="174"/>
      <c r="J111" s="174"/>
      <c r="K111" s="174"/>
      <c r="L111" s="174"/>
      <c r="M111" s="261"/>
      <c r="N111" s="261"/>
      <c r="O111" s="51"/>
      <c r="P111" s="51"/>
      <c r="Q111" s="51"/>
      <c r="R111" s="51"/>
      <c r="S111" s="51"/>
      <c r="T111" s="51"/>
      <c r="U111" s="51"/>
      <c r="V111" s="51"/>
      <c r="W111" s="51"/>
      <c r="X111" s="51"/>
      <c r="Y111" s="51"/>
      <c r="Z111" s="51"/>
      <c r="AA111" s="52"/>
      <c r="AB111" s="52"/>
      <c r="AC111" s="52"/>
      <c r="AD111" s="52"/>
      <c r="AE111" s="52"/>
      <c r="AF111" s="52"/>
      <c r="AG111" s="52"/>
    </row>
    <row r="112" spans="1:33">
      <c r="A112" s="174"/>
      <c r="B112" s="174"/>
      <c r="C112" s="174"/>
      <c r="D112" s="174"/>
      <c r="E112" s="174"/>
      <c r="F112" s="174"/>
      <c r="G112" s="174"/>
      <c r="H112" s="174"/>
      <c r="I112" s="174"/>
      <c r="J112" s="174"/>
      <c r="K112" s="174"/>
      <c r="L112" s="174"/>
      <c r="M112" s="261"/>
      <c r="N112" s="261"/>
      <c r="O112" s="51"/>
      <c r="P112" s="51"/>
      <c r="Q112" s="51"/>
      <c r="R112" s="51"/>
      <c r="S112" s="51"/>
      <c r="T112" s="51"/>
      <c r="U112" s="51"/>
      <c r="V112" s="51"/>
      <c r="W112" s="51"/>
      <c r="X112" s="51"/>
      <c r="Y112" s="51"/>
      <c r="Z112" s="51"/>
      <c r="AA112" s="52"/>
      <c r="AB112" s="52"/>
      <c r="AC112" s="52"/>
      <c r="AD112" s="52"/>
      <c r="AE112" s="52"/>
      <c r="AF112" s="52"/>
      <c r="AG112" s="52"/>
    </row>
    <row r="113" spans="1:33">
      <c r="A113" s="174"/>
      <c r="B113" s="174"/>
      <c r="C113" s="174"/>
      <c r="D113" s="174"/>
      <c r="E113" s="174"/>
      <c r="F113" s="174"/>
      <c r="G113" s="174"/>
      <c r="H113" s="174"/>
      <c r="I113" s="174"/>
      <c r="J113" s="174"/>
      <c r="K113" s="174"/>
      <c r="L113" s="174"/>
      <c r="M113" s="261"/>
      <c r="N113" s="261"/>
      <c r="O113" s="51"/>
      <c r="P113" s="51"/>
      <c r="Q113" s="51"/>
      <c r="R113" s="51"/>
      <c r="S113" s="51"/>
      <c r="T113" s="51"/>
      <c r="U113" s="51"/>
      <c r="V113" s="51"/>
      <c r="W113" s="51"/>
      <c r="X113" s="51"/>
      <c r="Y113" s="51"/>
      <c r="Z113" s="51"/>
      <c r="AA113" s="52"/>
      <c r="AB113" s="52"/>
      <c r="AC113" s="52"/>
      <c r="AD113" s="52"/>
      <c r="AE113" s="52"/>
      <c r="AF113" s="52"/>
      <c r="AG113" s="52"/>
    </row>
    <row r="114" spans="1:33">
      <c r="A114" s="174"/>
      <c r="B114" s="174"/>
      <c r="C114" s="174"/>
      <c r="D114" s="174"/>
      <c r="E114" s="174"/>
      <c r="F114" s="174"/>
      <c r="G114" s="174"/>
      <c r="H114" s="174"/>
      <c r="I114" s="174"/>
      <c r="J114" s="174"/>
      <c r="K114" s="174"/>
      <c r="L114" s="174"/>
      <c r="M114" s="261"/>
      <c r="N114" s="261"/>
      <c r="O114" s="51"/>
      <c r="P114" s="51"/>
      <c r="Q114" s="51"/>
      <c r="R114" s="51"/>
      <c r="S114" s="51"/>
      <c r="T114" s="51"/>
      <c r="U114" s="51"/>
      <c r="V114" s="51"/>
      <c r="W114" s="51"/>
      <c r="X114" s="51"/>
      <c r="Y114" s="51"/>
      <c r="Z114" s="51"/>
      <c r="AA114" s="52"/>
      <c r="AB114" s="52"/>
      <c r="AC114" s="52"/>
      <c r="AD114" s="52"/>
      <c r="AE114" s="52"/>
      <c r="AF114" s="52"/>
      <c r="AG114" s="52"/>
    </row>
    <row r="115" spans="1:33">
      <c r="A115" s="174"/>
      <c r="B115" s="174"/>
      <c r="C115" s="174"/>
      <c r="D115" s="174"/>
      <c r="E115" s="174"/>
      <c r="F115" s="174"/>
      <c r="G115" s="174"/>
      <c r="H115" s="174"/>
      <c r="I115" s="174"/>
      <c r="J115" s="174"/>
      <c r="K115" s="174"/>
      <c r="L115" s="174"/>
      <c r="M115" s="261"/>
      <c r="N115" s="261"/>
      <c r="O115" s="51"/>
      <c r="P115" s="51"/>
      <c r="Q115" s="51"/>
      <c r="R115" s="51"/>
      <c r="S115" s="51"/>
      <c r="T115" s="51"/>
      <c r="U115" s="51"/>
      <c r="V115" s="51"/>
      <c r="W115" s="51"/>
      <c r="X115" s="51"/>
      <c r="Y115" s="51"/>
      <c r="Z115" s="51"/>
      <c r="AA115" s="52"/>
      <c r="AB115" s="52"/>
      <c r="AC115" s="52"/>
      <c r="AD115" s="52"/>
      <c r="AE115" s="52"/>
      <c r="AF115" s="52"/>
      <c r="AG115" s="52"/>
    </row>
    <row r="116" spans="1:33">
      <c r="A116" s="174"/>
      <c r="B116" s="174"/>
      <c r="C116" s="174"/>
      <c r="D116" s="174"/>
      <c r="E116" s="174"/>
      <c r="F116" s="174"/>
      <c r="G116" s="174"/>
      <c r="H116" s="174"/>
      <c r="I116" s="174"/>
      <c r="J116" s="174"/>
      <c r="K116" s="174"/>
      <c r="L116" s="174"/>
      <c r="M116" s="261"/>
      <c r="N116" s="261"/>
      <c r="O116" s="51"/>
      <c r="P116" s="51"/>
      <c r="Q116" s="51"/>
      <c r="R116" s="51"/>
      <c r="S116" s="51"/>
      <c r="T116" s="51"/>
      <c r="U116" s="51"/>
      <c r="V116" s="51"/>
      <c r="W116" s="51"/>
      <c r="X116" s="51"/>
      <c r="Y116" s="51"/>
      <c r="Z116" s="51"/>
      <c r="AA116" s="52"/>
      <c r="AB116" s="52"/>
      <c r="AC116" s="52"/>
      <c r="AD116" s="52"/>
      <c r="AE116" s="52"/>
      <c r="AF116" s="52"/>
      <c r="AG116" s="52"/>
    </row>
    <row r="117" spans="1:33">
      <c r="A117" s="174"/>
      <c r="B117" s="174"/>
      <c r="C117" s="174"/>
      <c r="D117" s="174"/>
      <c r="E117" s="174"/>
      <c r="F117" s="174"/>
      <c r="G117" s="174"/>
      <c r="H117" s="174"/>
      <c r="I117" s="174"/>
      <c r="J117" s="174"/>
      <c r="K117" s="174"/>
      <c r="L117" s="174"/>
      <c r="M117" s="261"/>
      <c r="N117" s="261"/>
      <c r="O117" s="51"/>
      <c r="P117" s="51"/>
      <c r="Q117" s="51"/>
      <c r="R117" s="51"/>
      <c r="S117" s="51"/>
      <c r="T117" s="51"/>
      <c r="U117" s="51"/>
      <c r="V117" s="51"/>
      <c r="W117" s="51"/>
      <c r="X117" s="51"/>
      <c r="Y117" s="51"/>
      <c r="Z117" s="51"/>
      <c r="AA117" s="52"/>
      <c r="AB117" s="52"/>
      <c r="AC117" s="52"/>
      <c r="AD117" s="52"/>
      <c r="AE117" s="52"/>
      <c r="AF117" s="52"/>
      <c r="AG117" s="52"/>
    </row>
    <row r="118" spans="1:33">
      <c r="A118" s="174"/>
      <c r="B118" s="174"/>
      <c r="C118" s="174"/>
      <c r="D118" s="174"/>
      <c r="E118" s="174"/>
      <c r="F118" s="174"/>
      <c r="G118" s="174"/>
      <c r="H118" s="174"/>
      <c r="I118" s="174"/>
      <c r="J118" s="174"/>
      <c r="K118" s="174"/>
      <c r="L118" s="174"/>
      <c r="M118" s="261"/>
      <c r="N118" s="261"/>
      <c r="O118" s="51"/>
      <c r="P118" s="51"/>
      <c r="Q118" s="51"/>
      <c r="R118" s="51"/>
      <c r="S118" s="51"/>
      <c r="T118" s="51"/>
      <c r="U118" s="51"/>
      <c r="V118" s="51"/>
      <c r="W118" s="51"/>
      <c r="X118" s="51"/>
      <c r="Y118" s="51"/>
      <c r="Z118" s="51"/>
      <c r="AA118" s="52"/>
      <c r="AB118" s="52"/>
      <c r="AC118" s="52"/>
      <c r="AD118" s="52"/>
      <c r="AE118" s="52"/>
      <c r="AF118" s="52"/>
      <c r="AG118" s="52"/>
    </row>
    <row r="119" spans="1:33">
      <c r="A119" s="174"/>
      <c r="B119" s="174"/>
      <c r="C119" s="174"/>
      <c r="D119" s="174"/>
      <c r="E119" s="174"/>
      <c r="F119" s="174"/>
      <c r="G119" s="174"/>
      <c r="H119" s="174"/>
      <c r="I119" s="174"/>
      <c r="J119" s="174"/>
      <c r="K119" s="174"/>
      <c r="L119" s="174"/>
      <c r="M119" s="261"/>
      <c r="N119" s="261"/>
      <c r="O119" s="51"/>
      <c r="P119" s="51"/>
      <c r="Q119" s="51"/>
      <c r="R119" s="51"/>
      <c r="S119" s="51"/>
      <c r="T119" s="51"/>
      <c r="U119" s="51"/>
      <c r="V119" s="51"/>
      <c r="W119" s="51"/>
      <c r="X119" s="51"/>
      <c r="Y119" s="51"/>
      <c r="Z119" s="51"/>
      <c r="AA119" s="52"/>
      <c r="AB119" s="52"/>
      <c r="AC119" s="52"/>
      <c r="AD119" s="52"/>
      <c r="AE119" s="52"/>
      <c r="AF119" s="52"/>
      <c r="AG119" s="52"/>
    </row>
    <row r="120" spans="1:33">
      <c r="A120" s="174"/>
      <c r="B120" s="174"/>
      <c r="C120" s="174"/>
      <c r="D120" s="174"/>
      <c r="E120" s="174"/>
      <c r="F120" s="174"/>
      <c r="G120" s="174"/>
      <c r="H120" s="174"/>
      <c r="I120" s="174"/>
      <c r="J120" s="174"/>
      <c r="K120" s="174"/>
      <c r="L120" s="174"/>
      <c r="M120" s="261"/>
      <c r="N120" s="261"/>
      <c r="O120" s="51"/>
      <c r="P120" s="51"/>
      <c r="Q120" s="51"/>
      <c r="R120" s="51"/>
      <c r="S120" s="51"/>
      <c r="T120" s="51"/>
      <c r="U120" s="51"/>
      <c r="V120" s="51"/>
      <c r="W120" s="51"/>
      <c r="X120" s="51"/>
      <c r="Y120" s="51"/>
      <c r="Z120" s="51"/>
      <c r="AA120" s="52"/>
      <c r="AB120" s="52"/>
      <c r="AC120" s="52"/>
      <c r="AD120" s="52"/>
      <c r="AE120" s="52"/>
      <c r="AF120" s="52"/>
      <c r="AG120" s="52"/>
    </row>
    <row r="121" spans="1:33">
      <c r="A121" s="174"/>
      <c r="B121" s="174"/>
      <c r="C121" s="174"/>
      <c r="D121" s="174"/>
      <c r="E121" s="174"/>
      <c r="F121" s="174"/>
      <c r="G121" s="174"/>
      <c r="H121" s="174"/>
      <c r="I121" s="174"/>
      <c r="J121" s="174"/>
      <c r="K121" s="174"/>
      <c r="L121" s="174"/>
      <c r="M121" s="261"/>
      <c r="N121" s="261"/>
      <c r="O121" s="51"/>
      <c r="P121" s="51"/>
      <c r="Q121" s="51"/>
      <c r="R121" s="51"/>
      <c r="S121" s="51"/>
      <c r="T121" s="51"/>
      <c r="U121" s="51"/>
      <c r="V121" s="51"/>
      <c r="W121" s="51"/>
      <c r="X121" s="51"/>
      <c r="Y121" s="51"/>
      <c r="Z121" s="51"/>
      <c r="AA121" s="52"/>
      <c r="AB121" s="52"/>
      <c r="AC121" s="52"/>
      <c r="AD121" s="52"/>
      <c r="AE121" s="52"/>
      <c r="AF121" s="52"/>
      <c r="AG121" s="52"/>
    </row>
    <row r="122" spans="1:33">
      <c r="A122" s="174"/>
      <c r="B122" s="174"/>
      <c r="C122" s="174"/>
      <c r="D122" s="174"/>
      <c r="E122" s="174"/>
      <c r="F122" s="174"/>
      <c r="G122" s="174"/>
      <c r="H122" s="174"/>
      <c r="I122" s="174"/>
      <c r="J122" s="174"/>
      <c r="K122" s="174"/>
      <c r="L122" s="174"/>
      <c r="M122" s="261"/>
      <c r="N122" s="261"/>
      <c r="O122" s="51"/>
      <c r="P122" s="51"/>
      <c r="Q122" s="51"/>
      <c r="R122" s="51"/>
      <c r="S122" s="51"/>
      <c r="T122" s="51"/>
      <c r="U122" s="51"/>
      <c r="V122" s="51"/>
      <c r="W122" s="51"/>
      <c r="X122" s="51"/>
      <c r="Y122" s="51"/>
      <c r="Z122" s="51"/>
      <c r="AA122" s="52"/>
      <c r="AB122" s="52"/>
      <c r="AC122" s="52"/>
      <c r="AD122" s="52"/>
      <c r="AE122" s="52"/>
      <c r="AF122" s="52"/>
      <c r="AG122" s="52"/>
    </row>
    <row r="123" spans="1:33">
      <c r="A123" s="151"/>
      <c r="B123" s="151"/>
      <c r="C123" s="151"/>
      <c r="D123" s="151"/>
      <c r="E123" s="151"/>
      <c r="F123" s="151"/>
      <c r="G123" s="151"/>
      <c r="H123" s="151"/>
      <c r="I123" s="151"/>
      <c r="J123" s="151"/>
      <c r="K123" s="151"/>
      <c r="L123" s="151"/>
      <c r="M123" s="51"/>
      <c r="N123" s="51"/>
      <c r="O123" s="51"/>
      <c r="P123" s="51"/>
      <c r="Q123" s="51"/>
      <c r="R123" s="51"/>
      <c r="S123" s="51"/>
      <c r="T123" s="51"/>
      <c r="U123" s="51"/>
      <c r="V123" s="51"/>
      <c r="W123" s="51"/>
      <c r="X123" s="51"/>
      <c r="Y123" s="51"/>
      <c r="Z123" s="51"/>
      <c r="AA123" s="52"/>
      <c r="AB123" s="52"/>
      <c r="AC123" s="52"/>
      <c r="AD123" s="52"/>
      <c r="AE123" s="52"/>
      <c r="AF123" s="52"/>
      <c r="AG123" s="52"/>
    </row>
    <row r="124" spans="1:33">
      <c r="A124" s="151"/>
      <c r="B124" s="151"/>
      <c r="C124" s="151"/>
      <c r="D124" s="151"/>
      <c r="E124" s="151"/>
      <c r="F124" s="151"/>
      <c r="G124" s="151"/>
      <c r="H124" s="151"/>
      <c r="I124" s="151"/>
      <c r="J124" s="151"/>
      <c r="K124" s="151"/>
      <c r="L124" s="151"/>
      <c r="M124" s="51"/>
      <c r="N124" s="51"/>
      <c r="O124" s="51"/>
      <c r="P124" s="51"/>
      <c r="Q124" s="51"/>
      <c r="R124" s="51"/>
      <c r="S124" s="51"/>
      <c r="T124" s="51"/>
      <c r="U124" s="51"/>
      <c r="V124" s="51"/>
      <c r="W124" s="51"/>
      <c r="X124" s="51"/>
      <c r="Y124" s="51"/>
      <c r="Z124" s="51"/>
      <c r="AA124" s="52"/>
      <c r="AB124" s="52"/>
      <c r="AC124" s="52"/>
      <c r="AD124" s="52"/>
      <c r="AE124" s="52"/>
      <c r="AF124" s="52"/>
      <c r="AG124" s="52"/>
    </row>
    <row r="125" spans="1:33">
      <c r="A125" s="151"/>
      <c r="B125" s="151"/>
      <c r="C125" s="151"/>
      <c r="D125" s="151"/>
      <c r="E125" s="151"/>
      <c r="F125" s="151"/>
      <c r="G125" s="151"/>
      <c r="H125" s="151"/>
      <c r="I125" s="151"/>
      <c r="J125" s="151"/>
      <c r="K125" s="151"/>
      <c r="L125" s="151"/>
      <c r="M125" s="51"/>
      <c r="N125" s="51"/>
      <c r="O125" s="51"/>
      <c r="P125" s="51"/>
      <c r="Q125" s="51"/>
      <c r="R125" s="51"/>
      <c r="S125" s="51"/>
      <c r="T125" s="51"/>
      <c r="U125" s="51"/>
      <c r="V125" s="51"/>
      <c r="W125" s="51"/>
      <c r="X125" s="51"/>
      <c r="Y125" s="51"/>
      <c r="Z125" s="51"/>
      <c r="AA125" s="52"/>
      <c r="AB125" s="52"/>
      <c r="AC125" s="52"/>
      <c r="AD125" s="52"/>
      <c r="AE125" s="52"/>
      <c r="AF125" s="52"/>
      <c r="AG125" s="52"/>
    </row>
    <row r="126" spans="1:33">
      <c r="A126" s="151"/>
      <c r="B126" s="151"/>
      <c r="C126" s="151"/>
      <c r="D126" s="151"/>
      <c r="E126" s="151"/>
      <c r="F126" s="151"/>
      <c r="G126" s="151"/>
      <c r="H126" s="151"/>
      <c r="I126" s="151"/>
      <c r="J126" s="151"/>
      <c r="K126" s="151"/>
      <c r="L126" s="151"/>
      <c r="M126" s="51"/>
      <c r="N126" s="51"/>
      <c r="O126" s="51"/>
      <c r="P126" s="51"/>
      <c r="Q126" s="51"/>
      <c r="R126" s="51"/>
      <c r="S126" s="51"/>
      <c r="T126" s="51"/>
      <c r="U126" s="51"/>
      <c r="V126" s="51"/>
      <c r="W126" s="51"/>
      <c r="X126" s="51"/>
      <c r="Y126" s="51"/>
      <c r="Z126" s="51"/>
      <c r="AA126" s="52"/>
      <c r="AB126" s="52"/>
      <c r="AC126" s="52"/>
      <c r="AD126" s="52"/>
      <c r="AE126" s="52"/>
      <c r="AF126" s="52"/>
      <c r="AG126" s="52"/>
    </row>
    <row r="127" spans="1:33">
      <c r="A127" s="151"/>
      <c r="B127" s="151"/>
      <c r="C127" s="151"/>
      <c r="D127" s="151"/>
      <c r="E127" s="151"/>
      <c r="F127" s="151"/>
      <c r="G127" s="151"/>
      <c r="H127" s="151"/>
      <c r="I127" s="151"/>
      <c r="J127" s="151"/>
      <c r="K127" s="151"/>
      <c r="L127" s="151"/>
      <c r="M127" s="51"/>
      <c r="N127" s="51"/>
      <c r="O127" s="51"/>
      <c r="P127" s="51"/>
      <c r="Q127" s="51"/>
      <c r="R127" s="51"/>
      <c r="S127" s="51"/>
      <c r="T127" s="51"/>
      <c r="U127" s="51"/>
      <c r="V127" s="51"/>
      <c r="W127" s="51"/>
      <c r="X127" s="51"/>
      <c r="Y127" s="51"/>
      <c r="Z127" s="51"/>
      <c r="AA127" s="52"/>
      <c r="AB127" s="52"/>
      <c r="AC127" s="52"/>
      <c r="AD127" s="52"/>
      <c r="AE127" s="52"/>
      <c r="AF127" s="52"/>
      <c r="AG127" s="52"/>
    </row>
    <row r="128" spans="1:33">
      <c r="A128" s="151"/>
      <c r="B128" s="151"/>
      <c r="C128" s="151"/>
      <c r="D128" s="151"/>
      <c r="E128" s="151"/>
      <c r="F128" s="151"/>
      <c r="G128" s="151"/>
      <c r="H128" s="151"/>
      <c r="I128" s="151"/>
      <c r="J128" s="151"/>
      <c r="K128" s="151"/>
      <c r="L128" s="151"/>
      <c r="M128" s="51"/>
      <c r="N128" s="51"/>
      <c r="O128" s="51"/>
      <c r="P128" s="51"/>
      <c r="Q128" s="51"/>
      <c r="R128" s="51"/>
      <c r="S128" s="51"/>
      <c r="T128" s="51"/>
      <c r="U128" s="51"/>
      <c r="V128" s="51"/>
      <c r="W128" s="51"/>
      <c r="X128" s="51"/>
      <c r="Y128" s="51"/>
      <c r="Z128" s="51"/>
      <c r="AA128" s="52"/>
      <c r="AB128" s="52"/>
      <c r="AC128" s="52"/>
      <c r="AD128" s="52"/>
      <c r="AE128" s="52"/>
      <c r="AF128" s="52"/>
      <c r="AG128" s="52"/>
    </row>
    <row r="129" spans="1:33">
      <c r="A129" s="168"/>
      <c r="B129" s="168"/>
      <c r="C129" s="168"/>
      <c r="D129" s="168"/>
      <c r="E129" s="168"/>
      <c r="F129" s="168"/>
      <c r="G129" s="168"/>
      <c r="H129" s="168"/>
      <c r="I129" s="168"/>
      <c r="J129" s="168"/>
      <c r="K129" s="168"/>
      <c r="L129" s="168"/>
      <c r="M129" s="51"/>
      <c r="N129" s="51"/>
      <c r="O129" s="51"/>
      <c r="P129" s="51"/>
      <c r="Q129" s="51"/>
      <c r="R129" s="51"/>
      <c r="S129" s="51"/>
      <c r="T129" s="51"/>
      <c r="U129" s="51"/>
      <c r="V129" s="51"/>
      <c r="W129" s="51"/>
      <c r="X129" s="51"/>
      <c r="Y129" s="51"/>
      <c r="Z129" s="51"/>
      <c r="AA129" s="52"/>
      <c r="AB129" s="52"/>
      <c r="AC129" s="52"/>
      <c r="AD129" s="52"/>
      <c r="AE129" s="52"/>
      <c r="AF129" s="52"/>
      <c r="AG129" s="52"/>
    </row>
    <row r="130" spans="1:33">
      <c r="A130" s="168"/>
      <c r="B130" s="168"/>
      <c r="C130" s="168"/>
      <c r="D130" s="168"/>
      <c r="E130" s="168"/>
      <c r="F130" s="168"/>
      <c r="G130" s="168"/>
      <c r="H130" s="168"/>
      <c r="I130" s="168"/>
      <c r="J130" s="168"/>
      <c r="K130" s="168"/>
      <c r="L130" s="168"/>
      <c r="M130" s="51"/>
      <c r="N130" s="51"/>
      <c r="O130" s="51"/>
      <c r="P130" s="51"/>
      <c r="Q130" s="51"/>
      <c r="R130" s="51"/>
      <c r="S130" s="51"/>
      <c r="T130" s="51"/>
      <c r="U130" s="51"/>
      <c r="V130" s="51"/>
      <c r="W130" s="51"/>
      <c r="X130" s="51"/>
      <c r="Y130" s="51"/>
      <c r="Z130" s="51"/>
      <c r="AA130" s="52"/>
      <c r="AB130" s="52"/>
      <c r="AC130" s="52"/>
      <c r="AD130" s="52"/>
      <c r="AE130" s="52"/>
      <c r="AF130" s="52"/>
      <c r="AG130" s="52"/>
    </row>
    <row r="131" spans="1:33">
      <c r="A131" s="168"/>
      <c r="B131" s="168"/>
      <c r="C131" s="168"/>
      <c r="D131" s="168"/>
      <c r="E131" s="168"/>
      <c r="F131" s="168"/>
      <c r="G131" s="168"/>
      <c r="H131" s="168"/>
      <c r="I131" s="168"/>
      <c r="J131" s="168"/>
      <c r="K131" s="168"/>
      <c r="L131" s="168"/>
      <c r="M131" s="51"/>
      <c r="N131" s="51"/>
      <c r="O131" s="51"/>
      <c r="P131" s="51"/>
      <c r="Q131" s="51"/>
      <c r="R131" s="51"/>
      <c r="S131" s="51"/>
      <c r="T131" s="51"/>
      <c r="U131" s="51"/>
      <c r="V131" s="51"/>
      <c r="W131" s="51"/>
      <c r="X131" s="51"/>
      <c r="Y131" s="51"/>
      <c r="Z131" s="51"/>
      <c r="AA131" s="52"/>
      <c r="AB131" s="52"/>
      <c r="AC131" s="52"/>
      <c r="AD131" s="52"/>
      <c r="AE131" s="52"/>
      <c r="AF131" s="52"/>
      <c r="AG131" s="52"/>
    </row>
    <row r="132" spans="1:33">
      <c r="A132" s="168"/>
      <c r="B132" s="168"/>
      <c r="C132" s="168"/>
      <c r="D132" s="168"/>
      <c r="E132" s="168"/>
      <c r="F132" s="168"/>
      <c r="G132" s="168"/>
      <c r="H132" s="168"/>
      <c r="I132" s="168"/>
      <c r="J132" s="168"/>
      <c r="K132" s="168"/>
      <c r="L132" s="168"/>
      <c r="M132" s="51"/>
      <c r="N132" s="51"/>
      <c r="O132" s="51"/>
      <c r="P132" s="51"/>
      <c r="Q132" s="51"/>
      <c r="R132" s="51"/>
      <c r="S132" s="51"/>
      <c r="T132" s="51"/>
      <c r="U132" s="51"/>
      <c r="V132" s="51"/>
      <c r="W132" s="51"/>
      <c r="X132" s="51"/>
      <c r="Y132" s="51"/>
      <c r="Z132" s="51"/>
      <c r="AA132" s="52"/>
      <c r="AB132" s="52"/>
      <c r="AC132" s="52"/>
      <c r="AD132" s="52"/>
      <c r="AE132" s="52"/>
      <c r="AF132" s="52"/>
      <c r="AG132" s="52"/>
    </row>
    <row r="133" spans="1:33">
      <c r="A133" s="168"/>
      <c r="B133" s="168"/>
      <c r="C133" s="168"/>
      <c r="D133" s="168"/>
      <c r="E133" s="168"/>
      <c r="F133" s="168"/>
      <c r="G133" s="168"/>
      <c r="H133" s="168"/>
      <c r="I133" s="168"/>
      <c r="J133" s="168"/>
      <c r="K133" s="168"/>
      <c r="L133" s="168"/>
      <c r="M133" s="51"/>
      <c r="N133" s="51"/>
      <c r="O133" s="51"/>
      <c r="P133" s="51"/>
      <c r="Q133" s="51"/>
      <c r="R133" s="51"/>
      <c r="S133" s="51"/>
      <c r="T133" s="51"/>
      <c r="U133" s="51"/>
      <c r="V133" s="51"/>
      <c r="W133" s="51"/>
      <c r="X133" s="51"/>
      <c r="Y133" s="51"/>
      <c r="Z133" s="51"/>
      <c r="AA133" s="52"/>
      <c r="AB133" s="52"/>
      <c r="AC133" s="52"/>
      <c r="AD133" s="52"/>
      <c r="AE133" s="52"/>
      <c r="AF133" s="52"/>
      <c r="AG133" s="52"/>
    </row>
    <row r="134" spans="1:33">
      <c r="A134" s="168"/>
      <c r="B134" s="168"/>
      <c r="C134" s="168"/>
      <c r="D134" s="168"/>
      <c r="E134" s="168"/>
      <c r="F134" s="168"/>
      <c r="G134" s="168"/>
      <c r="H134" s="168"/>
      <c r="I134" s="168"/>
      <c r="J134" s="168"/>
      <c r="K134" s="168"/>
      <c r="L134" s="168"/>
      <c r="M134" s="51"/>
      <c r="N134" s="51"/>
      <c r="O134" s="51"/>
      <c r="P134" s="51"/>
      <c r="Q134" s="51"/>
      <c r="R134" s="51"/>
      <c r="S134" s="51"/>
      <c r="T134" s="51"/>
      <c r="U134" s="51"/>
      <c r="V134" s="51"/>
      <c r="W134" s="51"/>
      <c r="X134" s="51"/>
      <c r="Y134" s="51"/>
      <c r="Z134" s="51"/>
      <c r="AA134" s="52"/>
      <c r="AB134" s="52"/>
      <c r="AC134" s="52"/>
      <c r="AD134" s="52"/>
      <c r="AE134" s="52"/>
      <c r="AF134" s="52"/>
      <c r="AG134" s="52"/>
    </row>
    <row r="135" spans="1:33">
      <c r="A135" s="168"/>
      <c r="B135" s="168"/>
      <c r="C135" s="168"/>
      <c r="D135" s="168"/>
      <c r="E135" s="168"/>
      <c r="F135" s="168"/>
      <c r="G135" s="168"/>
      <c r="H135" s="168"/>
      <c r="I135" s="168"/>
      <c r="J135" s="168"/>
      <c r="K135" s="168"/>
      <c r="L135" s="168"/>
      <c r="M135" s="51"/>
      <c r="N135" s="51"/>
      <c r="O135" s="51"/>
      <c r="P135" s="51"/>
      <c r="Q135" s="51"/>
      <c r="R135" s="51"/>
      <c r="S135" s="51"/>
      <c r="T135" s="51"/>
      <c r="U135" s="51"/>
      <c r="V135" s="51"/>
      <c r="W135" s="51"/>
      <c r="X135" s="51"/>
      <c r="Y135" s="51"/>
      <c r="Z135" s="51"/>
      <c r="AA135" s="52"/>
      <c r="AB135" s="52"/>
      <c r="AC135" s="52"/>
      <c r="AD135" s="52"/>
      <c r="AE135" s="52"/>
      <c r="AF135" s="52"/>
      <c r="AG135" s="52"/>
    </row>
    <row r="136" spans="1:33">
      <c r="A136" s="168"/>
      <c r="B136" s="168"/>
      <c r="C136" s="168"/>
      <c r="D136" s="168"/>
      <c r="E136" s="168"/>
      <c r="F136" s="168"/>
      <c r="G136" s="168"/>
      <c r="H136" s="168"/>
      <c r="I136" s="168"/>
      <c r="J136" s="168"/>
      <c r="K136" s="168"/>
      <c r="L136" s="168"/>
      <c r="M136" s="51"/>
      <c r="N136" s="51"/>
      <c r="O136" s="51"/>
      <c r="P136" s="51"/>
      <c r="Q136" s="51"/>
      <c r="R136" s="51"/>
      <c r="S136" s="51"/>
      <c r="T136" s="51"/>
      <c r="U136" s="51"/>
      <c r="V136" s="51"/>
      <c r="W136" s="51"/>
      <c r="X136" s="51"/>
      <c r="Y136" s="51"/>
      <c r="Z136" s="51"/>
      <c r="AA136" s="52"/>
      <c r="AB136" s="52"/>
      <c r="AC136" s="52"/>
      <c r="AD136" s="52"/>
      <c r="AE136" s="52"/>
      <c r="AF136" s="52"/>
      <c r="AG136" s="52"/>
    </row>
    <row r="137" spans="1:33">
      <c r="A137" s="168"/>
      <c r="B137" s="168"/>
      <c r="C137" s="168"/>
      <c r="D137" s="168"/>
      <c r="E137" s="168"/>
      <c r="F137" s="168"/>
      <c r="G137" s="168"/>
      <c r="H137" s="168"/>
      <c r="I137" s="168"/>
      <c r="J137" s="168"/>
      <c r="K137" s="168"/>
      <c r="L137" s="168"/>
      <c r="M137" s="51"/>
      <c r="N137" s="51"/>
      <c r="O137" s="51"/>
      <c r="P137" s="51"/>
      <c r="Q137" s="51"/>
      <c r="R137" s="51"/>
      <c r="S137" s="51"/>
      <c r="T137" s="51"/>
      <c r="U137" s="51"/>
      <c r="V137" s="51"/>
      <c r="W137" s="51"/>
      <c r="X137" s="51"/>
      <c r="Y137" s="51"/>
      <c r="Z137" s="51"/>
      <c r="AA137" s="52"/>
      <c r="AB137" s="52"/>
      <c r="AC137" s="52"/>
      <c r="AD137" s="52"/>
      <c r="AE137" s="52"/>
      <c r="AF137" s="52"/>
      <c r="AG137" s="52"/>
    </row>
    <row r="138" spans="1:33">
      <c r="A138" s="168"/>
      <c r="B138" s="168"/>
      <c r="C138" s="168"/>
      <c r="D138" s="168"/>
      <c r="E138" s="168"/>
      <c r="F138" s="168"/>
      <c r="G138" s="168"/>
      <c r="H138" s="168"/>
      <c r="I138" s="168"/>
      <c r="J138" s="168"/>
      <c r="K138" s="168"/>
      <c r="L138" s="168"/>
      <c r="M138" s="51"/>
      <c r="N138" s="51"/>
      <c r="O138" s="51"/>
      <c r="P138" s="51"/>
      <c r="Q138" s="51"/>
      <c r="R138" s="51"/>
      <c r="S138" s="51"/>
      <c r="T138" s="51"/>
      <c r="U138" s="51"/>
      <c r="V138" s="51"/>
      <c r="W138" s="51"/>
      <c r="X138" s="51"/>
      <c r="Y138" s="51"/>
      <c r="Z138" s="51"/>
      <c r="AA138" s="52"/>
      <c r="AB138" s="52"/>
      <c r="AC138" s="52"/>
      <c r="AD138" s="52"/>
      <c r="AE138" s="52"/>
      <c r="AF138" s="52"/>
      <c r="AG138" s="52"/>
    </row>
    <row r="139" spans="1:33">
      <c r="A139" s="168"/>
      <c r="B139" s="168"/>
      <c r="C139" s="168"/>
      <c r="D139" s="168"/>
      <c r="E139" s="168"/>
      <c r="F139" s="168"/>
      <c r="G139" s="168"/>
      <c r="H139" s="168"/>
      <c r="I139" s="168"/>
      <c r="J139" s="168"/>
      <c r="K139" s="168"/>
      <c r="L139" s="168"/>
      <c r="M139" s="51"/>
      <c r="N139" s="51"/>
      <c r="O139" s="51"/>
      <c r="P139" s="51"/>
      <c r="Q139" s="51"/>
      <c r="R139" s="51"/>
      <c r="S139" s="51"/>
      <c r="T139" s="51"/>
      <c r="U139" s="51"/>
      <c r="V139" s="51"/>
      <c r="W139" s="51"/>
      <c r="X139" s="51"/>
      <c r="Y139" s="51"/>
      <c r="Z139" s="51"/>
      <c r="AA139" s="52"/>
      <c r="AB139" s="52"/>
      <c r="AC139" s="52"/>
      <c r="AD139" s="52"/>
      <c r="AE139" s="52"/>
      <c r="AF139" s="52"/>
      <c r="AG139" s="52"/>
    </row>
    <row r="140" spans="1:33">
      <c r="A140" s="168"/>
      <c r="B140" s="168"/>
      <c r="C140" s="168"/>
      <c r="D140" s="168"/>
      <c r="E140" s="168"/>
      <c r="F140" s="168"/>
      <c r="G140" s="168"/>
      <c r="H140" s="168"/>
      <c r="I140" s="168"/>
      <c r="J140" s="168"/>
      <c r="K140" s="168"/>
      <c r="L140" s="168"/>
      <c r="M140" s="51"/>
      <c r="N140" s="51"/>
      <c r="O140" s="51"/>
      <c r="P140" s="51"/>
      <c r="Q140" s="51"/>
      <c r="R140" s="51"/>
      <c r="S140" s="51"/>
      <c r="T140" s="51"/>
      <c r="U140" s="51"/>
      <c r="V140" s="51"/>
      <c r="W140" s="51"/>
      <c r="X140" s="51"/>
      <c r="Y140" s="51"/>
      <c r="Z140" s="51"/>
      <c r="AA140" s="52"/>
      <c r="AB140" s="52"/>
      <c r="AC140" s="52"/>
      <c r="AD140" s="52"/>
      <c r="AE140" s="52"/>
      <c r="AF140" s="52"/>
      <c r="AG140" s="52"/>
    </row>
    <row r="141" spans="1:33">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2"/>
      <c r="AB141" s="52"/>
      <c r="AC141" s="52"/>
      <c r="AD141" s="52"/>
      <c r="AE141" s="52"/>
      <c r="AF141" s="52"/>
      <c r="AG141" s="52"/>
    </row>
    <row r="142" spans="1:33">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2"/>
      <c r="AB142" s="52"/>
      <c r="AC142" s="52"/>
      <c r="AD142" s="52"/>
      <c r="AE142" s="52"/>
      <c r="AF142" s="52"/>
      <c r="AG142" s="52"/>
    </row>
    <row r="143" spans="1:3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2"/>
      <c r="AB143" s="52"/>
      <c r="AC143" s="52"/>
      <c r="AD143" s="52"/>
      <c r="AE143" s="52"/>
      <c r="AF143" s="52"/>
      <c r="AG143" s="52"/>
    </row>
    <row r="144" spans="1:33">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2"/>
      <c r="AB144" s="52"/>
      <c r="AC144" s="52"/>
      <c r="AD144" s="52"/>
      <c r="AE144" s="52"/>
      <c r="AF144" s="52"/>
      <c r="AG144" s="52"/>
    </row>
    <row r="145" spans="1:33">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2"/>
      <c r="AB145" s="52"/>
      <c r="AC145" s="52"/>
      <c r="AD145" s="52"/>
      <c r="AE145" s="52"/>
      <c r="AF145" s="52"/>
      <c r="AG145" s="52"/>
    </row>
    <row r="146" spans="1:33">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2"/>
      <c r="AB146" s="52"/>
      <c r="AC146" s="52"/>
      <c r="AD146" s="52"/>
      <c r="AE146" s="52"/>
      <c r="AF146" s="52"/>
      <c r="AG146" s="52"/>
    </row>
    <row r="147" spans="1:33">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2"/>
      <c r="AB147" s="52"/>
      <c r="AC147" s="52"/>
      <c r="AD147" s="52"/>
      <c r="AE147" s="52"/>
      <c r="AF147" s="52"/>
      <c r="AG147" s="52"/>
    </row>
    <row r="148" spans="1:33">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2"/>
      <c r="AB148" s="52"/>
      <c r="AC148" s="52"/>
      <c r="AD148" s="52"/>
      <c r="AE148" s="52"/>
      <c r="AF148" s="52"/>
      <c r="AG148" s="52"/>
    </row>
  </sheetData>
  <conditionalFormatting sqref="B62:B66">
    <cfRule type="dataBar" priority="3">
      <dataBar>
        <cfvo type="min"/>
        <cfvo type="max"/>
        <color rgb="FF638EC6"/>
      </dataBar>
      <extLst>
        <ext xmlns:x14="http://schemas.microsoft.com/office/spreadsheetml/2009/9/main" uri="{B025F937-C7B1-47D3-B67F-A62EFF666E3E}">
          <x14:id>{0E9F7C2B-5E97-453D-83D1-5D32F0B5D275}</x14:id>
        </ext>
      </extLst>
    </cfRule>
    <cfRule type="colorScale" priority="4">
      <colorScale>
        <cfvo type="min"/>
        <cfvo type="percentile" val="50"/>
        <cfvo type="max"/>
        <color rgb="FFF8696B"/>
        <color rgb="FFFCFCFF"/>
        <color rgb="FF63BE7B"/>
      </colorScale>
    </cfRule>
  </conditionalFormatting>
  <conditionalFormatting sqref="D62:D66">
    <cfRule type="dataBar" priority="1">
      <dataBar>
        <cfvo type="min"/>
        <cfvo type="max"/>
        <color rgb="FF638EC6"/>
      </dataBar>
      <extLst>
        <ext xmlns:x14="http://schemas.microsoft.com/office/spreadsheetml/2009/9/main" uri="{B025F937-C7B1-47D3-B67F-A62EFF666E3E}">
          <x14:id>{3667D202-EF53-4FBC-9790-7ED46F145D26}</x14:id>
        </ext>
      </extLst>
    </cfRule>
    <cfRule type="colorScale" priority="2">
      <colorScale>
        <cfvo type="min"/>
        <cfvo type="percentile" val="50"/>
        <cfvo type="max"/>
        <color rgb="FFF8696B"/>
        <color rgb="FFFCFCFF"/>
        <color rgb="FF63BE7B"/>
      </colorScale>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0E9F7C2B-5E97-453D-83D1-5D32F0B5D275}">
            <x14:dataBar minLength="0" maxLength="100" gradient="0">
              <x14:cfvo type="autoMin"/>
              <x14:cfvo type="autoMax"/>
              <x14:negativeFillColor rgb="FFFF0000"/>
              <x14:axisColor rgb="FF000000"/>
            </x14:dataBar>
          </x14:cfRule>
          <xm:sqref>B62:B66</xm:sqref>
        </x14:conditionalFormatting>
        <x14:conditionalFormatting xmlns:xm="http://schemas.microsoft.com/office/excel/2006/main">
          <x14:cfRule type="dataBar" id="{3667D202-EF53-4FBC-9790-7ED46F145D26}">
            <x14:dataBar minLength="0" maxLength="100" gradient="0">
              <x14:cfvo type="autoMin"/>
              <x14:cfvo type="autoMax"/>
              <x14:negativeFillColor rgb="FFFF0000"/>
              <x14:axisColor rgb="FF000000"/>
            </x14:dataBar>
          </x14:cfRule>
          <xm:sqref>D62:D66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109C-E554-4411-A0B9-F50A863CD9BD}">
  <dimension ref="A1:AH120"/>
  <sheetViews>
    <sheetView zoomScale="80" zoomScaleNormal="80" workbookViewId="0"/>
  </sheetViews>
  <sheetFormatPr defaultRowHeight="14"/>
  <cols>
    <col min="1" max="1" width="46.1640625" customWidth="1"/>
    <col min="2" max="2" width="21.4140625" customWidth="1"/>
    <col min="3" max="3" width="21.75" customWidth="1"/>
    <col min="4" max="4" width="32.58203125" customWidth="1"/>
    <col min="5" max="5" width="19.4140625" customWidth="1"/>
    <col min="6" max="6" width="64" customWidth="1"/>
    <col min="7" max="7" width="24.25" customWidth="1"/>
    <col min="8" max="8" width="12.75" customWidth="1"/>
    <col min="9" max="9" width="12.58203125" customWidth="1"/>
    <col min="10" max="10" width="14.75" customWidth="1"/>
    <col min="11" max="11" width="20.25" customWidth="1"/>
    <col min="12" max="12" width="11.25" customWidth="1"/>
    <col min="13" max="13" width="16.83203125" customWidth="1"/>
    <col min="14" max="14" width="11.83203125" customWidth="1"/>
    <col min="15" max="15" width="14.83203125" customWidth="1"/>
    <col min="16" max="16" width="10.4140625" customWidth="1"/>
    <col min="18" max="18" width="10.6640625" customWidth="1"/>
    <col min="19" max="19" width="11" customWidth="1"/>
    <col min="23" max="23" width="11.25" customWidth="1"/>
  </cols>
  <sheetData>
    <row r="1" spans="1:34">
      <c r="A1" s="12" t="s">
        <v>2301</v>
      </c>
      <c r="B1" s="12" t="s">
        <v>290</v>
      </c>
      <c r="C1" s="12" t="s">
        <v>291</v>
      </c>
      <c r="D1" s="12" t="s">
        <v>292</v>
      </c>
      <c r="E1" s="12" t="s">
        <v>293</v>
      </c>
      <c r="F1" s="12" t="s">
        <v>294</v>
      </c>
      <c r="G1" s="175" t="s">
        <v>214</v>
      </c>
      <c r="H1" s="175" t="s">
        <v>222</v>
      </c>
      <c r="I1" s="175" t="s">
        <v>2101</v>
      </c>
      <c r="J1" s="175" t="s">
        <v>218</v>
      </c>
      <c r="K1" s="175" t="s">
        <v>957</v>
      </c>
      <c r="L1" s="175" t="s">
        <v>958</v>
      </c>
      <c r="M1" s="175" t="s">
        <v>330</v>
      </c>
      <c r="N1" s="12" t="s">
        <v>139</v>
      </c>
      <c r="O1" s="12" t="s">
        <v>1584</v>
      </c>
      <c r="P1" s="3"/>
      <c r="Q1" s="3"/>
      <c r="R1" s="27" t="s">
        <v>2677</v>
      </c>
      <c r="S1" s="27"/>
      <c r="T1" s="47"/>
      <c r="U1" s="47"/>
      <c r="V1" s="47"/>
      <c r="W1" s="47"/>
      <c r="X1" s="47"/>
      <c r="Y1" s="47"/>
      <c r="Z1" s="47"/>
      <c r="AA1" s="50"/>
      <c r="AB1" s="50"/>
      <c r="AC1" s="52"/>
      <c r="AD1" s="52"/>
      <c r="AE1" s="52"/>
      <c r="AF1" s="52"/>
      <c r="AG1" s="52"/>
      <c r="AH1" s="52"/>
    </row>
    <row r="2" spans="1:34">
      <c r="A2" s="30" t="s">
        <v>295</v>
      </c>
      <c r="B2" s="22">
        <v>548</v>
      </c>
      <c r="C2" s="22">
        <v>510000</v>
      </c>
      <c r="D2" s="22">
        <v>28167</v>
      </c>
      <c r="E2" s="22">
        <v>12874</v>
      </c>
      <c r="F2" s="22">
        <v>48081</v>
      </c>
      <c r="G2" s="106">
        <f>Table28[[#This Row],[Market Cap ($ mn)]]/Table28[[#This Row],[Net Profit ($ mn)]]</f>
        <v>39.614727357464659</v>
      </c>
      <c r="H2" s="106">
        <f>Table28[[#This Row],[Market Cap ($ mn)]]/Table28[[#This Row],[Sales ($ mn)]]</f>
        <v>18.106294600063904</v>
      </c>
      <c r="I2" s="106">
        <f>Table28[[#This Row],[EV]]/Table28[[#This Row],[Sales ($ mn)]]</f>
        <v>18.10998686406078</v>
      </c>
      <c r="J2" s="106">
        <f>Table28[[#This Row],[Market Cap ($ mn)]]/(Table28[[#This Row],[Net Profit ($ mn)]]*1.25)</f>
        <v>31.691781885971725</v>
      </c>
      <c r="K2" s="97">
        <f>Table28[[#This Row],[Net Profit ($ mn)]]/Table28[[#This Row],[Sales ($ mn)]]</f>
        <v>0.45705967976710332</v>
      </c>
      <c r="L2" s="97">
        <f>Table28[[#This Row],[Net Profit ($ mn)]]/Table28[[#This Row],[Total Assets ($ mn)]]</f>
        <v>0.26775649424928766</v>
      </c>
      <c r="M2" s="97">
        <f>Table28[[#This Row],[Net Profit ($ mn)]]/(Table28[[#This Row],[Total Assets ($ mn)]])*0.5</f>
        <v>0.13387824712464383</v>
      </c>
      <c r="N2" s="241">
        <v>16096</v>
      </c>
      <c r="O2" s="22">
        <v>510104</v>
      </c>
      <c r="P2" s="3"/>
      <c r="Q2" s="3"/>
      <c r="R2" s="250" t="s">
        <v>214</v>
      </c>
      <c r="S2" s="27" t="s">
        <v>218</v>
      </c>
      <c r="T2" s="47"/>
      <c r="U2" s="47"/>
      <c r="V2" s="47"/>
      <c r="W2" s="47"/>
      <c r="X2" s="47"/>
      <c r="Y2" s="47"/>
      <c r="Z2" s="47"/>
      <c r="AA2" s="50"/>
      <c r="AB2" s="50"/>
      <c r="AC2" s="52"/>
      <c r="AD2" s="52"/>
      <c r="AE2" s="52"/>
      <c r="AF2" s="52"/>
      <c r="AG2" s="52"/>
      <c r="AH2" s="52"/>
    </row>
    <row r="3" spans="1:34">
      <c r="A3" s="30" t="s">
        <v>296</v>
      </c>
      <c r="B3" s="22">
        <v>331</v>
      </c>
      <c r="C3" s="22">
        <v>690000</v>
      </c>
      <c r="D3" s="22">
        <v>40000</v>
      </c>
      <c r="E3" s="22">
        <v>20058</v>
      </c>
      <c r="F3" s="22">
        <v>99627</v>
      </c>
      <c r="G3" s="106">
        <f>Table28[[#This Row],[Market Cap ($ mn)]]/Table28[[#This Row],[Net Profit ($ mn)]]</f>
        <v>34.400239306012566</v>
      </c>
      <c r="H3" s="106">
        <f>Table28[[#This Row],[Market Cap ($ mn)]]/Table28[[#This Row],[Sales ($ mn)]]</f>
        <v>17.25</v>
      </c>
      <c r="I3" s="106">
        <f>Table28[[#This Row],[EV]]/Table28[[#This Row],[Sales ($ mn)]]</f>
        <v>17.25</v>
      </c>
      <c r="J3" s="106">
        <f>Table28[[#This Row],[Market Cap ($ mn)]]/(Table28[[#This Row],[Net Profit ($ mn)]]*1.25)</f>
        <v>27.520191444810052</v>
      </c>
      <c r="K3" s="97">
        <f>Table28[[#This Row],[Net Profit ($ mn)]]/Table28[[#This Row],[Sales ($ mn)]]</f>
        <v>0.50144999999999995</v>
      </c>
      <c r="L3" s="97">
        <f>Table28[[#This Row],[Net Profit ($ mn)]]/Table28[[#This Row],[Total Assets ($ mn)]]</f>
        <v>0.20133096449757595</v>
      </c>
      <c r="M3" s="97">
        <f>Table28[[#This Row],[Net Profit ($ mn)]]/(Table28[[#This Row],[Total Assets ($ mn)]])*0.5</f>
        <v>0.10066548224878798</v>
      </c>
      <c r="N3" s="241">
        <v>25073</v>
      </c>
      <c r="O3" s="22">
        <v>690000</v>
      </c>
      <c r="P3" s="3"/>
      <c r="Q3" s="3"/>
      <c r="R3" s="543">
        <f t="shared" ref="R3:R8" si="0">G2</f>
        <v>39.614727357464659</v>
      </c>
      <c r="S3" s="263">
        <f t="shared" ref="S3:S8" si="1">J2</f>
        <v>31.691781885971725</v>
      </c>
      <c r="T3" s="47"/>
      <c r="U3" s="47"/>
      <c r="V3" s="47"/>
      <c r="W3" s="47"/>
      <c r="X3" s="47"/>
      <c r="Y3" s="47"/>
      <c r="Z3" s="47"/>
      <c r="AA3" s="50"/>
      <c r="AB3" s="50"/>
      <c r="AC3" s="52"/>
      <c r="AD3" s="52"/>
      <c r="AE3" s="52"/>
      <c r="AF3" s="52"/>
      <c r="AG3" s="52"/>
      <c r="AH3" s="52"/>
    </row>
    <row r="4" spans="1:34">
      <c r="A4" s="30" t="s">
        <v>297</v>
      </c>
      <c r="B4" s="22">
        <v>359.15</v>
      </c>
      <c r="C4" s="22">
        <v>255000</v>
      </c>
      <c r="D4" s="22">
        <v>72229</v>
      </c>
      <c r="E4" s="22">
        <v>10833</v>
      </c>
      <c r="F4" s="22">
        <v>271461</v>
      </c>
      <c r="G4" s="106">
        <f>Table28[[#This Row],[Market Cap ($ mn)]]/Table28[[#This Row],[Net Profit ($ mn)]]</f>
        <v>23.539185821102187</v>
      </c>
      <c r="H4" s="106">
        <f>Table28[[#This Row],[Market Cap ($ mn)]]/Table28[[#This Row],[Sales ($ mn)]]</f>
        <v>3.5304379127497265</v>
      </c>
      <c r="I4" s="106">
        <f>Table28[[#This Row],[EV]]/Table28[[#This Row],[Sales ($ mn)]]</f>
        <v>3.529994877403813</v>
      </c>
      <c r="J4" s="106">
        <f>Table28[[#This Row],[Market Cap ($ mn)]]/(Table28[[#This Row],[Net Profit ($ mn)]]*1.25)</f>
        <v>18.831348656881751</v>
      </c>
      <c r="K4" s="97">
        <f>Table28[[#This Row],[Net Profit ($ mn)]]/Table28[[#This Row],[Sales ($ mn)]]</f>
        <v>0.14998130944634427</v>
      </c>
      <c r="L4" s="97">
        <f>Table28[[#This Row],[Net Profit ($ mn)]]/Table28[[#This Row],[Total Assets ($ mn)]]</f>
        <v>3.9906284880701096E-2</v>
      </c>
      <c r="M4" s="97">
        <f>Table28[[#This Row],[Net Profit ($ mn)]]/(Table28[[#This Row],[Total Assets ($ mn)]])*0.5</f>
        <v>1.9953142440350548E-2</v>
      </c>
      <c r="N4" s="241">
        <v>13541</v>
      </c>
      <c r="O4" s="22">
        <v>254968</v>
      </c>
      <c r="P4" s="3"/>
      <c r="Q4" s="3"/>
      <c r="R4" s="543">
        <f t="shared" si="0"/>
        <v>34.400239306012566</v>
      </c>
      <c r="S4" s="263">
        <f t="shared" si="1"/>
        <v>27.520191444810052</v>
      </c>
      <c r="T4" s="47"/>
      <c r="U4" s="47"/>
      <c r="V4" s="47"/>
      <c r="W4" s="47"/>
      <c r="X4" s="47"/>
      <c r="Y4" s="47"/>
      <c r="Z4" s="47"/>
      <c r="AA4" s="50"/>
      <c r="AB4" s="50"/>
      <c r="AC4" s="52"/>
      <c r="AD4" s="52"/>
      <c r="AE4" s="52"/>
      <c r="AF4" s="52"/>
      <c r="AG4" s="52"/>
      <c r="AH4" s="52"/>
    </row>
    <row r="5" spans="1:34">
      <c r="A5" s="30" t="s">
        <v>298</v>
      </c>
      <c r="B5" s="22">
        <v>40.42</v>
      </c>
      <c r="C5" s="22">
        <v>42000</v>
      </c>
      <c r="D5" s="22">
        <v>33172</v>
      </c>
      <c r="E5" s="22">
        <v>5233</v>
      </c>
      <c r="F5" s="22">
        <v>80173</v>
      </c>
      <c r="G5" s="106">
        <f>Table28[[#This Row],[Market Cap ($ mn)]]/Table28[[#This Row],[Net Profit ($ mn)]]</f>
        <v>8.0259889164914959</v>
      </c>
      <c r="H5" s="106">
        <f>Table28[[#This Row],[Market Cap ($ mn)]]/Table28[[#This Row],[Sales ($ mn)]]</f>
        <v>1.266128059809478</v>
      </c>
      <c r="I5" s="106">
        <f>Table28[[#This Row],[EV]]/Table28[[#This Row],[Sales ($ mn)]]</f>
        <v>1.2699867358012782</v>
      </c>
      <c r="J5" s="106">
        <f>Table28[[#This Row],[Market Cap ($ mn)]]/(Table28[[#This Row],[Net Profit ($ mn)]]*1.25)</f>
        <v>6.4207911331931973</v>
      </c>
      <c r="K5" s="97">
        <f>Table28[[#This Row],[Net Profit ($ mn)]]/Table28[[#This Row],[Sales ($ mn)]]</f>
        <v>0.15775352707102375</v>
      </c>
      <c r="L5" s="97">
        <f>Table28[[#This Row],[Net Profit ($ mn)]]/Table28[[#This Row],[Total Assets ($ mn)]]</f>
        <v>6.5271350704102379E-2</v>
      </c>
      <c r="M5" s="97">
        <f>Table28[[#This Row],[Net Profit ($ mn)]]/(Table28[[#This Row],[Total Assets ($ mn)]])*0.5</f>
        <v>3.263567535205119E-2</v>
      </c>
      <c r="N5" s="241">
        <v>6561</v>
      </c>
      <c r="O5" s="22">
        <v>42128</v>
      </c>
      <c r="P5" s="3"/>
      <c r="Q5" s="3"/>
      <c r="R5" s="543">
        <f t="shared" si="0"/>
        <v>23.539185821102187</v>
      </c>
      <c r="S5" s="263">
        <f t="shared" si="1"/>
        <v>18.831348656881751</v>
      </c>
      <c r="T5" s="47"/>
      <c r="U5" s="47"/>
      <c r="V5" s="47"/>
      <c r="W5" s="47"/>
      <c r="X5" s="47"/>
      <c r="Y5" s="47"/>
      <c r="Z5" s="47"/>
      <c r="AA5" s="50"/>
      <c r="AB5" s="50"/>
      <c r="AC5" s="52"/>
      <c r="AD5" s="52"/>
      <c r="AE5" s="52"/>
      <c r="AF5" s="52"/>
      <c r="AG5" s="52"/>
      <c r="AH5" s="52"/>
    </row>
    <row r="6" spans="1:34">
      <c r="A6" s="30" t="s">
        <v>678</v>
      </c>
      <c r="B6" s="22">
        <v>49.8</v>
      </c>
      <c r="C6" s="22">
        <v>29800</v>
      </c>
      <c r="D6" s="7">
        <v>24121</v>
      </c>
      <c r="E6" s="237">
        <v>2897</v>
      </c>
      <c r="F6" s="237">
        <v>36777</v>
      </c>
      <c r="G6" s="106">
        <f>Table28[[#This Row],[Market Cap ($ mn)]]/Table28[[#This Row],[Net Profit ($ mn)]]</f>
        <v>10.286503279254401</v>
      </c>
      <c r="H6" s="106">
        <f>Table28[[#This Row],[Market Cap ($ mn)]]/Table28[[#This Row],[Sales ($ mn)]]</f>
        <v>1.2354380000829153</v>
      </c>
      <c r="I6" s="106">
        <f>Table28[[#This Row],[EV]]/Table28[[#This Row],[Sales ($ mn)]]</f>
        <v>1.2399983416939597</v>
      </c>
      <c r="J6" s="106">
        <f>Table28[[#This Row],[Market Cap ($ mn)]]/(Table28[[#This Row],[Net Profit ($ mn)]]*1.25)</f>
        <v>8.2292026234035216</v>
      </c>
      <c r="K6" s="97">
        <f>Table28[[#This Row],[Net Profit ($ mn)]]/Table28[[#This Row],[Sales ($ mn)]]</f>
        <v>0.12010281497450355</v>
      </c>
      <c r="L6" s="97">
        <f>Table28[[#This Row],[Net Profit ($ mn)]]/Table28[[#This Row],[Total Assets ($ mn)]]</f>
        <v>7.8772058623596264E-2</v>
      </c>
      <c r="M6" s="97">
        <f>Table28[[#This Row],[Net Profit ($ mn)]]/(Table28[[#This Row],[Total Assets ($ mn)]])*0.5</f>
        <v>3.9386029311798132E-2</v>
      </c>
      <c r="N6" s="241">
        <v>3634</v>
      </c>
      <c r="O6" s="22">
        <v>29910</v>
      </c>
      <c r="P6" s="3"/>
      <c r="Q6" s="3"/>
      <c r="R6" s="543">
        <f t="shared" si="0"/>
        <v>8.0259889164914959</v>
      </c>
      <c r="S6" s="263">
        <f t="shared" si="1"/>
        <v>6.4207911331931973</v>
      </c>
      <c r="T6" s="47"/>
      <c r="U6" s="47"/>
      <c r="V6" s="47"/>
      <c r="W6" s="47"/>
      <c r="X6" s="47"/>
      <c r="Y6" s="47"/>
      <c r="Z6" s="47"/>
      <c r="AA6" s="50"/>
      <c r="AB6" s="50"/>
      <c r="AC6" s="52"/>
      <c r="AD6" s="52"/>
      <c r="AE6" s="52"/>
      <c r="AF6" s="52"/>
      <c r="AG6" s="52"/>
      <c r="AH6" s="52"/>
    </row>
    <row r="7" spans="1:34">
      <c r="A7" s="30" t="s">
        <v>299</v>
      </c>
      <c r="B7" s="22">
        <v>120</v>
      </c>
      <c r="C7" s="22">
        <v>31000</v>
      </c>
      <c r="D7" s="7">
        <v>9700</v>
      </c>
      <c r="E7" s="237">
        <v>1200</v>
      </c>
      <c r="F7" s="237">
        <v>52000</v>
      </c>
      <c r="G7" s="106">
        <f>Table28[[#This Row],[Market Cap ($ mn)]]/Table28[[#This Row],[Net Profit ($ mn)]]</f>
        <v>25.833333333333332</v>
      </c>
      <c r="H7" s="106">
        <f>Table28[[#This Row],[Market Cap ($ mn)]]/Table28[[#This Row],[Sales ($ mn)]]</f>
        <v>3.195876288659794</v>
      </c>
      <c r="I7" s="106">
        <f>Table28[[#This Row],[EV]]/Table28[[#This Row],[Sales ($ mn)]]</f>
        <v>3.2</v>
      </c>
      <c r="J7" s="106">
        <f>Table28[[#This Row],[Market Cap ($ mn)]]/(Table28[[#This Row],[Net Profit ($ mn)]]*1.25)</f>
        <v>20.666666666666668</v>
      </c>
      <c r="K7" s="97">
        <f>Table28[[#This Row],[Net Profit ($ mn)]]/Table28[[#This Row],[Sales ($ mn)]]</f>
        <v>0.12371134020618557</v>
      </c>
      <c r="L7" s="97">
        <f>Table28[[#This Row],[Net Profit ($ mn)]]/Table28[[#This Row],[Total Assets ($ mn)]]</f>
        <v>2.3076923076923078E-2</v>
      </c>
      <c r="M7" s="97">
        <f>Table28[[#This Row],[Net Profit ($ mn)]]/(Table28[[#This Row],[Total Assets ($ mn)]])*0.5</f>
        <v>1.1538461538461539E-2</v>
      </c>
      <c r="N7" s="241">
        <v>1501</v>
      </c>
      <c r="O7" s="22">
        <v>31040</v>
      </c>
      <c r="P7" s="3"/>
      <c r="Q7" s="3"/>
      <c r="R7" s="543">
        <f t="shared" si="0"/>
        <v>10.286503279254401</v>
      </c>
      <c r="S7" s="263">
        <f t="shared" si="1"/>
        <v>8.2292026234035216</v>
      </c>
      <c r="T7" s="47"/>
      <c r="U7" s="47"/>
      <c r="V7" s="47"/>
      <c r="W7" s="47"/>
      <c r="X7" s="47"/>
      <c r="Y7" s="47"/>
      <c r="Z7" s="47"/>
      <c r="AA7" s="50"/>
      <c r="AB7" s="50"/>
      <c r="AC7" s="52"/>
      <c r="AD7" s="52"/>
      <c r="AE7" s="52"/>
      <c r="AF7" s="52"/>
      <c r="AG7" s="52"/>
      <c r="AH7" s="52"/>
    </row>
    <row r="8" spans="1:34">
      <c r="A8" s="177"/>
      <c r="B8" s="177"/>
      <c r="C8" s="177">
        <f>SUM(Table28[Market Cap ($ mn)])</f>
        <v>1557800</v>
      </c>
      <c r="D8" s="177"/>
      <c r="E8" s="178">
        <f>SUBTOTAL(109,Table28[Net Profit ($ mn)])</f>
        <v>53095</v>
      </c>
      <c r="F8" s="177" t="s">
        <v>959</v>
      </c>
      <c r="G8" s="179">
        <f t="shared" ref="G8:L8" si="2">AVERAGE(G3:G7)</f>
        <v>20.417050131238796</v>
      </c>
      <c r="H8" s="179">
        <f t="shared" si="2"/>
        <v>5.2955760522603823</v>
      </c>
      <c r="I8" s="179">
        <f>AVERAGE(Table28[EV/Sales])</f>
        <v>7.4333278031599725</v>
      </c>
      <c r="J8" s="179">
        <f t="shared" si="2"/>
        <v>16.333640104991041</v>
      </c>
      <c r="K8" s="180">
        <f t="shared" si="2"/>
        <v>0.21059979833961143</v>
      </c>
      <c r="L8" s="180">
        <f t="shared" si="2"/>
        <v>8.1671516356579765E-2</v>
      </c>
      <c r="M8" s="180">
        <f>(M3+M4+M5+M6+M7)/5</f>
        <v>4.0835758178289883E-2</v>
      </c>
      <c r="N8" s="177">
        <f>AVERAGE(N3:N7)</f>
        <v>10062</v>
      </c>
      <c r="O8" s="177">
        <f>AVERAGE(O3:O7)</f>
        <v>209609.2</v>
      </c>
      <c r="P8" s="3"/>
      <c r="Q8" s="3"/>
      <c r="R8" s="543">
        <f t="shared" si="0"/>
        <v>25.833333333333332</v>
      </c>
      <c r="S8" s="263">
        <f t="shared" si="1"/>
        <v>20.666666666666668</v>
      </c>
      <c r="T8" s="47"/>
      <c r="U8" s="47"/>
      <c r="V8" s="47"/>
      <c r="W8" s="47"/>
      <c r="X8" s="47"/>
      <c r="Y8" s="47"/>
      <c r="Z8" s="47"/>
      <c r="AA8" s="50"/>
      <c r="AB8" s="50"/>
      <c r="AC8" s="52"/>
      <c r="AD8" s="52"/>
      <c r="AE8" s="52"/>
      <c r="AF8" s="52"/>
      <c r="AG8" s="52"/>
      <c r="AH8" s="52"/>
    </row>
    <row r="9" spans="1:34">
      <c r="A9" s="47"/>
      <c r="B9" s="47"/>
      <c r="C9" s="12"/>
      <c r="D9" s="12"/>
      <c r="E9" s="12"/>
      <c r="F9" s="22" t="s">
        <v>960</v>
      </c>
      <c r="G9" s="106">
        <f>MEDIAN(Table28[P/E])</f>
        <v>24.686259577217761</v>
      </c>
      <c r="H9" s="106">
        <f>MEDIAN(Table28[P/S])</f>
        <v>3.3631571007047603</v>
      </c>
      <c r="I9" s="106">
        <f>MEDIAN(Table28[EV/Sales])</f>
        <v>3.3649974387019066</v>
      </c>
      <c r="J9" s="106">
        <f>MEDIAN(Table28[EV/EBITDA])</f>
        <v>19.749007661774208</v>
      </c>
      <c r="K9" s="97">
        <f>MEDIAN(Table28[Net Profit Margin])</f>
        <v>0.153867418258684</v>
      </c>
      <c r="L9" s="97">
        <f>MEDIAN(Table28[ROA])</f>
        <v>7.2021704663849329E-2</v>
      </c>
      <c r="M9" s="97">
        <f>MEDIAN(Table28[ROE])</f>
        <v>3.6010852331924664E-2</v>
      </c>
      <c r="N9" s="22">
        <f>MEDIAN(Table28[[#Headers],[#Data],[EBITDA]])</f>
        <v>10051</v>
      </c>
      <c r="O9" s="22">
        <f>MEDIAN(Table28[EV])</f>
        <v>148548</v>
      </c>
      <c r="P9" s="3"/>
      <c r="Q9" s="3"/>
      <c r="R9" s="543">
        <f>Table28[[#Totals],[P/E]]</f>
        <v>20.417050131238796</v>
      </c>
      <c r="S9" s="263">
        <f>Table28[[#Totals],[EV/EBITDA]]</f>
        <v>16.333640104991041</v>
      </c>
      <c r="T9" s="47"/>
      <c r="U9" s="47"/>
      <c r="V9" s="47"/>
      <c r="W9" s="47"/>
      <c r="X9" s="47"/>
      <c r="Y9" s="47"/>
      <c r="Z9" s="47"/>
      <c r="AA9" s="50"/>
      <c r="AB9" s="50"/>
      <c r="AC9" s="52"/>
      <c r="AD9" s="52"/>
      <c r="AE9" s="52"/>
      <c r="AF9" s="52"/>
      <c r="AG9" s="52"/>
      <c r="AH9" s="52"/>
    </row>
    <row r="10" spans="1:34">
      <c r="A10" s="22" t="s">
        <v>966</v>
      </c>
      <c r="B10" s="12"/>
      <c r="C10" s="12"/>
      <c r="D10" s="12"/>
      <c r="E10" s="22" t="s">
        <v>247</v>
      </c>
      <c r="F10" s="22" t="s">
        <v>143</v>
      </c>
      <c r="G10" s="12"/>
      <c r="H10" s="12"/>
      <c r="I10" s="12"/>
      <c r="J10" s="12"/>
      <c r="K10" s="12"/>
      <c r="L10" s="12"/>
      <c r="M10" s="12"/>
      <c r="N10" s="12"/>
      <c r="O10" s="3"/>
      <c r="P10" s="3"/>
      <c r="Q10" s="3"/>
      <c r="R10" s="543">
        <f>G9</f>
        <v>24.686259577217761</v>
      </c>
      <c r="S10" s="263">
        <f>J9</f>
        <v>19.749007661774208</v>
      </c>
      <c r="T10" s="47"/>
      <c r="U10" s="47"/>
      <c r="V10" s="47"/>
      <c r="W10" s="47"/>
      <c r="X10" s="47"/>
      <c r="Y10" s="47"/>
      <c r="Z10" s="47"/>
      <c r="AA10" s="50"/>
      <c r="AB10" s="50"/>
      <c r="AC10" s="52"/>
      <c r="AD10" s="52"/>
      <c r="AE10" s="52"/>
      <c r="AF10" s="52"/>
      <c r="AG10" s="52"/>
      <c r="AH10" s="52"/>
    </row>
    <row r="11" spans="1:34">
      <c r="A11" s="30" t="s">
        <v>961</v>
      </c>
      <c r="B11" s="30"/>
      <c r="C11" s="12"/>
      <c r="D11" s="12"/>
      <c r="E11" s="30" t="s">
        <v>295</v>
      </c>
      <c r="F11" s="22" t="s">
        <v>1532</v>
      </c>
      <c r="G11" s="12"/>
      <c r="H11" s="12"/>
      <c r="I11" s="12"/>
      <c r="J11" s="12"/>
      <c r="K11" s="12"/>
      <c r="L11" s="12"/>
      <c r="M11" s="12"/>
      <c r="N11" s="12"/>
      <c r="O11" s="3"/>
      <c r="P11" s="3"/>
      <c r="Q11" s="3"/>
      <c r="R11" s="3"/>
      <c r="S11" s="47"/>
      <c r="T11" s="47"/>
      <c r="U11" s="47"/>
      <c r="V11" s="47"/>
      <c r="W11" s="47"/>
      <c r="X11" s="47"/>
      <c r="Y11" s="47"/>
      <c r="Z11" s="47"/>
      <c r="AA11" s="50"/>
      <c r="AB11" s="50"/>
      <c r="AC11" s="52"/>
      <c r="AD11" s="52"/>
      <c r="AE11" s="52"/>
      <c r="AF11" s="52"/>
      <c r="AG11" s="52"/>
      <c r="AH11" s="52"/>
    </row>
    <row r="12" spans="1:34">
      <c r="A12" s="30" t="s">
        <v>962</v>
      </c>
      <c r="B12" s="30"/>
      <c r="C12" s="12"/>
      <c r="D12" s="12"/>
      <c r="E12" s="30" t="s">
        <v>296</v>
      </c>
      <c r="F12" s="22" t="s">
        <v>1533</v>
      </c>
      <c r="G12" s="12"/>
      <c r="H12" s="12"/>
      <c r="I12" s="12"/>
      <c r="J12" s="12"/>
      <c r="K12" s="12"/>
      <c r="L12" s="12"/>
      <c r="M12" s="12"/>
      <c r="N12" s="12"/>
      <c r="O12" s="3"/>
      <c r="P12" s="3"/>
      <c r="Q12" s="3"/>
      <c r="R12" s="3"/>
      <c r="S12" s="47"/>
      <c r="T12" s="47"/>
      <c r="U12" s="47"/>
      <c r="V12" s="47"/>
      <c r="W12" s="47"/>
      <c r="X12" s="47"/>
      <c r="Y12" s="47"/>
      <c r="Z12" s="47"/>
      <c r="AA12" s="50"/>
      <c r="AB12" s="50"/>
      <c r="AC12" s="52"/>
      <c r="AD12" s="52"/>
      <c r="AE12" s="52"/>
      <c r="AF12" s="52"/>
      <c r="AG12" s="52"/>
      <c r="AH12" s="52"/>
    </row>
    <row r="13" spans="1:34">
      <c r="A13" s="30" t="s">
        <v>963</v>
      </c>
      <c r="B13" s="30"/>
      <c r="C13" s="12"/>
      <c r="D13" s="12"/>
      <c r="E13" s="30" t="s">
        <v>298</v>
      </c>
      <c r="F13" s="22" t="s">
        <v>1534</v>
      </c>
      <c r="G13" s="12"/>
      <c r="H13" s="12"/>
      <c r="I13" s="12"/>
      <c r="J13" s="12"/>
      <c r="K13" s="12"/>
      <c r="L13" s="12"/>
      <c r="M13" s="12"/>
      <c r="N13" s="12"/>
      <c r="O13" s="3"/>
      <c r="P13" s="3"/>
      <c r="Q13" s="3"/>
      <c r="R13" s="3"/>
      <c r="S13" s="47"/>
      <c r="T13" s="47"/>
      <c r="U13" s="47"/>
      <c r="V13" s="47"/>
      <c r="W13" s="47"/>
      <c r="X13" s="47"/>
      <c r="Y13" s="47"/>
      <c r="Z13" s="47"/>
      <c r="AA13" s="50"/>
      <c r="AB13" s="50"/>
      <c r="AC13" s="52"/>
      <c r="AD13" s="52"/>
      <c r="AE13" s="52"/>
      <c r="AF13" s="52"/>
      <c r="AG13" s="52"/>
      <c r="AH13" s="52"/>
    </row>
    <row r="14" spans="1:34">
      <c r="A14" s="30" t="s">
        <v>964</v>
      </c>
      <c r="B14" s="30"/>
      <c r="C14" s="12"/>
      <c r="D14" s="12"/>
      <c r="E14" s="12"/>
      <c r="F14" s="12"/>
      <c r="G14" s="12"/>
      <c r="H14" s="12"/>
      <c r="I14" s="12"/>
      <c r="J14" s="12"/>
      <c r="K14" s="12"/>
      <c r="L14" s="12"/>
      <c r="M14" s="12"/>
      <c r="N14" s="12"/>
      <c r="O14" s="3"/>
      <c r="P14" s="3"/>
      <c r="Q14" s="3"/>
      <c r="R14" s="3"/>
      <c r="S14" s="47"/>
      <c r="T14" s="47"/>
      <c r="U14" s="47"/>
      <c r="V14" s="47"/>
      <c r="W14" s="47"/>
      <c r="X14" s="47"/>
      <c r="Y14" s="47"/>
      <c r="Z14" s="47"/>
      <c r="AA14" s="50"/>
      <c r="AB14" s="50"/>
      <c r="AC14" s="52"/>
      <c r="AD14" s="52"/>
      <c r="AE14" s="52"/>
      <c r="AF14" s="52"/>
      <c r="AG14" s="52"/>
      <c r="AH14" s="52"/>
    </row>
    <row r="15" spans="1:34">
      <c r="A15" s="30" t="s">
        <v>965</v>
      </c>
      <c r="B15" s="30"/>
      <c r="C15" s="12"/>
      <c r="D15" s="12"/>
      <c r="E15" s="22" t="s">
        <v>247</v>
      </c>
      <c r="F15" s="22" t="s">
        <v>493</v>
      </c>
      <c r="G15" s="12"/>
      <c r="H15" s="12"/>
      <c r="I15" s="12"/>
      <c r="J15" s="12"/>
      <c r="K15" s="12"/>
      <c r="L15" s="12"/>
      <c r="M15" s="12"/>
      <c r="N15" s="12"/>
      <c r="O15" s="3"/>
      <c r="P15" s="3"/>
      <c r="Q15" s="3"/>
      <c r="R15" s="3"/>
      <c r="S15" s="47"/>
      <c r="T15" s="47"/>
      <c r="U15" s="47"/>
      <c r="V15" s="47"/>
      <c r="W15" s="47"/>
      <c r="X15" s="47"/>
      <c r="Y15" s="47"/>
      <c r="Z15" s="47"/>
      <c r="AA15" s="50"/>
      <c r="AB15" s="50"/>
      <c r="AC15" s="52"/>
      <c r="AD15" s="52"/>
      <c r="AE15" s="52"/>
      <c r="AF15" s="52"/>
      <c r="AG15" s="52"/>
      <c r="AH15" s="52"/>
    </row>
    <row r="16" spans="1:34" ht="23">
      <c r="A16" s="181" t="s">
        <v>1840</v>
      </c>
      <c r="B16" s="48"/>
      <c r="C16" s="48"/>
      <c r="D16" s="174"/>
      <c r="E16" s="30" t="s">
        <v>296</v>
      </c>
      <c r="F16" s="22" t="s">
        <v>1535</v>
      </c>
      <c r="G16" s="12"/>
      <c r="H16" s="12"/>
      <c r="I16" s="12"/>
      <c r="J16" s="12"/>
      <c r="K16" s="12"/>
      <c r="L16" s="12"/>
      <c r="M16" s="12"/>
      <c r="N16" s="12"/>
      <c r="O16" s="3"/>
      <c r="P16" s="3"/>
      <c r="Q16" s="3"/>
      <c r="R16" s="3"/>
      <c r="S16" s="47"/>
      <c r="T16" s="47"/>
      <c r="U16" s="47"/>
      <c r="V16" s="47"/>
      <c r="W16" s="47"/>
      <c r="X16" s="47"/>
      <c r="Y16" s="47"/>
      <c r="Z16" s="47"/>
      <c r="AA16" s="50"/>
      <c r="AB16" s="50"/>
      <c r="AC16" s="52"/>
      <c r="AD16" s="52"/>
      <c r="AE16" s="52"/>
      <c r="AF16" s="52"/>
      <c r="AG16" s="52"/>
      <c r="AH16" s="52"/>
    </row>
    <row r="17" spans="1:34">
      <c r="A17" s="161" t="s">
        <v>1102</v>
      </c>
      <c r="B17" s="161"/>
      <c r="C17" s="161"/>
      <c r="D17" s="174"/>
      <c r="E17" s="30" t="s">
        <v>295</v>
      </c>
      <c r="F17" s="22" t="s">
        <v>1536</v>
      </c>
      <c r="G17" s="12"/>
      <c r="H17" s="12"/>
      <c r="I17" s="12"/>
      <c r="J17" s="12"/>
      <c r="K17" s="12"/>
      <c r="L17" s="12"/>
      <c r="M17" s="12"/>
      <c r="N17" s="12"/>
      <c r="O17" s="3"/>
      <c r="P17" s="3"/>
      <c r="Q17" s="3"/>
      <c r="R17" s="3"/>
      <c r="S17" s="47"/>
      <c r="T17" s="47"/>
      <c r="U17" s="47"/>
      <c r="V17" s="47"/>
      <c r="W17" s="47"/>
      <c r="X17" s="47"/>
      <c r="Y17" s="47"/>
      <c r="Z17" s="47"/>
      <c r="AA17" s="50"/>
      <c r="AB17" s="50"/>
      <c r="AC17" s="52"/>
      <c r="AD17" s="52"/>
      <c r="AE17" s="52"/>
      <c r="AF17" s="52"/>
      <c r="AG17" s="52"/>
      <c r="AH17" s="52"/>
    </row>
    <row r="18" spans="1:34">
      <c r="A18" s="349" t="s">
        <v>116</v>
      </c>
      <c r="B18" s="161"/>
      <c r="C18" s="161"/>
      <c r="D18" s="174"/>
      <c r="E18" s="30" t="s">
        <v>298</v>
      </c>
      <c r="F18" s="22" t="s">
        <v>1537</v>
      </c>
      <c r="G18" s="12"/>
      <c r="H18" s="12"/>
      <c r="I18" s="12"/>
      <c r="J18" s="12"/>
      <c r="K18" s="12"/>
      <c r="L18" s="12"/>
      <c r="M18" s="12"/>
      <c r="N18" s="12"/>
      <c r="O18" s="3"/>
      <c r="P18" s="3"/>
      <c r="Q18" s="3"/>
      <c r="R18" s="3"/>
      <c r="S18" s="47"/>
      <c r="T18" s="47"/>
      <c r="U18" s="47"/>
      <c r="V18" s="47"/>
      <c r="W18" s="47"/>
      <c r="X18" s="47"/>
      <c r="Y18" s="47"/>
      <c r="Z18" s="47"/>
      <c r="AA18" s="50"/>
      <c r="AB18" s="50"/>
      <c r="AC18" s="52"/>
      <c r="AD18" s="52"/>
      <c r="AE18" s="52"/>
      <c r="AF18" s="52"/>
      <c r="AG18" s="52"/>
      <c r="AH18" s="52"/>
    </row>
    <row r="19" spans="1:34">
      <c r="A19" s="349" t="s">
        <v>1103</v>
      </c>
      <c r="B19" s="161"/>
      <c r="C19" s="161"/>
      <c r="D19" s="174"/>
      <c r="E19" s="12"/>
      <c r="F19" s="12"/>
      <c r="G19" s="12"/>
      <c r="H19" s="12"/>
      <c r="I19" s="12"/>
      <c r="J19" s="12"/>
      <c r="K19" s="12"/>
      <c r="L19" s="12"/>
      <c r="M19" s="12"/>
      <c r="N19" s="12"/>
      <c r="O19" s="3"/>
      <c r="P19" s="3"/>
      <c r="Q19" s="3"/>
      <c r="R19" s="3"/>
      <c r="S19" s="47"/>
      <c r="T19" s="47"/>
      <c r="U19" s="47"/>
      <c r="V19" s="47"/>
      <c r="W19" s="47"/>
      <c r="X19" s="47"/>
      <c r="Y19" s="47"/>
      <c r="Z19" s="47"/>
      <c r="AA19" s="50"/>
      <c r="AB19" s="50"/>
      <c r="AC19" s="52"/>
      <c r="AD19" s="52"/>
      <c r="AE19" s="52"/>
      <c r="AF19" s="52"/>
      <c r="AG19" s="52"/>
      <c r="AH19" s="52"/>
    </row>
    <row r="20" spans="1:34">
      <c r="A20" s="349" t="s">
        <v>297</v>
      </c>
      <c r="B20" s="161"/>
      <c r="C20" s="161"/>
      <c r="D20" s="174"/>
      <c r="E20" s="22" t="s">
        <v>1538</v>
      </c>
      <c r="F20" s="22" t="s">
        <v>1539</v>
      </c>
      <c r="G20" s="12"/>
      <c r="H20" s="12"/>
      <c r="I20" s="12"/>
      <c r="J20" s="12"/>
      <c r="K20" s="12"/>
      <c r="L20" s="12"/>
      <c r="M20" s="12"/>
      <c r="N20" s="12"/>
      <c r="O20" s="3"/>
      <c r="P20" s="3"/>
      <c r="Q20" s="3"/>
      <c r="R20" s="3"/>
      <c r="S20" s="47"/>
      <c r="T20" s="47"/>
      <c r="U20" s="47"/>
      <c r="V20" s="47"/>
      <c r="W20" s="47"/>
      <c r="X20" s="47"/>
      <c r="Y20" s="47"/>
      <c r="Z20" s="47"/>
      <c r="AA20" s="50"/>
      <c r="AB20" s="50"/>
      <c r="AC20" s="52"/>
      <c r="AD20" s="52"/>
      <c r="AE20" s="52"/>
      <c r="AF20" s="52"/>
      <c r="AG20" s="52"/>
      <c r="AH20" s="52"/>
    </row>
    <row r="21" spans="1:34">
      <c r="A21" s="349" t="s">
        <v>1104</v>
      </c>
      <c r="B21" s="161"/>
      <c r="C21" s="161"/>
      <c r="D21" s="174"/>
      <c r="E21" s="30" t="s">
        <v>296</v>
      </c>
      <c r="F21" s="22" t="s">
        <v>1540</v>
      </c>
      <c r="G21" s="12"/>
      <c r="H21" s="12"/>
      <c r="I21" s="12"/>
      <c r="J21" s="12"/>
      <c r="K21" s="12"/>
      <c r="L21" s="12"/>
      <c r="M21" s="12"/>
      <c r="N21" s="12"/>
      <c r="O21" s="3"/>
      <c r="P21" s="3"/>
      <c r="Q21" s="3"/>
      <c r="R21" s="3"/>
      <c r="S21" s="47"/>
      <c r="T21" s="47"/>
      <c r="U21" s="47"/>
      <c r="V21" s="47"/>
      <c r="W21" s="47"/>
      <c r="X21" s="47"/>
      <c r="Y21" s="47"/>
      <c r="Z21" s="47"/>
      <c r="AA21" s="50"/>
      <c r="AB21" s="50"/>
      <c r="AC21" s="52"/>
      <c r="AD21" s="52"/>
      <c r="AE21" s="52"/>
      <c r="AF21" s="52"/>
      <c r="AG21" s="52"/>
      <c r="AH21" s="52"/>
    </row>
    <row r="22" spans="1:34">
      <c r="A22" s="161" t="s">
        <v>1105</v>
      </c>
      <c r="B22" s="161"/>
      <c r="C22" s="161"/>
      <c r="D22" s="174"/>
      <c r="E22" s="30" t="s">
        <v>295</v>
      </c>
      <c r="F22" s="22" t="s">
        <v>1541</v>
      </c>
      <c r="G22" s="12"/>
      <c r="H22" s="12"/>
      <c r="I22" s="12"/>
      <c r="J22" s="12"/>
      <c r="K22" s="12"/>
      <c r="L22" s="12"/>
      <c r="M22" s="12"/>
      <c r="N22" s="12"/>
      <c r="O22" s="3"/>
      <c r="P22" s="3"/>
      <c r="Q22" s="3"/>
      <c r="R22" s="3"/>
      <c r="S22" s="47"/>
      <c r="T22" s="47"/>
      <c r="U22" s="47"/>
      <c r="V22" s="47"/>
      <c r="W22" s="47"/>
      <c r="X22" s="47"/>
      <c r="Y22" s="47"/>
      <c r="Z22" s="47"/>
      <c r="AA22" s="50"/>
      <c r="AB22" s="50"/>
      <c r="AC22" s="52"/>
      <c r="AD22" s="52"/>
      <c r="AE22" s="52"/>
      <c r="AF22" s="52"/>
      <c r="AG22" s="52"/>
      <c r="AH22" s="52"/>
    </row>
    <row r="23" spans="1:34">
      <c r="A23" s="161"/>
      <c r="B23" s="161"/>
      <c r="C23" s="161"/>
      <c r="D23" s="174"/>
      <c r="E23" s="30" t="s">
        <v>297</v>
      </c>
      <c r="F23" s="22" t="s">
        <v>1542</v>
      </c>
      <c r="G23" s="12"/>
      <c r="H23" s="12"/>
      <c r="I23" s="12"/>
      <c r="J23" s="12"/>
      <c r="K23" s="12"/>
      <c r="L23" s="12"/>
      <c r="M23" s="12"/>
      <c r="N23" s="12"/>
      <c r="O23" s="3"/>
      <c r="P23" s="3"/>
      <c r="Q23" s="3"/>
      <c r="R23" s="3"/>
      <c r="S23" s="47"/>
      <c r="T23" s="47"/>
      <c r="U23" s="47"/>
      <c r="V23" s="47"/>
      <c r="W23" s="47"/>
      <c r="X23" s="47"/>
      <c r="Y23" s="47"/>
      <c r="Z23" s="47"/>
      <c r="AA23" s="50"/>
      <c r="AB23" s="50"/>
      <c r="AC23" s="52"/>
      <c r="AD23" s="52"/>
      <c r="AE23" s="52"/>
      <c r="AF23" s="52"/>
      <c r="AG23" s="52"/>
      <c r="AH23" s="52"/>
    </row>
    <row r="24" spans="1:34" ht="30">
      <c r="A24" s="182" t="s">
        <v>1841</v>
      </c>
      <c r="B24" s="48"/>
      <c r="C24" s="48"/>
      <c r="D24" s="48"/>
      <c r="E24" s="12"/>
      <c r="F24" s="12"/>
      <c r="G24" s="12"/>
      <c r="H24" s="12"/>
      <c r="I24" s="12"/>
      <c r="J24" s="12"/>
      <c r="K24" s="12"/>
      <c r="L24" s="12"/>
      <c r="M24" s="12"/>
      <c r="N24" s="12"/>
      <c r="O24" s="3"/>
      <c r="P24" s="3"/>
      <c r="Q24" s="3"/>
      <c r="R24" s="3"/>
      <c r="S24" s="47"/>
      <c r="T24" s="47"/>
      <c r="U24" s="47"/>
      <c r="V24" s="47"/>
      <c r="W24" s="47"/>
      <c r="X24" s="47"/>
      <c r="Y24" s="47"/>
      <c r="Z24" s="47"/>
      <c r="AA24" s="50"/>
      <c r="AB24" s="50"/>
      <c r="AC24" s="52"/>
      <c r="AD24" s="52"/>
      <c r="AE24" s="52"/>
      <c r="AF24" s="52"/>
      <c r="AG24" s="52"/>
      <c r="AH24" s="52"/>
    </row>
    <row r="25" spans="1:34">
      <c r="A25" s="183" t="s">
        <v>247</v>
      </c>
      <c r="B25" s="183" t="s">
        <v>1106</v>
      </c>
      <c r="C25" s="183" t="s">
        <v>1107</v>
      </c>
      <c r="D25" s="183" t="s">
        <v>1108</v>
      </c>
      <c r="E25" s="12"/>
      <c r="F25" s="22" t="s">
        <v>966</v>
      </c>
      <c r="G25" s="12"/>
      <c r="H25" s="12"/>
      <c r="I25" s="12"/>
      <c r="J25" s="12"/>
      <c r="K25" s="12"/>
      <c r="L25" s="137" t="s">
        <v>1770</v>
      </c>
      <c r="M25" s="137"/>
      <c r="N25" s="137" t="s">
        <v>1774</v>
      </c>
      <c r="O25" s="64"/>
      <c r="P25" s="64"/>
      <c r="Q25" s="3"/>
      <c r="R25" s="3"/>
      <c r="S25" s="47"/>
      <c r="T25" s="47"/>
      <c r="U25" s="47"/>
      <c r="V25" s="47"/>
      <c r="W25" s="47"/>
      <c r="X25" s="47"/>
      <c r="Y25" s="47"/>
      <c r="Z25" s="47"/>
      <c r="AA25" s="50"/>
      <c r="AB25" s="50"/>
      <c r="AC25" s="52"/>
      <c r="AD25" s="52"/>
      <c r="AE25" s="52"/>
      <c r="AF25" s="52"/>
      <c r="AG25" s="52"/>
      <c r="AH25" s="52"/>
    </row>
    <row r="26" spans="1:34" ht="28">
      <c r="A26" s="350" t="s">
        <v>296</v>
      </c>
      <c r="B26" s="350" t="s">
        <v>1109</v>
      </c>
      <c r="C26" s="350" t="s">
        <v>1110</v>
      </c>
      <c r="D26" s="350" t="s">
        <v>1111</v>
      </c>
      <c r="E26" s="12"/>
      <c r="F26" s="30" t="s">
        <v>1578</v>
      </c>
      <c r="G26" s="30" t="s">
        <v>246</v>
      </c>
      <c r="H26" s="30" t="s">
        <v>295</v>
      </c>
      <c r="I26" s="12"/>
      <c r="J26" s="30" t="s">
        <v>247</v>
      </c>
      <c r="K26" s="30" t="s">
        <v>493</v>
      </c>
      <c r="L26" s="137" t="s">
        <v>1771</v>
      </c>
      <c r="M26" s="137"/>
      <c r="N26" s="137" t="s">
        <v>1775</v>
      </c>
      <c r="O26" s="64"/>
      <c r="P26" s="64"/>
      <c r="Q26" s="3"/>
      <c r="R26" s="3"/>
      <c r="S26" s="47"/>
      <c r="T26" s="47"/>
      <c r="U26" s="47"/>
      <c r="V26" s="47"/>
      <c r="W26" s="47"/>
      <c r="X26" s="47"/>
      <c r="Y26" s="47"/>
      <c r="Z26" s="47"/>
      <c r="AA26" s="50"/>
      <c r="AB26" s="50"/>
      <c r="AC26" s="52"/>
      <c r="AD26" s="52"/>
      <c r="AE26" s="52"/>
      <c r="AF26" s="52"/>
      <c r="AG26" s="52"/>
      <c r="AH26" s="52"/>
    </row>
    <row r="27" spans="1:34">
      <c r="A27" s="350" t="s">
        <v>295</v>
      </c>
      <c r="B27" s="350" t="s">
        <v>1112</v>
      </c>
      <c r="C27" s="350" t="s">
        <v>1113</v>
      </c>
      <c r="D27" s="350" t="s">
        <v>1114</v>
      </c>
      <c r="E27" s="12"/>
      <c r="F27" s="30" t="s">
        <v>214</v>
      </c>
      <c r="G27" s="30">
        <v>23.62</v>
      </c>
      <c r="H27" s="30">
        <v>39.61</v>
      </c>
      <c r="I27" s="12"/>
      <c r="J27" s="30" t="s">
        <v>296</v>
      </c>
      <c r="K27" s="30" t="s">
        <v>1535</v>
      </c>
      <c r="L27" s="137" t="s">
        <v>1772</v>
      </c>
      <c r="M27" s="137"/>
      <c r="N27" s="137" t="s">
        <v>1776</v>
      </c>
      <c r="O27" s="64"/>
      <c r="P27" s="64"/>
      <c r="Q27" s="3"/>
      <c r="R27" s="3"/>
      <c r="S27" s="47"/>
      <c r="T27" s="47"/>
      <c r="U27" s="47"/>
      <c r="V27" s="47"/>
      <c r="W27" s="47"/>
      <c r="X27" s="47"/>
      <c r="Y27" s="47"/>
      <c r="Z27" s="47"/>
      <c r="AA27" s="50"/>
      <c r="AB27" s="50"/>
      <c r="AC27" s="52"/>
      <c r="AD27" s="52"/>
      <c r="AE27" s="52"/>
      <c r="AF27" s="52"/>
      <c r="AG27" s="52"/>
      <c r="AH27" s="52"/>
    </row>
    <row r="28" spans="1:34">
      <c r="A28" s="350" t="s">
        <v>297</v>
      </c>
      <c r="B28" s="350" t="s">
        <v>1115</v>
      </c>
      <c r="C28" s="350" t="s">
        <v>1116</v>
      </c>
      <c r="D28" s="350" t="s">
        <v>1117</v>
      </c>
      <c r="E28" s="12"/>
      <c r="F28" s="30" t="s">
        <v>218</v>
      </c>
      <c r="G28" s="30">
        <v>18.89</v>
      </c>
      <c r="H28" s="30">
        <v>31.69</v>
      </c>
      <c r="I28" s="12"/>
      <c r="J28" s="30" t="s">
        <v>295</v>
      </c>
      <c r="K28" s="30" t="s">
        <v>1536</v>
      </c>
      <c r="L28" s="137" t="s">
        <v>1287</v>
      </c>
      <c r="M28" s="137"/>
      <c r="N28" s="137" t="s">
        <v>1777</v>
      </c>
      <c r="O28" s="64"/>
      <c r="P28" s="64"/>
      <c r="Q28" s="3"/>
      <c r="R28" s="3"/>
      <c r="S28" s="47"/>
      <c r="T28" s="47"/>
      <c r="U28" s="47"/>
      <c r="V28" s="47"/>
      <c r="W28" s="47"/>
      <c r="X28" s="47"/>
      <c r="Y28" s="47"/>
      <c r="Z28" s="47"/>
      <c r="AA28" s="50"/>
      <c r="AB28" s="50"/>
      <c r="AC28" s="52"/>
      <c r="AD28" s="52"/>
      <c r="AE28" s="52"/>
      <c r="AF28" s="52"/>
      <c r="AG28" s="52"/>
      <c r="AH28" s="52"/>
    </row>
    <row r="29" spans="1:34" ht="28">
      <c r="A29" s="350" t="s">
        <v>298</v>
      </c>
      <c r="B29" s="350" t="s">
        <v>1118</v>
      </c>
      <c r="C29" s="350" t="s">
        <v>1119</v>
      </c>
      <c r="D29" s="350" t="s">
        <v>1120</v>
      </c>
      <c r="E29" s="12"/>
      <c r="F29" s="30" t="s">
        <v>222</v>
      </c>
      <c r="G29" s="30">
        <v>7.43</v>
      </c>
      <c r="H29" s="30">
        <v>18.11</v>
      </c>
      <c r="I29" s="12"/>
      <c r="J29" s="30" t="s">
        <v>298</v>
      </c>
      <c r="K29" s="30" t="s">
        <v>1537</v>
      </c>
      <c r="L29" s="137" t="s">
        <v>1773</v>
      </c>
      <c r="M29" s="137"/>
      <c r="N29" s="137" t="s">
        <v>1778</v>
      </c>
      <c r="O29" s="64"/>
      <c r="P29" s="390"/>
      <c r="Q29" s="3"/>
      <c r="R29" s="3"/>
      <c r="S29" s="47"/>
      <c r="T29" s="47"/>
      <c r="U29" s="47"/>
      <c r="V29" s="47"/>
      <c r="W29" s="47"/>
      <c r="X29" s="47"/>
      <c r="Y29" s="47"/>
      <c r="Z29" s="47"/>
      <c r="AA29" s="50"/>
      <c r="AB29" s="50"/>
      <c r="AC29" s="52"/>
      <c r="AD29" s="52"/>
      <c r="AE29" s="52"/>
      <c r="AF29" s="52"/>
      <c r="AG29" s="52"/>
      <c r="AH29" s="52"/>
    </row>
    <row r="30" spans="1:34">
      <c r="A30" s="174"/>
      <c r="B30" s="174"/>
      <c r="C30" s="174"/>
      <c r="D30" s="174"/>
      <c r="E30" s="12"/>
      <c r="F30" s="316" t="s">
        <v>1583</v>
      </c>
      <c r="G30" s="12" t="s">
        <v>1770</v>
      </c>
      <c r="H30" s="12"/>
      <c r="I30" s="12"/>
      <c r="J30" s="12"/>
      <c r="K30" s="12"/>
      <c r="L30" s="12"/>
      <c r="M30" s="12"/>
      <c r="N30" s="12"/>
      <c r="O30" s="3"/>
      <c r="P30" s="3"/>
      <c r="Q30" s="3"/>
      <c r="R30" s="3"/>
      <c r="S30" s="47"/>
      <c r="T30" s="47"/>
      <c r="U30" s="47"/>
      <c r="V30" s="47"/>
      <c r="W30" s="47"/>
      <c r="X30" s="47"/>
      <c r="Y30" s="47"/>
      <c r="Z30" s="47"/>
      <c r="AA30" s="50"/>
      <c r="AB30" s="50"/>
      <c r="AC30" s="52"/>
      <c r="AD30" s="52"/>
      <c r="AE30" s="52"/>
      <c r="AF30" s="52"/>
      <c r="AG30" s="52"/>
      <c r="AH30" s="52"/>
    </row>
    <row r="31" spans="1:34" ht="17.5">
      <c r="A31" s="184" t="s">
        <v>1192</v>
      </c>
      <c r="B31" s="174"/>
      <c r="C31" s="174"/>
      <c r="D31" s="174"/>
      <c r="E31" s="12"/>
      <c r="F31" s="30" t="s">
        <v>1579</v>
      </c>
      <c r="G31" s="12"/>
      <c r="H31" s="12"/>
      <c r="I31" s="12"/>
      <c r="J31" s="30" t="s">
        <v>491</v>
      </c>
      <c r="K31" s="30" t="s">
        <v>2678</v>
      </c>
      <c r="L31" s="320" t="s">
        <v>2679</v>
      </c>
      <c r="M31" s="201"/>
      <c r="N31" s="201"/>
      <c r="O31" s="201"/>
      <c r="P31" s="201"/>
      <c r="Q31" s="201"/>
      <c r="R31" s="3"/>
      <c r="S31" s="47"/>
      <c r="T31" s="47"/>
      <c r="U31" s="47"/>
      <c r="V31" s="47"/>
      <c r="W31" s="47"/>
      <c r="X31" s="47"/>
      <c r="Y31" s="47"/>
      <c r="Z31" s="47"/>
      <c r="AA31" s="50"/>
      <c r="AB31" s="50"/>
      <c r="AC31" s="52"/>
      <c r="AD31" s="52"/>
      <c r="AE31" s="52"/>
      <c r="AF31" s="52"/>
      <c r="AG31" s="52"/>
      <c r="AH31" s="52"/>
    </row>
    <row r="32" spans="1:34">
      <c r="A32" s="161" t="s">
        <v>1121</v>
      </c>
      <c r="B32" s="161"/>
      <c r="C32" s="161"/>
      <c r="D32" s="174"/>
      <c r="E32" s="12"/>
      <c r="F32" s="30" t="s">
        <v>1580</v>
      </c>
      <c r="G32" s="12" t="s">
        <v>1771</v>
      </c>
      <c r="H32" s="12"/>
      <c r="I32" s="12"/>
      <c r="J32" s="30" t="s">
        <v>214</v>
      </c>
      <c r="K32" s="30" t="s">
        <v>2008</v>
      </c>
      <c r="L32" s="30" t="s">
        <v>2680</v>
      </c>
      <c r="M32" s="12"/>
      <c r="N32" s="12"/>
      <c r="O32" s="3"/>
      <c r="P32" s="3"/>
      <c r="Q32" s="3"/>
      <c r="R32" s="3"/>
      <c r="S32" s="47"/>
      <c r="T32" s="47"/>
      <c r="U32" s="47"/>
      <c r="V32" s="47"/>
      <c r="W32" s="47"/>
      <c r="X32" s="47"/>
      <c r="Y32" s="47"/>
      <c r="Z32" s="47"/>
      <c r="AA32" s="50"/>
      <c r="AB32" s="50"/>
      <c r="AC32" s="52"/>
      <c r="AD32" s="52"/>
      <c r="AE32" s="52"/>
      <c r="AF32" s="52"/>
      <c r="AG32" s="52"/>
      <c r="AH32" s="52"/>
    </row>
    <row r="33" spans="1:34">
      <c r="A33" s="161" t="s">
        <v>1122</v>
      </c>
      <c r="B33" s="161"/>
      <c r="C33" s="161"/>
      <c r="D33" s="174"/>
      <c r="E33" s="12"/>
      <c r="F33" s="30" t="s">
        <v>1784</v>
      </c>
      <c r="G33" s="12"/>
      <c r="H33" s="12"/>
      <c r="I33" s="12"/>
      <c r="J33" s="30" t="s">
        <v>218</v>
      </c>
      <c r="K33" s="30" t="s">
        <v>2009</v>
      </c>
      <c r="L33" s="320" t="s">
        <v>2681</v>
      </c>
      <c r="M33" s="201"/>
      <c r="N33" s="201"/>
      <c r="O33" s="201"/>
      <c r="P33" s="3"/>
      <c r="Q33" s="3"/>
      <c r="R33" s="3"/>
      <c r="S33" s="47"/>
      <c r="T33" s="47"/>
      <c r="U33" s="47"/>
      <c r="V33" s="47"/>
      <c r="W33" s="47"/>
      <c r="X33" s="47"/>
      <c r="Y33" s="47"/>
      <c r="Z33" s="47"/>
      <c r="AA33" s="50"/>
      <c r="AB33" s="50"/>
      <c r="AC33" s="52"/>
      <c r="AD33" s="52"/>
      <c r="AE33" s="52"/>
      <c r="AF33" s="52"/>
      <c r="AG33" s="52"/>
      <c r="AH33" s="52"/>
    </row>
    <row r="34" spans="1:34">
      <c r="A34" s="161" t="s">
        <v>1123</v>
      </c>
      <c r="B34" s="161"/>
      <c r="C34" s="161"/>
      <c r="D34" s="174"/>
      <c r="E34" s="12"/>
      <c r="F34" s="30" t="s">
        <v>1581</v>
      </c>
      <c r="G34" s="12" t="s">
        <v>1772</v>
      </c>
      <c r="H34" s="12"/>
      <c r="I34" s="12"/>
      <c r="J34" s="12"/>
      <c r="K34" s="12"/>
      <c r="L34" s="12"/>
      <c r="M34" s="12"/>
      <c r="N34" s="12"/>
      <c r="O34" s="3"/>
      <c r="P34" s="3"/>
      <c r="Q34" s="3"/>
      <c r="R34" s="3"/>
      <c r="S34" s="47"/>
      <c r="T34" s="47"/>
      <c r="U34" s="47"/>
      <c r="V34" s="47"/>
      <c r="W34" s="47"/>
      <c r="X34" s="47"/>
      <c r="Y34" s="47"/>
      <c r="Z34" s="47"/>
      <c r="AA34" s="50"/>
      <c r="AB34" s="50"/>
      <c r="AC34" s="52"/>
      <c r="AD34" s="52"/>
      <c r="AE34" s="52"/>
      <c r="AF34" s="52"/>
      <c r="AG34" s="52"/>
      <c r="AH34" s="52"/>
    </row>
    <row r="35" spans="1:34">
      <c r="A35" s="161" t="s">
        <v>1124</v>
      </c>
      <c r="B35" s="161"/>
      <c r="C35" s="161"/>
      <c r="D35" s="174"/>
      <c r="E35" s="12"/>
      <c r="F35" s="30" t="s">
        <v>1582</v>
      </c>
      <c r="G35" s="12"/>
      <c r="H35" s="12"/>
      <c r="I35" s="12"/>
      <c r="J35" s="12"/>
      <c r="K35" s="12"/>
      <c r="L35" s="12"/>
      <c r="M35" s="12"/>
      <c r="N35" s="12"/>
      <c r="O35" s="3"/>
      <c r="P35" s="3"/>
      <c r="Q35" s="3"/>
      <c r="R35" s="3"/>
      <c r="S35" s="47"/>
      <c r="T35" s="47"/>
      <c r="U35" s="47"/>
      <c r="V35" s="47"/>
      <c r="W35" s="47"/>
      <c r="X35" s="47"/>
      <c r="Y35" s="47"/>
      <c r="Z35" s="47"/>
      <c r="AA35" s="50"/>
      <c r="AB35" s="50"/>
      <c r="AC35" s="52"/>
      <c r="AD35" s="52"/>
      <c r="AE35" s="52"/>
      <c r="AF35" s="52"/>
      <c r="AG35" s="52"/>
      <c r="AH35" s="52"/>
    </row>
    <row r="36" spans="1:34">
      <c r="A36" s="161"/>
      <c r="B36" s="161"/>
      <c r="C36" s="161"/>
      <c r="D36" s="174"/>
      <c r="E36" s="12"/>
      <c r="F36" s="201"/>
      <c r="G36" s="12" t="s">
        <v>1287</v>
      </c>
      <c r="H36" s="12"/>
      <c r="I36" s="12"/>
      <c r="J36" s="12"/>
      <c r="K36" s="12"/>
      <c r="L36" s="12"/>
      <c r="M36" s="12"/>
      <c r="N36" s="12"/>
      <c r="O36" s="3"/>
      <c r="P36" s="3"/>
      <c r="Q36" s="3"/>
      <c r="R36" s="3"/>
      <c r="S36" s="47"/>
      <c r="T36" s="47"/>
      <c r="U36" s="47"/>
      <c r="V36" s="47"/>
      <c r="W36" s="47"/>
      <c r="X36" s="47"/>
      <c r="Y36" s="47"/>
      <c r="Z36" s="47"/>
      <c r="AA36" s="50"/>
      <c r="AB36" s="50"/>
      <c r="AC36" s="52"/>
      <c r="AD36" s="52"/>
      <c r="AE36" s="52"/>
      <c r="AF36" s="52"/>
      <c r="AG36" s="52"/>
      <c r="AH36" s="52"/>
    </row>
    <row r="37" spans="1:34" ht="30">
      <c r="A37" s="182" t="s">
        <v>1842</v>
      </c>
      <c r="B37" s="48"/>
      <c r="C37" s="48"/>
      <c r="D37" s="48"/>
      <c r="E37" s="22"/>
      <c r="F37" s="201"/>
      <c r="G37" s="12"/>
      <c r="H37" s="12"/>
      <c r="I37" s="12"/>
      <c r="J37" s="12"/>
      <c r="K37" s="12"/>
      <c r="L37" s="12"/>
      <c r="M37" s="12"/>
      <c r="N37" s="12"/>
      <c r="O37" s="3"/>
      <c r="P37" s="3"/>
      <c r="Q37" s="3"/>
      <c r="R37" s="3"/>
      <c r="S37" s="47"/>
      <c r="T37" s="47"/>
      <c r="U37" s="47"/>
      <c r="V37" s="47"/>
      <c r="W37" s="47"/>
      <c r="X37" s="47"/>
      <c r="Y37" s="47"/>
      <c r="Z37" s="47"/>
      <c r="AA37" s="50"/>
      <c r="AB37" s="50"/>
      <c r="AC37" s="52"/>
      <c r="AD37" s="52"/>
      <c r="AE37" s="52"/>
      <c r="AF37" s="52"/>
      <c r="AG37" s="52"/>
      <c r="AH37" s="52"/>
    </row>
    <row r="38" spans="1:34">
      <c r="A38" s="183" t="s">
        <v>247</v>
      </c>
      <c r="B38" s="183" t="s">
        <v>1125</v>
      </c>
      <c r="C38" s="183" t="s">
        <v>1126</v>
      </c>
      <c r="D38" s="174"/>
      <c r="E38" s="12"/>
      <c r="F38" s="27" t="s">
        <v>1768</v>
      </c>
      <c r="G38" s="12" t="s">
        <v>1773</v>
      </c>
      <c r="H38" s="12"/>
      <c r="I38" s="12"/>
      <c r="J38" s="12"/>
      <c r="K38" s="12"/>
      <c r="L38" s="12"/>
      <c r="M38" s="12"/>
      <c r="N38" s="12"/>
      <c r="O38" s="3"/>
      <c r="P38" s="3"/>
      <c r="Q38" s="3"/>
      <c r="R38" s="3"/>
      <c r="S38" s="47"/>
      <c r="T38" s="47"/>
      <c r="U38" s="47"/>
      <c r="V38" s="47"/>
      <c r="W38" s="47"/>
      <c r="X38" s="47"/>
      <c r="Y38" s="47"/>
      <c r="Z38" s="47"/>
      <c r="AA38" s="50"/>
      <c r="AB38" s="50"/>
      <c r="AC38" s="52"/>
      <c r="AD38" s="52"/>
      <c r="AE38" s="52"/>
      <c r="AF38" s="52"/>
      <c r="AG38" s="52"/>
      <c r="AH38" s="52"/>
    </row>
    <row r="39" spans="1:34" ht="42">
      <c r="A39" s="183" t="s">
        <v>295</v>
      </c>
      <c r="B39" s="350" t="s">
        <v>1127</v>
      </c>
      <c r="C39" s="350" t="s">
        <v>1128</v>
      </c>
      <c r="D39" s="161"/>
      <c r="E39" s="12"/>
      <c r="F39" s="361" t="s">
        <v>491</v>
      </c>
      <c r="G39" s="361" t="s">
        <v>295</v>
      </c>
      <c r="H39" s="361" t="s">
        <v>246</v>
      </c>
      <c r="I39" s="361" t="s">
        <v>1767</v>
      </c>
      <c r="J39" s="12"/>
      <c r="K39" s="12"/>
      <c r="L39" s="12"/>
      <c r="M39" s="12"/>
      <c r="N39" s="12"/>
      <c r="O39" s="3"/>
      <c r="P39" s="3"/>
      <c r="Q39" s="3"/>
      <c r="R39" s="3"/>
      <c r="S39" s="47"/>
      <c r="T39" s="47"/>
      <c r="U39" s="47"/>
      <c r="V39" s="47"/>
      <c r="W39" s="47"/>
      <c r="X39" s="47"/>
      <c r="Y39" s="47"/>
      <c r="Z39" s="47"/>
      <c r="AA39" s="50"/>
      <c r="AB39" s="50"/>
      <c r="AC39" s="52"/>
      <c r="AD39" s="52"/>
      <c r="AE39" s="52"/>
      <c r="AF39" s="52"/>
      <c r="AG39" s="52"/>
      <c r="AH39" s="52"/>
    </row>
    <row r="40" spans="1:34" ht="28">
      <c r="A40" s="183" t="s">
        <v>296</v>
      </c>
      <c r="B40" s="350" t="s">
        <v>1129</v>
      </c>
      <c r="C40" s="350" t="s">
        <v>1130</v>
      </c>
      <c r="D40" s="161"/>
      <c r="E40" s="12"/>
      <c r="F40" s="324" t="s">
        <v>214</v>
      </c>
      <c r="G40" s="389">
        <v>39.61</v>
      </c>
      <c r="H40" s="389">
        <v>23.62</v>
      </c>
      <c r="I40" s="388">
        <v>0.68</v>
      </c>
      <c r="J40" s="12"/>
      <c r="K40" s="12"/>
      <c r="L40" s="12"/>
      <c r="M40" s="12"/>
      <c r="N40" s="12"/>
      <c r="O40" s="3"/>
      <c r="P40" s="3"/>
      <c r="Q40" s="3"/>
      <c r="R40" s="3"/>
      <c r="S40" s="47"/>
      <c r="T40" s="47"/>
      <c r="U40" s="47"/>
      <c r="V40" s="47"/>
      <c r="W40" s="47"/>
      <c r="X40" s="47"/>
      <c r="Y40" s="47"/>
      <c r="Z40" s="47"/>
      <c r="AA40" s="50"/>
      <c r="AB40" s="50"/>
      <c r="AC40" s="52"/>
      <c r="AD40" s="52"/>
      <c r="AE40" s="52"/>
      <c r="AF40" s="52"/>
      <c r="AG40" s="52"/>
      <c r="AH40" s="52"/>
    </row>
    <row r="41" spans="1:34" ht="28">
      <c r="A41" s="183" t="s">
        <v>298</v>
      </c>
      <c r="B41" s="350" t="s">
        <v>1131</v>
      </c>
      <c r="C41" s="350" t="s">
        <v>1132</v>
      </c>
      <c r="D41" s="161"/>
      <c r="E41" s="12"/>
      <c r="F41" s="324" t="s">
        <v>218</v>
      </c>
      <c r="G41" s="389">
        <v>31.69</v>
      </c>
      <c r="H41" s="389">
        <v>18.89</v>
      </c>
      <c r="I41" s="388">
        <v>0.68</v>
      </c>
      <c r="J41" s="12"/>
      <c r="K41" s="12"/>
      <c r="L41" s="12"/>
      <c r="M41" s="12"/>
      <c r="N41" s="12"/>
      <c r="O41" s="3"/>
      <c r="P41" s="3"/>
      <c r="Q41" s="3"/>
      <c r="R41" s="3"/>
      <c r="S41" s="47"/>
      <c r="T41" s="47"/>
      <c r="U41" s="47"/>
      <c r="V41" s="47"/>
      <c r="W41" s="47"/>
      <c r="X41" s="47"/>
      <c r="Y41" s="47"/>
      <c r="Z41" s="47"/>
      <c r="AA41" s="50"/>
      <c r="AB41" s="50"/>
      <c r="AC41" s="52"/>
      <c r="AD41" s="52"/>
      <c r="AE41" s="52"/>
      <c r="AF41" s="52"/>
      <c r="AG41" s="52"/>
      <c r="AH41" s="52"/>
    </row>
    <row r="42" spans="1:34" ht="28">
      <c r="A42" s="183" t="s">
        <v>297</v>
      </c>
      <c r="B42" s="350" t="s">
        <v>1133</v>
      </c>
      <c r="C42" s="350" t="s">
        <v>1134</v>
      </c>
      <c r="D42" s="161"/>
      <c r="E42" s="12"/>
      <c r="F42" s="324" t="s">
        <v>222</v>
      </c>
      <c r="G42" s="389">
        <v>18.11</v>
      </c>
      <c r="H42" s="389">
        <v>7.43</v>
      </c>
      <c r="I42" s="388">
        <v>1.44</v>
      </c>
      <c r="J42" s="12"/>
      <c r="K42" s="12"/>
      <c r="L42" s="12"/>
      <c r="M42" s="12"/>
      <c r="N42" s="12"/>
      <c r="O42" s="3"/>
      <c r="P42" s="3"/>
      <c r="Q42" s="3"/>
      <c r="R42" s="3"/>
      <c r="S42" s="47"/>
      <c r="T42" s="47"/>
      <c r="U42" s="47"/>
      <c r="V42" s="47"/>
      <c r="W42" s="47"/>
      <c r="X42" s="47"/>
      <c r="Y42" s="47"/>
      <c r="Z42" s="47"/>
      <c r="AA42" s="50"/>
      <c r="AB42" s="50"/>
      <c r="AC42" s="52"/>
      <c r="AD42" s="52"/>
      <c r="AE42" s="52"/>
      <c r="AF42" s="52"/>
      <c r="AG42" s="52"/>
      <c r="AH42" s="52"/>
    </row>
    <row r="43" spans="1:34">
      <c r="A43" s="174"/>
      <c r="B43" s="174"/>
      <c r="C43" s="174"/>
      <c r="D43" s="174"/>
      <c r="E43" s="12"/>
      <c r="F43" s="137" t="s">
        <v>1769</v>
      </c>
      <c r="G43" s="12"/>
      <c r="H43" s="12"/>
      <c r="I43" s="12"/>
      <c r="J43" s="12"/>
      <c r="K43" s="12"/>
      <c r="L43" s="12"/>
      <c r="M43" s="12"/>
      <c r="N43" s="12"/>
      <c r="O43" s="3"/>
      <c r="P43" s="3"/>
      <c r="Q43" s="3"/>
      <c r="R43" s="3"/>
      <c r="S43" s="47"/>
      <c r="T43" s="47"/>
      <c r="U43" s="47"/>
      <c r="V43" s="47"/>
      <c r="W43" s="47"/>
      <c r="X43" s="47"/>
      <c r="Y43" s="47"/>
      <c r="Z43" s="47"/>
      <c r="AA43" s="50"/>
      <c r="AB43" s="50"/>
      <c r="AC43" s="52"/>
      <c r="AD43" s="52"/>
      <c r="AE43" s="52"/>
      <c r="AF43" s="52"/>
      <c r="AG43" s="52"/>
      <c r="AH43" s="52"/>
    </row>
    <row r="44" spans="1:34" ht="17.5">
      <c r="A44" s="184" t="s">
        <v>1135</v>
      </c>
      <c r="B44" s="174"/>
      <c r="C44" s="174"/>
      <c r="D44" s="174"/>
      <c r="E44" s="12"/>
      <c r="F44" s="12"/>
      <c r="G44" s="12"/>
      <c r="H44" s="12"/>
      <c r="I44" s="12"/>
      <c r="J44" s="12"/>
      <c r="K44" s="12"/>
      <c r="L44" s="12"/>
      <c r="M44" s="12"/>
      <c r="N44" s="12"/>
      <c r="O44" s="3"/>
      <c r="P44" s="3"/>
      <c r="Q44" s="3"/>
      <c r="R44" s="3"/>
      <c r="S44" s="47"/>
      <c r="T44" s="47"/>
      <c r="U44" s="47"/>
      <c r="V44" s="47"/>
      <c r="W44" s="47"/>
      <c r="X44" s="47"/>
      <c r="Y44" s="47"/>
      <c r="Z44" s="47"/>
      <c r="AA44" s="50"/>
      <c r="AB44" s="50"/>
      <c r="AC44" s="52"/>
      <c r="AD44" s="52"/>
      <c r="AE44" s="52"/>
      <c r="AF44" s="52"/>
      <c r="AG44" s="52"/>
      <c r="AH44" s="52"/>
    </row>
    <row r="45" spans="1:34">
      <c r="A45" s="161" t="s">
        <v>1136</v>
      </c>
      <c r="B45" s="161"/>
      <c r="C45" s="161"/>
      <c r="D45" s="161"/>
      <c r="E45" s="12"/>
      <c r="F45" s="12"/>
      <c r="G45" s="12"/>
      <c r="H45" s="12"/>
      <c r="I45" s="12"/>
      <c r="J45" s="12"/>
      <c r="K45" s="12"/>
      <c r="L45" s="12"/>
      <c r="M45" s="12"/>
      <c r="N45" s="12"/>
      <c r="O45" s="3"/>
      <c r="P45" s="3"/>
      <c r="Q45" s="3"/>
      <c r="R45" s="3"/>
      <c r="S45" s="47"/>
      <c r="T45" s="47"/>
      <c r="U45" s="47"/>
      <c r="V45" s="47"/>
      <c r="W45" s="47"/>
      <c r="X45" s="47"/>
      <c r="Y45" s="47"/>
      <c r="Z45" s="47"/>
      <c r="AA45" s="50"/>
      <c r="AB45" s="50"/>
      <c r="AC45" s="52"/>
      <c r="AD45" s="52"/>
      <c r="AE45" s="52"/>
      <c r="AF45" s="52"/>
      <c r="AG45" s="52"/>
      <c r="AH45" s="52"/>
    </row>
    <row r="46" spans="1:34">
      <c r="A46" s="174"/>
      <c r="B46" s="174"/>
      <c r="C46" s="174"/>
      <c r="D46" s="174"/>
      <c r="E46" s="174"/>
      <c r="F46" s="174"/>
      <c r="G46" s="174"/>
      <c r="H46" s="174"/>
      <c r="I46" s="174"/>
      <c r="J46" s="174"/>
      <c r="K46" s="174"/>
      <c r="L46" s="174"/>
      <c r="M46" s="174"/>
      <c r="N46" s="174"/>
      <c r="O46" s="47"/>
      <c r="P46" s="47"/>
      <c r="Q46" s="47"/>
      <c r="R46" s="47"/>
      <c r="S46" s="47"/>
      <c r="T46" s="47"/>
      <c r="U46" s="47"/>
      <c r="V46" s="47"/>
      <c r="W46" s="47"/>
      <c r="X46" s="47"/>
      <c r="Y46" s="47"/>
      <c r="Z46" s="47"/>
      <c r="AA46" s="50"/>
      <c r="AB46" s="50"/>
      <c r="AC46" s="52"/>
      <c r="AD46" s="52"/>
      <c r="AE46" s="52"/>
      <c r="AF46" s="52"/>
      <c r="AG46" s="52"/>
      <c r="AH46" s="52"/>
    </row>
    <row r="47" spans="1:34" ht="30">
      <c r="A47" s="182" t="s">
        <v>1843</v>
      </c>
      <c r="B47" s="48"/>
      <c r="C47" s="48"/>
      <c r="D47" s="48"/>
      <c r="E47" s="48" t="s">
        <v>1779</v>
      </c>
      <c r="F47" s="174"/>
      <c r="G47" s="174"/>
      <c r="H47" s="174"/>
      <c r="I47" s="174"/>
      <c r="J47" s="174"/>
      <c r="K47" s="174"/>
      <c r="L47" s="174"/>
      <c r="M47" s="174"/>
      <c r="N47" s="174"/>
      <c r="O47" s="47"/>
      <c r="P47" s="47"/>
      <c r="Q47" s="47"/>
      <c r="R47" s="47"/>
      <c r="S47" s="47"/>
      <c r="T47" s="47"/>
      <c r="U47" s="47"/>
      <c r="V47" s="47"/>
      <c r="W47" s="47"/>
      <c r="X47" s="47"/>
      <c r="Y47" s="47"/>
      <c r="Z47" s="47"/>
      <c r="AA47" s="50"/>
      <c r="AB47" s="50"/>
      <c r="AC47" s="52"/>
      <c r="AD47" s="52"/>
      <c r="AE47" s="52"/>
      <c r="AF47" s="52"/>
      <c r="AG47" s="52"/>
      <c r="AH47" s="52"/>
    </row>
    <row r="48" spans="1:34">
      <c r="A48" s="183" t="s">
        <v>247</v>
      </c>
      <c r="B48" s="183" t="s">
        <v>1137</v>
      </c>
      <c r="C48" s="183" t="s">
        <v>1138</v>
      </c>
      <c r="D48" s="174"/>
      <c r="E48" s="165" t="s">
        <v>1780</v>
      </c>
      <c r="F48" s="165"/>
      <c r="G48" s="165"/>
      <c r="H48" s="165"/>
      <c r="I48" s="174"/>
      <c r="J48" s="174"/>
      <c r="K48" s="174"/>
      <c r="L48" s="174"/>
      <c r="M48" s="174"/>
      <c r="N48" s="174"/>
      <c r="O48" s="47"/>
      <c r="P48" s="47"/>
      <c r="Q48" s="47"/>
      <c r="R48" s="47"/>
      <c r="S48" s="47"/>
      <c r="T48" s="47"/>
      <c r="U48" s="47"/>
      <c r="V48" s="47"/>
      <c r="W48" s="47"/>
      <c r="X48" s="47"/>
      <c r="Y48" s="47"/>
      <c r="Z48" s="47"/>
      <c r="AA48" s="50"/>
      <c r="AB48" s="50"/>
      <c r="AC48" s="52"/>
      <c r="AD48" s="52"/>
      <c r="AE48" s="52"/>
      <c r="AF48" s="52"/>
      <c r="AG48" s="52"/>
      <c r="AH48" s="52"/>
    </row>
    <row r="49" spans="1:34" ht="28">
      <c r="A49" s="183" t="s">
        <v>295</v>
      </c>
      <c r="B49" s="350" t="s">
        <v>1139</v>
      </c>
      <c r="C49" s="350" t="s">
        <v>1140</v>
      </c>
      <c r="D49" s="174"/>
      <c r="E49" s="165" t="s">
        <v>1781</v>
      </c>
      <c r="F49" s="165"/>
      <c r="G49" s="165"/>
      <c r="H49" s="165"/>
      <c r="I49" s="165"/>
      <c r="J49" s="174"/>
      <c r="K49" s="174"/>
      <c r="L49" s="174"/>
      <c r="M49" s="174"/>
      <c r="N49" s="174"/>
      <c r="O49" s="47"/>
      <c r="P49" s="47"/>
      <c r="Q49" s="47"/>
      <c r="R49" s="47"/>
      <c r="S49" s="47"/>
      <c r="T49" s="47"/>
      <c r="U49" s="47"/>
      <c r="V49" s="47"/>
      <c r="W49" s="47"/>
      <c r="X49" s="47"/>
      <c r="Y49" s="47"/>
      <c r="Z49" s="47"/>
      <c r="AA49" s="50"/>
      <c r="AB49" s="50"/>
      <c r="AC49" s="52"/>
      <c r="AD49" s="52"/>
      <c r="AE49" s="52"/>
      <c r="AF49" s="52"/>
      <c r="AG49" s="52"/>
      <c r="AH49" s="52"/>
    </row>
    <row r="50" spans="1:34">
      <c r="A50" s="183" t="s">
        <v>296</v>
      </c>
      <c r="B50" s="350" t="s">
        <v>1141</v>
      </c>
      <c r="C50" s="350" t="s">
        <v>1142</v>
      </c>
      <c r="D50" s="174"/>
      <c r="E50" s="165" t="s">
        <v>1782</v>
      </c>
      <c r="F50" s="174"/>
      <c r="G50" s="174"/>
      <c r="H50" s="174"/>
      <c r="I50" s="174"/>
      <c r="J50" s="174"/>
      <c r="K50" s="174"/>
      <c r="L50" s="174"/>
      <c r="M50" s="174"/>
      <c r="N50" s="174"/>
      <c r="O50" s="47"/>
      <c r="P50" s="47"/>
      <c r="Q50" s="47"/>
      <c r="R50" s="47"/>
      <c r="S50" s="47"/>
      <c r="T50" s="47"/>
      <c r="U50" s="47"/>
      <c r="V50" s="47"/>
      <c r="W50" s="47"/>
      <c r="X50" s="47"/>
      <c r="Y50" s="47"/>
      <c r="Z50" s="47"/>
      <c r="AA50" s="50"/>
      <c r="AB50" s="50"/>
      <c r="AC50" s="52"/>
      <c r="AD50" s="52"/>
      <c r="AE50" s="52"/>
      <c r="AF50" s="52"/>
      <c r="AG50" s="52"/>
      <c r="AH50" s="52"/>
    </row>
    <row r="51" spans="1:34">
      <c r="A51" s="183" t="s">
        <v>297</v>
      </c>
      <c r="B51" s="350" t="s">
        <v>1143</v>
      </c>
      <c r="C51" s="350" t="s">
        <v>1144</v>
      </c>
      <c r="D51" s="174"/>
      <c r="E51" s="165" t="s">
        <v>1783</v>
      </c>
      <c r="F51" s="174"/>
      <c r="G51" s="174"/>
      <c r="H51" s="174"/>
      <c r="I51" s="174"/>
      <c r="J51" s="174"/>
      <c r="K51" s="174"/>
      <c r="L51" s="174"/>
      <c r="M51" s="174"/>
      <c r="N51" s="174"/>
      <c r="O51" s="47"/>
      <c r="P51" s="47"/>
      <c r="Q51" s="47"/>
      <c r="R51" s="47"/>
      <c r="S51" s="47"/>
      <c r="T51" s="47"/>
      <c r="U51" s="47"/>
      <c r="V51" s="47"/>
      <c r="W51" s="47"/>
      <c r="X51" s="47"/>
      <c r="Y51" s="47"/>
      <c r="Z51" s="47"/>
      <c r="AA51" s="50"/>
      <c r="AB51" s="50"/>
      <c r="AC51" s="52"/>
      <c r="AD51" s="52"/>
      <c r="AE51" s="52"/>
      <c r="AF51" s="52"/>
      <c r="AG51" s="52"/>
      <c r="AH51" s="52"/>
    </row>
    <row r="52" spans="1:34" ht="28">
      <c r="A52" s="183" t="s">
        <v>298</v>
      </c>
      <c r="B52" s="350" t="s">
        <v>1145</v>
      </c>
      <c r="C52" s="350" t="s">
        <v>1146</v>
      </c>
      <c r="D52" s="174"/>
      <c r="E52" s="165" t="s">
        <v>1785</v>
      </c>
      <c r="F52" s="174"/>
      <c r="G52" s="174"/>
      <c r="H52" s="174"/>
      <c r="I52" s="174"/>
      <c r="J52" s="174"/>
      <c r="K52" s="174"/>
      <c r="L52" s="174"/>
      <c r="M52" s="174"/>
      <c r="N52" s="174"/>
      <c r="O52" s="47"/>
      <c r="P52" s="47"/>
      <c r="Q52" s="47"/>
      <c r="R52" s="47"/>
      <c r="S52" s="47"/>
      <c r="T52" s="47"/>
      <c r="U52" s="47"/>
      <c r="V52" s="47"/>
      <c r="W52" s="47"/>
      <c r="X52" s="47"/>
      <c r="Y52" s="47"/>
      <c r="Z52" s="47"/>
      <c r="AA52" s="50"/>
      <c r="AB52" s="50"/>
      <c r="AC52" s="52"/>
      <c r="AD52" s="52"/>
      <c r="AE52" s="52"/>
      <c r="AF52" s="52"/>
      <c r="AG52" s="52"/>
      <c r="AH52" s="52"/>
    </row>
    <row r="53" spans="1:34">
      <c r="A53" s="174"/>
      <c r="B53" s="174"/>
      <c r="C53" s="174"/>
      <c r="D53" s="174"/>
      <c r="E53" s="174"/>
      <c r="F53" s="174"/>
      <c r="G53" s="174"/>
      <c r="H53" s="174"/>
      <c r="I53" s="174"/>
      <c r="J53" s="174"/>
      <c r="K53" s="174"/>
      <c r="L53" s="174"/>
      <c r="M53" s="174"/>
      <c r="N53" s="174"/>
      <c r="O53" s="47"/>
      <c r="P53" s="47"/>
      <c r="Q53" s="47"/>
      <c r="R53" s="47"/>
      <c r="S53" s="47"/>
      <c r="T53" s="47"/>
      <c r="U53" s="47"/>
      <c r="V53" s="47"/>
      <c r="W53" s="47"/>
      <c r="X53" s="47"/>
      <c r="Y53" s="47"/>
      <c r="Z53" s="47"/>
      <c r="AA53" s="50"/>
      <c r="AB53" s="50"/>
      <c r="AC53" s="52"/>
      <c r="AD53" s="52"/>
      <c r="AE53" s="52"/>
      <c r="AF53" s="52"/>
      <c r="AG53" s="52"/>
      <c r="AH53" s="52"/>
    </row>
    <row r="54" spans="1:34" ht="17.5">
      <c r="A54" s="184" t="s">
        <v>1147</v>
      </c>
      <c r="B54" s="174"/>
      <c r="C54" s="174"/>
      <c r="D54" s="174"/>
      <c r="E54" s="174"/>
      <c r="F54" s="174"/>
      <c r="G54" s="174"/>
      <c r="H54" s="174"/>
      <c r="I54" s="174"/>
      <c r="J54" s="174"/>
      <c r="K54" s="174"/>
      <c r="L54" s="174"/>
      <c r="M54" s="174"/>
      <c r="N54" s="174"/>
      <c r="O54" s="47"/>
      <c r="P54" s="47"/>
      <c r="Q54" s="47"/>
      <c r="R54" s="47"/>
      <c r="S54" s="47"/>
      <c r="T54" s="47"/>
      <c r="U54" s="47"/>
      <c r="V54" s="47"/>
      <c r="W54" s="47"/>
      <c r="X54" s="47"/>
      <c r="Y54" s="47"/>
      <c r="Z54" s="47"/>
      <c r="AA54" s="50"/>
      <c r="AB54" s="50"/>
      <c r="AC54" s="52"/>
      <c r="AD54" s="52"/>
      <c r="AE54" s="52"/>
      <c r="AF54" s="52"/>
      <c r="AG54" s="52"/>
      <c r="AH54" s="52"/>
    </row>
    <row r="55" spans="1:34">
      <c r="A55" s="161" t="s">
        <v>1148</v>
      </c>
      <c r="B55" s="161"/>
      <c r="C55" s="161"/>
      <c r="D55" s="174"/>
      <c r="E55" s="174"/>
      <c r="F55" s="174"/>
      <c r="G55" s="174"/>
      <c r="H55" s="174"/>
      <c r="I55" s="174"/>
      <c r="J55" s="174"/>
      <c r="K55" s="174"/>
      <c r="L55" s="174"/>
      <c r="M55" s="174"/>
      <c r="N55" s="174"/>
      <c r="O55" s="47"/>
      <c r="P55" s="47"/>
      <c r="Q55" s="47"/>
      <c r="R55" s="47"/>
      <c r="S55" s="47"/>
      <c r="T55" s="47"/>
      <c r="U55" s="47"/>
      <c r="V55" s="47"/>
      <c r="W55" s="47"/>
      <c r="X55" s="47"/>
      <c r="Y55" s="47"/>
      <c r="Z55" s="47"/>
      <c r="AA55" s="50"/>
      <c r="AB55" s="50"/>
      <c r="AC55" s="52"/>
      <c r="AD55" s="52"/>
      <c r="AE55" s="52"/>
      <c r="AF55" s="52"/>
      <c r="AG55" s="52"/>
      <c r="AH55" s="52"/>
    </row>
    <row r="56" spans="1:34">
      <c r="A56" s="161" t="s">
        <v>1149</v>
      </c>
      <c r="B56" s="161"/>
      <c r="C56" s="161"/>
      <c r="D56" s="174"/>
      <c r="E56" s="174"/>
      <c r="F56" s="174"/>
      <c r="G56" s="174"/>
      <c r="H56" s="174"/>
      <c r="I56" s="174"/>
      <c r="J56" s="174"/>
      <c r="K56" s="174"/>
      <c r="L56" s="174"/>
      <c r="M56" s="174"/>
      <c r="N56" s="174"/>
      <c r="O56" s="47"/>
      <c r="P56" s="47"/>
      <c r="Q56" s="47"/>
      <c r="R56" s="47"/>
      <c r="S56" s="47"/>
      <c r="T56" s="47"/>
      <c r="U56" s="47"/>
      <c r="V56" s="47"/>
      <c r="W56" s="47"/>
      <c r="X56" s="47"/>
      <c r="Y56" s="47"/>
      <c r="Z56" s="47"/>
      <c r="AA56" s="50"/>
      <c r="AB56" s="50"/>
      <c r="AC56" s="52"/>
      <c r="AD56" s="52"/>
      <c r="AE56" s="52"/>
      <c r="AF56" s="52"/>
      <c r="AG56" s="52"/>
      <c r="AH56" s="52"/>
    </row>
    <row r="57" spans="1:34">
      <c r="A57" s="174"/>
      <c r="B57" s="174"/>
      <c r="C57" s="174"/>
      <c r="D57" s="174"/>
      <c r="E57" s="174"/>
      <c r="F57" s="174"/>
      <c r="G57" s="174"/>
      <c r="H57" s="174"/>
      <c r="I57" s="174"/>
      <c r="J57" s="174"/>
      <c r="K57" s="174"/>
      <c r="L57" s="174"/>
      <c r="M57" s="174"/>
      <c r="N57" s="174"/>
      <c r="O57" s="47"/>
      <c r="P57" s="47"/>
      <c r="Q57" s="47"/>
      <c r="R57" s="47"/>
      <c r="S57" s="47"/>
      <c r="T57" s="47"/>
      <c r="U57" s="47"/>
      <c r="V57" s="47"/>
      <c r="W57" s="47"/>
      <c r="X57" s="47"/>
      <c r="Y57" s="47"/>
      <c r="Z57" s="47"/>
      <c r="AA57" s="50"/>
      <c r="AB57" s="50"/>
      <c r="AC57" s="52"/>
      <c r="AD57" s="52"/>
      <c r="AE57" s="52"/>
      <c r="AF57" s="52"/>
      <c r="AG57" s="52"/>
      <c r="AH57" s="52"/>
    </row>
    <row r="58" spans="1:34" ht="30">
      <c r="A58" s="182" t="s">
        <v>1844</v>
      </c>
      <c r="B58" s="48"/>
      <c r="C58" s="48"/>
      <c r="D58" s="48"/>
      <c r="E58" s="174"/>
      <c r="F58" s="174"/>
      <c r="G58" s="174"/>
      <c r="H58" s="174"/>
      <c r="I58" s="174"/>
      <c r="J58" s="174"/>
      <c r="K58" s="174"/>
      <c r="L58" s="174"/>
      <c r="M58" s="174"/>
      <c r="N58" s="174"/>
      <c r="O58" s="47"/>
      <c r="P58" s="47"/>
      <c r="Q58" s="47"/>
      <c r="R58" s="47"/>
      <c r="S58" s="47"/>
      <c r="T58" s="47"/>
      <c r="U58" s="47"/>
      <c r="V58" s="47"/>
      <c r="W58" s="47"/>
      <c r="X58" s="47"/>
      <c r="Y58" s="47"/>
      <c r="Z58" s="47"/>
      <c r="AA58" s="50"/>
      <c r="AB58" s="50"/>
      <c r="AC58" s="52"/>
      <c r="AD58" s="52"/>
      <c r="AE58" s="52"/>
      <c r="AF58" s="52"/>
      <c r="AG58" s="52"/>
      <c r="AH58" s="52"/>
    </row>
    <row r="59" spans="1:34">
      <c r="A59" s="48" t="s">
        <v>1150</v>
      </c>
      <c r="B59" s="161"/>
      <c r="C59" s="161"/>
      <c r="D59" s="161"/>
      <c r="E59" s="174"/>
      <c r="F59" s="174"/>
      <c r="G59" s="174"/>
      <c r="H59" s="174"/>
      <c r="I59" s="174"/>
      <c r="J59" s="174"/>
      <c r="K59" s="174"/>
      <c r="L59" s="174"/>
      <c r="M59" s="174"/>
      <c r="N59" s="174"/>
      <c r="O59" s="47"/>
      <c r="P59" s="47"/>
      <c r="Q59" s="47"/>
      <c r="R59" s="47"/>
      <c r="S59" s="47"/>
      <c r="T59" s="47"/>
      <c r="U59" s="47"/>
      <c r="V59" s="47"/>
      <c r="W59" s="47"/>
      <c r="X59" s="47"/>
      <c r="Y59" s="47"/>
      <c r="Z59" s="47"/>
      <c r="AA59" s="50"/>
      <c r="AB59" s="50"/>
      <c r="AC59" s="52"/>
      <c r="AD59" s="52"/>
      <c r="AE59" s="52"/>
      <c r="AF59" s="52"/>
      <c r="AG59" s="52"/>
      <c r="AH59" s="52"/>
    </row>
    <row r="60" spans="1:34">
      <c r="A60" s="349" t="s">
        <v>1151</v>
      </c>
      <c r="B60" s="161"/>
      <c r="C60" s="161"/>
      <c r="D60" s="161"/>
      <c r="E60" s="174"/>
      <c r="F60" s="174"/>
      <c r="G60" s="174"/>
      <c r="H60" s="174"/>
      <c r="I60" s="174"/>
      <c r="J60" s="174"/>
      <c r="K60" s="174"/>
      <c r="L60" s="174"/>
      <c r="M60" s="174"/>
      <c r="N60" s="174"/>
      <c r="O60" s="47"/>
      <c r="P60" s="47"/>
      <c r="Q60" s="47"/>
      <c r="R60" s="47"/>
      <c r="S60" s="47"/>
      <c r="T60" s="47"/>
      <c r="U60" s="47"/>
      <c r="V60" s="47"/>
      <c r="W60" s="47"/>
      <c r="X60" s="47"/>
      <c r="Y60" s="47"/>
      <c r="Z60" s="47"/>
      <c r="AA60" s="50"/>
      <c r="AB60" s="50"/>
      <c r="AC60" s="52"/>
      <c r="AD60" s="52"/>
      <c r="AE60" s="52"/>
      <c r="AF60" s="52"/>
      <c r="AG60" s="52"/>
      <c r="AH60" s="52"/>
    </row>
    <row r="61" spans="1:34">
      <c r="A61" s="161"/>
      <c r="B61" s="161"/>
      <c r="C61" s="161"/>
      <c r="D61" s="161"/>
      <c r="E61" s="174"/>
      <c r="F61" s="174"/>
      <c r="G61" s="174"/>
      <c r="H61" s="174"/>
      <c r="I61" s="174"/>
      <c r="J61" s="174"/>
      <c r="K61" s="174"/>
      <c r="L61" s="174"/>
      <c r="M61" s="174"/>
      <c r="N61" s="174"/>
      <c r="O61" s="47"/>
      <c r="P61" s="47"/>
      <c r="Q61" s="47"/>
      <c r="R61" s="47"/>
      <c r="S61" s="47"/>
      <c r="T61" s="47"/>
      <c r="U61" s="47"/>
      <c r="V61" s="47"/>
      <c r="W61" s="47"/>
      <c r="X61" s="47"/>
      <c r="Y61" s="47"/>
      <c r="Z61" s="47"/>
      <c r="AA61" s="50"/>
      <c r="AB61" s="50"/>
      <c r="AC61" s="52"/>
      <c r="AD61" s="52"/>
      <c r="AE61" s="52"/>
      <c r="AF61" s="52"/>
      <c r="AG61" s="52"/>
      <c r="AH61" s="52"/>
    </row>
    <row r="62" spans="1:34">
      <c r="A62" s="48" t="s">
        <v>1152</v>
      </c>
      <c r="B62" s="161"/>
      <c r="C62" s="161"/>
      <c r="D62" s="161"/>
      <c r="E62" s="174"/>
      <c r="F62" s="174"/>
      <c r="G62" s="174"/>
      <c r="H62" s="174"/>
      <c r="I62" s="174"/>
      <c r="J62" s="174"/>
      <c r="K62" s="174"/>
      <c r="L62" s="174"/>
      <c r="M62" s="174"/>
      <c r="N62" s="174"/>
      <c r="O62" s="47"/>
      <c r="P62" s="47"/>
      <c r="Q62" s="47"/>
      <c r="R62" s="47"/>
      <c r="S62" s="47"/>
      <c r="T62" s="47"/>
      <c r="U62" s="47"/>
      <c r="V62" s="47"/>
      <c r="W62" s="47"/>
      <c r="X62" s="47"/>
      <c r="Y62" s="47"/>
      <c r="Z62" s="47"/>
      <c r="AA62" s="50"/>
      <c r="AB62" s="50"/>
      <c r="AC62" s="52"/>
      <c r="AD62" s="52"/>
      <c r="AE62" s="52"/>
      <c r="AF62" s="52"/>
      <c r="AG62" s="52"/>
      <c r="AH62" s="52"/>
    </row>
    <row r="63" spans="1:34">
      <c r="A63" s="349" t="s">
        <v>1153</v>
      </c>
      <c r="B63" s="161"/>
      <c r="C63" s="161"/>
      <c r="D63" s="161"/>
      <c r="E63" s="174"/>
      <c r="F63" s="174"/>
      <c r="G63" s="174"/>
      <c r="H63" s="174"/>
      <c r="I63" s="174"/>
      <c r="J63" s="174"/>
      <c r="K63" s="174"/>
      <c r="L63" s="174"/>
      <c r="M63" s="174"/>
      <c r="N63" s="174"/>
      <c r="O63" s="47"/>
      <c r="P63" s="47"/>
      <c r="Q63" s="47"/>
      <c r="R63" s="47"/>
      <c r="S63" s="47"/>
      <c r="T63" s="47"/>
      <c r="U63" s="47"/>
      <c r="V63" s="47"/>
      <c r="W63" s="47"/>
      <c r="X63" s="47"/>
      <c r="Y63" s="47"/>
      <c r="Z63" s="47"/>
      <c r="AA63" s="50"/>
      <c r="AB63" s="50"/>
      <c r="AC63" s="52"/>
      <c r="AD63" s="52"/>
      <c r="AE63" s="52"/>
      <c r="AF63" s="52"/>
      <c r="AG63" s="52"/>
      <c r="AH63" s="52"/>
    </row>
    <row r="64" spans="1:34">
      <c r="A64" s="161"/>
      <c r="B64" s="161"/>
      <c r="C64" s="161"/>
      <c r="D64" s="161"/>
      <c r="E64" s="174"/>
      <c r="F64" s="174"/>
      <c r="G64" s="174"/>
      <c r="H64" s="174"/>
      <c r="I64" s="174"/>
      <c r="J64" s="174"/>
      <c r="K64" s="174"/>
      <c r="L64" s="174"/>
      <c r="M64" s="174"/>
      <c r="N64" s="174"/>
      <c r="O64" s="47"/>
      <c r="P64" s="47"/>
      <c r="Q64" s="47"/>
      <c r="R64" s="47"/>
      <c r="S64" s="47"/>
      <c r="T64" s="47"/>
      <c r="U64" s="47"/>
      <c r="V64" s="47"/>
      <c r="W64" s="47"/>
      <c r="X64" s="47"/>
      <c r="Y64" s="47"/>
      <c r="Z64" s="47"/>
      <c r="AA64" s="50"/>
      <c r="AB64" s="50"/>
      <c r="AC64" s="52"/>
      <c r="AD64" s="52"/>
      <c r="AE64" s="52"/>
      <c r="AF64" s="52"/>
      <c r="AG64" s="52"/>
      <c r="AH64" s="52"/>
    </row>
    <row r="65" spans="1:34">
      <c r="A65" s="48" t="s">
        <v>1154</v>
      </c>
      <c r="B65" s="161"/>
      <c r="C65" s="161"/>
      <c r="D65" s="161"/>
      <c r="E65" s="174"/>
      <c r="F65" s="174"/>
      <c r="G65" s="174"/>
      <c r="H65" s="174"/>
      <c r="I65" s="174"/>
      <c r="J65" s="174"/>
      <c r="K65" s="174"/>
      <c r="L65" s="174"/>
      <c r="M65" s="174"/>
      <c r="N65" s="174"/>
      <c r="O65" s="47"/>
      <c r="P65" s="47"/>
      <c r="Q65" s="47"/>
      <c r="R65" s="47"/>
      <c r="S65" s="47"/>
      <c r="T65" s="47"/>
      <c r="U65" s="47"/>
      <c r="V65" s="47"/>
      <c r="W65" s="47"/>
      <c r="X65" s="47"/>
      <c r="Y65" s="47"/>
      <c r="Z65" s="47"/>
      <c r="AA65" s="50"/>
      <c r="AB65" s="50"/>
      <c r="AC65" s="52"/>
      <c r="AD65" s="52"/>
      <c r="AE65" s="52"/>
      <c r="AF65" s="52"/>
      <c r="AG65" s="52"/>
      <c r="AH65" s="52"/>
    </row>
    <row r="66" spans="1:34">
      <c r="A66" s="349" t="s">
        <v>1155</v>
      </c>
      <c r="B66" s="161"/>
      <c r="C66" s="161"/>
      <c r="D66" s="161"/>
      <c r="E66" s="174"/>
      <c r="F66" s="174"/>
      <c r="G66" s="174"/>
      <c r="H66" s="174"/>
      <c r="I66" s="174"/>
      <c r="J66" s="174"/>
      <c r="K66" s="174"/>
      <c r="L66" s="174"/>
      <c r="M66" s="174"/>
      <c r="N66" s="174"/>
      <c r="O66" s="47"/>
      <c r="P66" s="47"/>
      <c r="Q66" s="47"/>
      <c r="R66" s="47"/>
      <c r="S66" s="47"/>
      <c r="T66" s="47"/>
      <c r="U66" s="47"/>
      <c r="V66" s="47"/>
      <c r="W66" s="47"/>
      <c r="X66" s="47"/>
      <c r="Y66" s="47"/>
      <c r="Z66" s="47"/>
      <c r="AA66" s="50"/>
      <c r="AB66" s="50"/>
      <c r="AC66" s="52"/>
      <c r="AD66" s="52"/>
      <c r="AE66" s="52"/>
      <c r="AF66" s="52"/>
      <c r="AG66" s="52"/>
      <c r="AH66" s="52"/>
    </row>
    <row r="67" spans="1:34">
      <c r="A67" s="161"/>
      <c r="B67" s="161"/>
      <c r="C67" s="161"/>
      <c r="D67" s="161"/>
      <c r="E67" s="174"/>
      <c r="F67" s="174"/>
      <c r="G67" s="174"/>
      <c r="H67" s="174"/>
      <c r="I67" s="174"/>
      <c r="J67" s="174"/>
      <c r="K67" s="174"/>
      <c r="L67" s="174"/>
      <c r="M67" s="174"/>
      <c r="N67" s="174"/>
      <c r="O67" s="47"/>
      <c r="P67" s="47"/>
      <c r="Q67" s="47"/>
      <c r="R67" s="47"/>
      <c r="S67" s="47"/>
      <c r="T67" s="47"/>
      <c r="U67" s="47"/>
      <c r="V67" s="47"/>
      <c r="W67" s="47"/>
      <c r="X67" s="47"/>
      <c r="Y67" s="47"/>
      <c r="Z67" s="47"/>
      <c r="AA67" s="50"/>
      <c r="AB67" s="50"/>
      <c r="AC67" s="52"/>
      <c r="AD67" s="52"/>
      <c r="AE67" s="52"/>
      <c r="AF67" s="52"/>
      <c r="AG67" s="52"/>
      <c r="AH67" s="52"/>
    </row>
    <row r="68" spans="1:34">
      <c r="A68" s="48" t="s">
        <v>1156</v>
      </c>
      <c r="B68" s="161"/>
      <c r="C68" s="161"/>
      <c r="D68" s="161"/>
      <c r="E68" s="174"/>
      <c r="F68" s="174"/>
      <c r="G68" s="174"/>
      <c r="H68" s="174"/>
      <c r="I68" s="174"/>
      <c r="J68" s="174"/>
      <c r="K68" s="174"/>
      <c r="L68" s="174"/>
      <c r="M68" s="174"/>
      <c r="N68" s="174"/>
      <c r="O68" s="47"/>
      <c r="P68" s="47"/>
      <c r="Q68" s="47"/>
      <c r="R68" s="47"/>
      <c r="S68" s="47"/>
      <c r="T68" s="47"/>
      <c r="U68" s="47"/>
      <c r="V68" s="47"/>
      <c r="W68" s="47"/>
      <c r="X68" s="47"/>
      <c r="Y68" s="47"/>
      <c r="Z68" s="47"/>
      <c r="AA68" s="50"/>
      <c r="AB68" s="50"/>
      <c r="AC68" s="52"/>
      <c r="AD68" s="52"/>
      <c r="AE68" s="52"/>
      <c r="AF68" s="52"/>
      <c r="AG68" s="52"/>
      <c r="AH68" s="52"/>
    </row>
    <row r="69" spans="1:34">
      <c r="A69" s="349" t="s">
        <v>1157</v>
      </c>
      <c r="B69" s="161"/>
      <c r="C69" s="161"/>
      <c r="D69" s="161"/>
      <c r="E69" s="174"/>
      <c r="F69" s="174"/>
      <c r="G69" s="174"/>
      <c r="H69" s="174"/>
      <c r="I69" s="174"/>
      <c r="J69" s="174"/>
      <c r="K69" s="174"/>
      <c r="L69" s="174"/>
      <c r="M69" s="174"/>
      <c r="N69" s="174"/>
      <c r="O69" s="47"/>
      <c r="P69" s="47"/>
      <c r="Q69" s="47"/>
      <c r="R69" s="47"/>
      <c r="S69" s="47"/>
      <c r="T69" s="47"/>
      <c r="U69" s="47"/>
      <c r="V69" s="47"/>
      <c r="W69" s="47"/>
      <c r="X69" s="47"/>
      <c r="Y69" s="47"/>
      <c r="Z69" s="47"/>
      <c r="AA69" s="50"/>
      <c r="AB69" s="50"/>
      <c r="AC69" s="52"/>
      <c r="AD69" s="52"/>
      <c r="AE69" s="52"/>
      <c r="AF69" s="52"/>
      <c r="AG69" s="52"/>
      <c r="AH69" s="52"/>
    </row>
    <row r="70" spans="1:34">
      <c r="A70" s="161"/>
      <c r="B70" s="161"/>
      <c r="C70" s="161"/>
      <c r="D70" s="161"/>
      <c r="E70" s="174"/>
      <c r="F70" s="174"/>
      <c r="G70" s="174"/>
      <c r="H70" s="174"/>
      <c r="I70" s="174"/>
      <c r="J70" s="174"/>
      <c r="K70" s="174"/>
      <c r="L70" s="174"/>
      <c r="M70" s="174"/>
      <c r="N70" s="174"/>
      <c r="O70" s="47"/>
      <c r="P70" s="47"/>
      <c r="Q70" s="47"/>
      <c r="R70" s="47"/>
      <c r="S70" s="47"/>
      <c r="T70" s="47"/>
      <c r="U70" s="47"/>
      <c r="V70" s="47"/>
      <c r="W70" s="47"/>
      <c r="X70" s="47"/>
      <c r="Y70" s="47"/>
      <c r="Z70" s="47"/>
      <c r="AA70" s="50"/>
      <c r="AB70" s="50"/>
      <c r="AC70" s="52"/>
      <c r="AD70" s="52"/>
      <c r="AE70" s="52"/>
      <c r="AF70" s="52"/>
      <c r="AG70" s="52"/>
      <c r="AH70" s="52"/>
    </row>
    <row r="71" spans="1:34" ht="30">
      <c r="A71" s="182" t="s">
        <v>1845</v>
      </c>
      <c r="B71" s="48"/>
      <c r="C71" s="48"/>
      <c r="D71" s="48"/>
      <c r="E71" s="174"/>
      <c r="F71" s="174"/>
      <c r="G71" s="174"/>
      <c r="H71" s="174"/>
      <c r="I71" s="174"/>
      <c r="J71" s="174"/>
      <c r="K71" s="174"/>
      <c r="L71" s="174"/>
      <c r="M71" s="174"/>
      <c r="N71" s="174"/>
      <c r="O71" s="47"/>
      <c r="P71" s="47"/>
      <c r="Q71" s="47"/>
      <c r="R71" s="47"/>
      <c r="S71" s="47"/>
      <c r="T71" s="47"/>
      <c r="U71" s="47"/>
      <c r="V71" s="47"/>
      <c r="W71" s="47"/>
      <c r="X71" s="47"/>
      <c r="Y71" s="47"/>
      <c r="Z71" s="47"/>
      <c r="AA71" s="50"/>
      <c r="AB71" s="50"/>
      <c r="AC71" s="52"/>
      <c r="AD71" s="52"/>
      <c r="AE71" s="52"/>
      <c r="AF71" s="52"/>
      <c r="AG71" s="52"/>
      <c r="AH71" s="52"/>
    </row>
    <row r="72" spans="1:34">
      <c r="A72" s="351" t="s">
        <v>1158</v>
      </c>
      <c r="B72" s="161"/>
      <c r="C72" s="161"/>
      <c r="D72" s="161"/>
      <c r="E72" s="161"/>
      <c r="F72" s="161"/>
      <c r="G72" s="161"/>
      <c r="H72" s="161"/>
      <c r="I72" s="161"/>
      <c r="J72" s="161"/>
      <c r="K72" s="161"/>
      <c r="L72" s="161"/>
      <c r="M72" s="161"/>
      <c r="N72" s="161"/>
      <c r="O72" s="320"/>
      <c r="P72" s="320"/>
      <c r="Q72" s="320"/>
      <c r="R72" s="320"/>
      <c r="S72" s="320"/>
      <c r="T72" s="320"/>
      <c r="U72" s="320"/>
      <c r="V72" s="47"/>
      <c r="W72" s="47"/>
      <c r="X72" s="47"/>
      <c r="Y72" s="47"/>
      <c r="Z72" s="47"/>
      <c r="AA72" s="50"/>
      <c r="AB72" s="50"/>
      <c r="AC72" s="52"/>
      <c r="AD72" s="52"/>
      <c r="AE72" s="52"/>
      <c r="AF72" s="52"/>
      <c r="AG72" s="52"/>
      <c r="AH72" s="52"/>
    </row>
    <row r="73" spans="1:34">
      <c r="A73" s="162" t="s">
        <v>2302</v>
      </c>
      <c r="B73" s="162"/>
      <c r="C73" s="162"/>
      <c r="D73" s="174"/>
      <c r="E73" s="174"/>
      <c r="F73" s="174"/>
      <c r="G73" s="174"/>
      <c r="H73" s="174"/>
      <c r="I73" s="174"/>
      <c r="J73" s="174"/>
      <c r="K73" s="174"/>
      <c r="L73" s="174"/>
      <c r="M73" s="174"/>
      <c r="N73" s="174"/>
      <c r="O73" s="47"/>
      <c r="P73" s="47"/>
      <c r="Q73" s="47"/>
      <c r="R73" s="47"/>
      <c r="S73" s="47"/>
      <c r="T73" s="47"/>
      <c r="U73" s="47"/>
      <c r="V73" s="47"/>
      <c r="W73" s="47"/>
      <c r="X73" s="47"/>
      <c r="Y73" s="47"/>
      <c r="Z73" s="47"/>
      <c r="AA73" s="50"/>
      <c r="AB73" s="50"/>
      <c r="AC73" s="52"/>
      <c r="AD73" s="52"/>
      <c r="AE73" s="52"/>
      <c r="AF73" s="52"/>
      <c r="AG73" s="52"/>
      <c r="AH73" s="52"/>
    </row>
    <row r="74" spans="1:34">
      <c r="A74" s="162" t="s">
        <v>2303</v>
      </c>
      <c r="B74" s="162"/>
      <c r="C74" s="174"/>
      <c r="D74" s="174"/>
      <c r="E74" s="174"/>
      <c r="F74" s="174"/>
      <c r="G74" s="174"/>
      <c r="H74" s="174"/>
      <c r="I74" s="174"/>
      <c r="J74" s="174"/>
      <c r="K74" s="174"/>
      <c r="L74" s="174"/>
      <c r="M74" s="174"/>
      <c r="N74" s="174"/>
      <c r="O74" s="47"/>
      <c r="P74" s="47"/>
      <c r="Q74" s="47"/>
      <c r="R74" s="47"/>
      <c r="S74" s="47"/>
      <c r="T74" s="47"/>
      <c r="U74" s="47"/>
      <c r="V74" s="47"/>
      <c r="W74" s="47"/>
      <c r="X74" s="47"/>
      <c r="Y74" s="47"/>
      <c r="Z74" s="47"/>
      <c r="AA74" s="50"/>
      <c r="AB74" s="50"/>
      <c r="AC74" s="52"/>
      <c r="AD74" s="52"/>
      <c r="AE74" s="52"/>
      <c r="AF74" s="52"/>
      <c r="AG74" s="52"/>
      <c r="AH74" s="52"/>
    </row>
    <row r="75" spans="1:34">
      <c r="A75" s="174"/>
      <c r="B75" s="174"/>
      <c r="C75" s="174"/>
      <c r="D75" s="174"/>
      <c r="E75" s="174"/>
      <c r="F75" s="174"/>
      <c r="G75" s="174"/>
      <c r="H75" s="174"/>
      <c r="I75" s="174"/>
      <c r="J75" s="174"/>
      <c r="K75" s="174"/>
      <c r="L75" s="174"/>
      <c r="M75" s="174"/>
      <c r="N75" s="174"/>
      <c r="O75" s="47"/>
      <c r="P75" s="47"/>
      <c r="Q75" s="47"/>
      <c r="R75" s="47"/>
      <c r="S75" s="47"/>
      <c r="T75" s="47"/>
      <c r="U75" s="47"/>
      <c r="V75" s="47"/>
      <c r="W75" s="47"/>
      <c r="X75" s="47"/>
      <c r="Y75" s="47"/>
      <c r="Z75" s="47"/>
      <c r="AA75" s="50"/>
      <c r="AB75" s="50"/>
      <c r="AC75" s="52"/>
      <c r="AD75" s="52"/>
      <c r="AE75" s="52"/>
      <c r="AF75" s="52"/>
      <c r="AG75" s="52"/>
      <c r="AH75" s="52"/>
    </row>
    <row r="76" spans="1:34">
      <c r="A76" s="151"/>
      <c r="B76" s="151"/>
      <c r="C76" s="151"/>
      <c r="D76" s="151"/>
      <c r="E76" s="151"/>
      <c r="F76" s="151"/>
      <c r="G76" s="151"/>
      <c r="H76" s="151"/>
      <c r="I76" s="151"/>
      <c r="J76" s="151"/>
      <c r="K76" s="151"/>
      <c r="L76" s="151"/>
      <c r="M76" s="151"/>
      <c r="N76" s="151"/>
      <c r="O76" s="50"/>
      <c r="P76" s="50"/>
      <c r="Q76" s="50"/>
      <c r="R76" s="50"/>
      <c r="S76" s="50"/>
      <c r="T76" s="50"/>
      <c r="U76" s="50"/>
      <c r="V76" s="50"/>
      <c r="W76" s="50"/>
      <c r="X76" s="50"/>
      <c r="Y76" s="50"/>
      <c r="Z76" s="50"/>
      <c r="AA76" s="50"/>
      <c r="AB76" s="50"/>
      <c r="AC76" s="52"/>
      <c r="AD76" s="52"/>
      <c r="AE76" s="52"/>
      <c r="AF76" s="52"/>
      <c r="AG76" s="52"/>
      <c r="AH76" s="52"/>
    </row>
    <row r="77" spans="1:34">
      <c r="A77" s="151"/>
      <c r="B77" s="151"/>
      <c r="C77" s="151"/>
      <c r="D77" s="151"/>
      <c r="E77" s="151"/>
      <c r="F77" s="151"/>
      <c r="G77" s="151"/>
      <c r="H77" s="151"/>
      <c r="I77" s="151"/>
      <c r="J77" s="151"/>
      <c r="K77" s="151"/>
      <c r="L77" s="151"/>
      <c r="M77" s="151"/>
      <c r="N77" s="151"/>
      <c r="O77" s="50"/>
      <c r="P77" s="50"/>
      <c r="Q77" s="50"/>
      <c r="R77" s="50"/>
      <c r="S77" s="50"/>
      <c r="T77" s="50"/>
      <c r="U77" s="50"/>
      <c r="V77" s="50"/>
      <c r="W77" s="50"/>
      <c r="X77" s="50"/>
      <c r="Y77" s="50"/>
      <c r="Z77" s="50"/>
      <c r="AA77" s="50"/>
      <c r="AB77" s="50"/>
      <c r="AC77" s="52"/>
      <c r="AD77" s="52"/>
      <c r="AE77" s="52"/>
      <c r="AF77" s="52"/>
      <c r="AG77" s="52"/>
      <c r="AH77" s="52"/>
    </row>
    <row r="78" spans="1:34">
      <c r="A78" s="151"/>
      <c r="B78" s="151"/>
      <c r="C78" s="151"/>
      <c r="D78" s="151"/>
      <c r="E78" s="151"/>
      <c r="F78" s="151"/>
      <c r="G78" s="151"/>
      <c r="H78" s="151"/>
      <c r="I78" s="151"/>
      <c r="J78" s="151"/>
      <c r="K78" s="151"/>
      <c r="L78" s="151"/>
      <c r="M78" s="151"/>
      <c r="N78" s="151"/>
      <c r="O78" s="50"/>
      <c r="P78" s="50"/>
      <c r="Q78" s="50"/>
      <c r="R78" s="50"/>
      <c r="S78" s="50"/>
      <c r="T78" s="50"/>
      <c r="U78" s="50"/>
      <c r="V78" s="50"/>
      <c r="W78" s="50"/>
      <c r="X78" s="50"/>
      <c r="Y78" s="50"/>
      <c r="Z78" s="50"/>
      <c r="AA78" s="50"/>
      <c r="AB78" s="50"/>
      <c r="AC78" s="52"/>
      <c r="AD78" s="52"/>
      <c r="AE78" s="52"/>
      <c r="AF78" s="52"/>
      <c r="AG78" s="52"/>
      <c r="AH78" s="52"/>
    </row>
    <row r="79" spans="1:34">
      <c r="A79" s="151"/>
      <c r="B79" s="151"/>
      <c r="C79" s="151"/>
      <c r="D79" s="151"/>
      <c r="E79" s="151"/>
      <c r="F79" s="151"/>
      <c r="G79" s="151"/>
      <c r="H79" s="151"/>
      <c r="I79" s="151"/>
      <c r="J79" s="151"/>
      <c r="K79" s="151"/>
      <c r="L79" s="151"/>
      <c r="M79" s="151"/>
      <c r="N79" s="151"/>
      <c r="O79" s="50"/>
      <c r="P79" s="50"/>
      <c r="Q79" s="50"/>
      <c r="R79" s="50"/>
      <c r="S79" s="50"/>
      <c r="T79" s="50"/>
      <c r="U79" s="50"/>
      <c r="V79" s="50"/>
      <c r="W79" s="50"/>
      <c r="X79" s="50"/>
      <c r="Y79" s="50"/>
      <c r="Z79" s="50"/>
      <c r="AA79" s="50"/>
      <c r="AB79" s="50"/>
      <c r="AC79" s="52"/>
      <c r="AD79" s="52"/>
      <c r="AE79" s="52"/>
      <c r="AF79" s="52"/>
      <c r="AG79" s="52"/>
      <c r="AH79" s="52"/>
    </row>
    <row r="80" spans="1:34">
      <c r="A80" s="151"/>
      <c r="B80" s="151"/>
      <c r="C80" s="151"/>
      <c r="D80" s="151"/>
      <c r="E80" s="151"/>
      <c r="F80" s="151"/>
      <c r="G80" s="151"/>
      <c r="H80" s="151"/>
      <c r="I80" s="151"/>
      <c r="J80" s="151"/>
      <c r="K80" s="151"/>
      <c r="L80" s="151"/>
      <c r="M80" s="151"/>
      <c r="N80" s="151"/>
      <c r="O80" s="50"/>
      <c r="P80" s="50"/>
      <c r="Q80" s="50"/>
      <c r="R80" s="50"/>
      <c r="S80" s="50"/>
      <c r="T80" s="50"/>
      <c r="U80" s="50"/>
      <c r="V80" s="50"/>
      <c r="W80" s="50"/>
      <c r="X80" s="50"/>
      <c r="Y80" s="50"/>
      <c r="Z80" s="50"/>
      <c r="AA80" s="50"/>
      <c r="AB80" s="50"/>
      <c r="AC80" s="52"/>
      <c r="AD80" s="52"/>
      <c r="AE80" s="52"/>
      <c r="AF80" s="52"/>
      <c r="AG80" s="52"/>
      <c r="AH80" s="52"/>
    </row>
    <row r="81" spans="1:34">
      <c r="A81" s="151"/>
      <c r="B81" s="151"/>
      <c r="C81" s="151"/>
      <c r="D81" s="151"/>
      <c r="E81" s="151"/>
      <c r="F81" s="151"/>
      <c r="G81" s="151"/>
      <c r="H81" s="151"/>
      <c r="I81" s="151"/>
      <c r="J81" s="151"/>
      <c r="K81" s="151"/>
      <c r="L81" s="151"/>
      <c r="M81" s="151"/>
      <c r="N81" s="151"/>
      <c r="O81" s="50"/>
      <c r="P81" s="50"/>
      <c r="Q81" s="50"/>
      <c r="R81" s="50"/>
      <c r="S81" s="50"/>
      <c r="T81" s="50"/>
      <c r="U81" s="50"/>
      <c r="V81" s="50"/>
      <c r="W81" s="50"/>
      <c r="X81" s="50"/>
      <c r="Y81" s="50"/>
      <c r="Z81" s="50"/>
      <c r="AA81" s="50"/>
      <c r="AB81" s="50"/>
      <c r="AC81" s="52"/>
      <c r="AD81" s="52"/>
      <c r="AE81" s="52"/>
      <c r="AF81" s="52"/>
      <c r="AG81" s="52"/>
      <c r="AH81" s="52"/>
    </row>
    <row r="82" spans="1:34">
      <c r="A82" s="151"/>
      <c r="B82" s="151"/>
      <c r="C82" s="151"/>
      <c r="D82" s="151"/>
      <c r="E82" s="151"/>
      <c r="F82" s="151"/>
      <c r="G82" s="151"/>
      <c r="H82" s="151"/>
      <c r="I82" s="151"/>
      <c r="J82" s="151"/>
      <c r="K82" s="151"/>
      <c r="L82" s="151"/>
      <c r="M82" s="151"/>
      <c r="N82" s="151"/>
      <c r="O82" s="50"/>
      <c r="P82" s="50"/>
      <c r="Q82" s="50"/>
      <c r="R82" s="50"/>
      <c r="S82" s="50"/>
      <c r="T82" s="50"/>
      <c r="U82" s="50"/>
      <c r="V82" s="50"/>
      <c r="W82" s="50"/>
      <c r="X82" s="50"/>
      <c r="Y82" s="50"/>
      <c r="Z82" s="50"/>
      <c r="AA82" s="50"/>
      <c r="AB82" s="50"/>
      <c r="AC82" s="52"/>
      <c r="AD82" s="52"/>
      <c r="AE82" s="52"/>
      <c r="AF82" s="52"/>
      <c r="AG82" s="52"/>
      <c r="AH82" s="52"/>
    </row>
    <row r="83" spans="1:34">
      <c r="A83" s="151"/>
      <c r="B83" s="151"/>
      <c r="C83" s="151"/>
      <c r="D83" s="151"/>
      <c r="E83" s="151"/>
      <c r="F83" s="151"/>
      <c r="G83" s="151"/>
      <c r="H83" s="151"/>
      <c r="I83" s="151"/>
      <c r="J83" s="151"/>
      <c r="K83" s="151"/>
      <c r="L83" s="151"/>
      <c r="M83" s="151"/>
      <c r="N83" s="151"/>
      <c r="O83" s="50"/>
      <c r="P83" s="50"/>
      <c r="Q83" s="50"/>
      <c r="R83" s="50"/>
      <c r="S83" s="50"/>
      <c r="T83" s="50"/>
      <c r="U83" s="50"/>
      <c r="V83" s="50"/>
      <c r="W83" s="50"/>
      <c r="X83" s="50"/>
      <c r="Y83" s="50"/>
      <c r="Z83" s="50"/>
      <c r="AA83" s="50"/>
      <c r="AB83" s="50"/>
      <c r="AC83" s="52"/>
      <c r="AD83" s="52"/>
      <c r="AE83" s="52"/>
      <c r="AF83" s="52"/>
      <c r="AG83" s="52"/>
      <c r="AH83" s="52"/>
    </row>
    <row r="84" spans="1:34">
      <c r="A84" s="151"/>
      <c r="B84" s="151"/>
      <c r="C84" s="151"/>
      <c r="D84" s="151"/>
      <c r="E84" s="151"/>
      <c r="F84" s="151"/>
      <c r="G84" s="151"/>
      <c r="H84" s="151"/>
      <c r="I84" s="151"/>
      <c r="J84" s="151"/>
      <c r="K84" s="151"/>
      <c r="L84" s="151"/>
      <c r="M84" s="151"/>
      <c r="N84" s="151"/>
      <c r="O84" s="50"/>
      <c r="P84" s="50"/>
      <c r="Q84" s="50"/>
      <c r="R84" s="50"/>
      <c r="S84" s="50"/>
      <c r="T84" s="50"/>
      <c r="U84" s="50"/>
      <c r="V84" s="50"/>
      <c r="W84" s="50"/>
      <c r="X84" s="50"/>
      <c r="Y84" s="50"/>
      <c r="Z84" s="50"/>
      <c r="AA84" s="50"/>
      <c r="AB84" s="50"/>
      <c r="AC84" s="52"/>
      <c r="AD84" s="52"/>
      <c r="AE84" s="52"/>
      <c r="AF84" s="52"/>
      <c r="AG84" s="52"/>
      <c r="AH84" s="52"/>
    </row>
    <row r="85" spans="1:34">
      <c r="A85" s="151"/>
      <c r="B85" s="151"/>
      <c r="C85" s="151"/>
      <c r="D85" s="151"/>
      <c r="E85" s="151"/>
      <c r="F85" s="151"/>
      <c r="G85" s="151"/>
      <c r="H85" s="151"/>
      <c r="I85" s="151"/>
      <c r="J85" s="151"/>
      <c r="K85" s="151"/>
      <c r="L85" s="151"/>
      <c r="M85" s="151"/>
      <c r="N85" s="151"/>
      <c r="O85" s="50"/>
      <c r="P85" s="50"/>
      <c r="Q85" s="50"/>
      <c r="R85" s="50"/>
      <c r="S85" s="50"/>
      <c r="T85" s="50"/>
      <c r="U85" s="50"/>
      <c r="V85" s="50"/>
      <c r="W85" s="50"/>
      <c r="X85" s="50"/>
      <c r="Y85" s="50"/>
      <c r="Z85" s="50"/>
      <c r="AA85" s="50"/>
      <c r="AB85" s="50"/>
      <c r="AC85" s="52"/>
      <c r="AD85" s="52"/>
      <c r="AE85" s="52"/>
      <c r="AF85" s="52"/>
      <c r="AG85" s="52"/>
      <c r="AH85" s="52"/>
    </row>
    <row r="86" spans="1:34">
      <c r="A86" s="151"/>
      <c r="B86" s="151"/>
      <c r="C86" s="151"/>
      <c r="D86" s="151"/>
      <c r="E86" s="151"/>
      <c r="F86" s="151"/>
      <c r="G86" s="151"/>
      <c r="H86" s="151"/>
      <c r="I86" s="151"/>
      <c r="J86" s="151"/>
      <c r="K86" s="151"/>
      <c r="L86" s="151"/>
      <c r="M86" s="151"/>
      <c r="N86" s="151"/>
      <c r="O86" s="50"/>
      <c r="P86" s="50"/>
      <c r="Q86" s="50"/>
      <c r="R86" s="50"/>
      <c r="S86" s="50"/>
      <c r="T86" s="50"/>
      <c r="U86" s="50"/>
      <c r="V86" s="50"/>
      <c r="W86" s="50"/>
      <c r="X86" s="50"/>
      <c r="Y86" s="50"/>
      <c r="Z86" s="50"/>
      <c r="AA86" s="50"/>
      <c r="AB86" s="50"/>
      <c r="AC86" s="52"/>
      <c r="AD86" s="52"/>
      <c r="AE86" s="52"/>
      <c r="AF86" s="52"/>
      <c r="AG86" s="52"/>
      <c r="AH86" s="52"/>
    </row>
    <row r="87" spans="1:34">
      <c r="A87" s="151"/>
      <c r="B87" s="151"/>
      <c r="C87" s="151"/>
      <c r="D87" s="151"/>
      <c r="E87" s="151"/>
      <c r="F87" s="151"/>
      <c r="G87" s="151"/>
      <c r="H87" s="151"/>
      <c r="I87" s="151"/>
      <c r="J87" s="151"/>
      <c r="K87" s="151"/>
      <c r="L87" s="151"/>
      <c r="M87" s="151"/>
      <c r="N87" s="151"/>
      <c r="O87" s="50"/>
      <c r="P87" s="50"/>
      <c r="Q87" s="50"/>
      <c r="R87" s="50"/>
      <c r="S87" s="50"/>
      <c r="T87" s="50"/>
      <c r="U87" s="50"/>
      <c r="V87" s="50"/>
      <c r="W87" s="50"/>
      <c r="X87" s="50"/>
      <c r="Y87" s="50"/>
      <c r="Z87" s="50"/>
      <c r="AA87" s="50"/>
      <c r="AB87" s="50"/>
      <c r="AC87" s="52"/>
      <c r="AD87" s="52"/>
      <c r="AE87" s="52"/>
      <c r="AF87" s="52"/>
      <c r="AG87" s="52"/>
      <c r="AH87" s="52"/>
    </row>
    <row r="88" spans="1:34">
      <c r="A88" s="151"/>
      <c r="B88" s="151"/>
      <c r="C88" s="151"/>
      <c r="D88" s="151"/>
      <c r="E88" s="151"/>
      <c r="F88" s="151"/>
      <c r="G88" s="151"/>
      <c r="H88" s="151"/>
      <c r="I88" s="151"/>
      <c r="J88" s="151"/>
      <c r="K88" s="151"/>
      <c r="L88" s="151"/>
      <c r="M88" s="151"/>
      <c r="N88" s="151"/>
      <c r="O88" s="50"/>
      <c r="P88" s="50"/>
      <c r="Q88" s="50"/>
      <c r="R88" s="50"/>
      <c r="S88" s="50"/>
      <c r="T88" s="50"/>
      <c r="U88" s="50"/>
      <c r="V88" s="50"/>
      <c r="W88" s="50"/>
      <c r="X88" s="50"/>
      <c r="Y88" s="50"/>
      <c r="Z88" s="50"/>
      <c r="AA88" s="50"/>
      <c r="AB88" s="50"/>
      <c r="AC88" s="52"/>
      <c r="AD88" s="52"/>
      <c r="AE88" s="52"/>
      <c r="AF88" s="52"/>
      <c r="AG88" s="52"/>
      <c r="AH88" s="52"/>
    </row>
    <row r="89" spans="1:34">
      <c r="A89" s="151"/>
      <c r="B89" s="151"/>
      <c r="C89" s="151"/>
      <c r="D89" s="151"/>
      <c r="E89" s="151"/>
      <c r="F89" s="151"/>
      <c r="G89" s="151"/>
      <c r="H89" s="151"/>
      <c r="I89" s="151"/>
      <c r="J89" s="151"/>
      <c r="K89" s="151"/>
      <c r="L89" s="151"/>
      <c r="M89" s="151"/>
      <c r="N89" s="151"/>
      <c r="O89" s="50"/>
      <c r="P89" s="50"/>
      <c r="Q89" s="50"/>
      <c r="R89" s="50"/>
      <c r="S89" s="50"/>
      <c r="T89" s="50"/>
      <c r="U89" s="50"/>
      <c r="V89" s="50"/>
      <c r="W89" s="50"/>
      <c r="X89" s="50"/>
      <c r="Y89" s="50"/>
      <c r="Z89" s="50"/>
      <c r="AA89" s="50"/>
      <c r="AB89" s="50"/>
      <c r="AC89" s="52"/>
      <c r="AD89" s="52"/>
      <c r="AE89" s="52"/>
      <c r="AF89" s="52"/>
      <c r="AG89" s="52"/>
      <c r="AH89" s="52"/>
    </row>
    <row r="90" spans="1:34">
      <c r="A90" s="151"/>
      <c r="B90" s="151"/>
      <c r="C90" s="151"/>
      <c r="D90" s="151"/>
      <c r="E90" s="151"/>
      <c r="F90" s="151"/>
      <c r="G90" s="151"/>
      <c r="H90" s="151"/>
      <c r="I90" s="151"/>
      <c r="J90" s="151"/>
      <c r="K90" s="151"/>
      <c r="L90" s="151"/>
      <c r="M90" s="151"/>
      <c r="N90" s="151"/>
      <c r="O90" s="50"/>
      <c r="P90" s="50"/>
      <c r="Q90" s="50"/>
      <c r="R90" s="50"/>
      <c r="S90" s="50"/>
      <c r="T90" s="50"/>
      <c r="U90" s="50"/>
      <c r="V90" s="50"/>
      <c r="W90" s="50"/>
      <c r="X90" s="50"/>
      <c r="Y90" s="50"/>
      <c r="Z90" s="50"/>
      <c r="AA90" s="50"/>
      <c r="AB90" s="50"/>
      <c r="AC90" s="52"/>
      <c r="AD90" s="52"/>
      <c r="AE90" s="52"/>
      <c r="AF90" s="52"/>
      <c r="AG90" s="52"/>
      <c r="AH90" s="52"/>
    </row>
    <row r="91" spans="1:34">
      <c r="A91" s="151"/>
      <c r="B91" s="151"/>
      <c r="C91" s="151"/>
      <c r="D91" s="151"/>
      <c r="E91" s="151"/>
      <c r="F91" s="151"/>
      <c r="G91" s="151"/>
      <c r="H91" s="151"/>
      <c r="I91" s="151"/>
      <c r="J91" s="151"/>
      <c r="K91" s="151"/>
      <c r="L91" s="151"/>
      <c r="M91" s="151"/>
      <c r="N91" s="151"/>
      <c r="O91" s="50"/>
      <c r="P91" s="50"/>
      <c r="Q91" s="50"/>
      <c r="R91" s="50"/>
      <c r="S91" s="50"/>
      <c r="T91" s="50"/>
      <c r="U91" s="50"/>
      <c r="V91" s="50"/>
      <c r="W91" s="50"/>
      <c r="X91" s="50"/>
      <c r="Y91" s="50"/>
      <c r="Z91" s="50"/>
      <c r="AA91" s="50"/>
      <c r="AB91" s="50"/>
      <c r="AC91" s="52"/>
      <c r="AD91" s="52"/>
      <c r="AE91" s="52"/>
      <c r="AF91" s="52"/>
      <c r="AG91" s="52"/>
      <c r="AH91" s="52"/>
    </row>
    <row r="92" spans="1:34">
      <c r="A92" s="151"/>
      <c r="B92" s="151"/>
      <c r="C92" s="151"/>
      <c r="D92" s="151"/>
      <c r="E92" s="151"/>
      <c r="F92" s="151"/>
      <c r="G92" s="151"/>
      <c r="H92" s="151"/>
      <c r="I92" s="151"/>
      <c r="J92" s="151"/>
      <c r="K92" s="151"/>
      <c r="L92" s="151"/>
      <c r="M92" s="151"/>
      <c r="N92" s="151"/>
      <c r="O92" s="50"/>
      <c r="P92" s="50"/>
      <c r="Q92" s="50"/>
      <c r="R92" s="50"/>
      <c r="S92" s="50"/>
      <c r="T92" s="50"/>
      <c r="U92" s="50"/>
      <c r="V92" s="50"/>
      <c r="W92" s="50"/>
      <c r="X92" s="50"/>
      <c r="Y92" s="50"/>
      <c r="Z92" s="50"/>
      <c r="AA92" s="50"/>
      <c r="AB92" s="50"/>
      <c r="AC92" s="52"/>
      <c r="AD92" s="52"/>
      <c r="AE92" s="52"/>
      <c r="AF92" s="52"/>
      <c r="AG92" s="52"/>
      <c r="AH92" s="52"/>
    </row>
    <row r="93" spans="1:34">
      <c r="A93" s="151"/>
      <c r="B93" s="151"/>
      <c r="C93" s="151"/>
      <c r="D93" s="151"/>
      <c r="E93" s="151"/>
      <c r="F93" s="151"/>
      <c r="G93" s="151"/>
      <c r="H93" s="151"/>
      <c r="I93" s="151"/>
      <c r="J93" s="151"/>
      <c r="K93" s="151"/>
      <c r="L93" s="151"/>
      <c r="M93" s="151"/>
      <c r="N93" s="151"/>
      <c r="O93" s="50"/>
      <c r="P93" s="50"/>
      <c r="Q93" s="50"/>
      <c r="R93" s="50"/>
      <c r="S93" s="50"/>
      <c r="T93" s="50"/>
      <c r="U93" s="50"/>
      <c r="V93" s="50"/>
      <c r="W93" s="50"/>
      <c r="X93" s="50"/>
      <c r="Y93" s="50"/>
      <c r="Z93" s="50"/>
      <c r="AA93" s="50"/>
      <c r="AB93" s="50"/>
      <c r="AC93" s="52"/>
      <c r="AD93" s="52"/>
      <c r="AE93" s="52"/>
      <c r="AF93" s="52"/>
      <c r="AG93" s="52"/>
      <c r="AH93" s="52"/>
    </row>
    <row r="94" spans="1:34">
      <c r="A94" s="151"/>
      <c r="B94" s="151"/>
      <c r="C94" s="151"/>
      <c r="D94" s="151"/>
      <c r="E94" s="151"/>
      <c r="F94" s="151"/>
      <c r="G94" s="151"/>
      <c r="H94" s="151"/>
      <c r="I94" s="151"/>
      <c r="J94" s="151"/>
      <c r="K94" s="151"/>
      <c r="L94" s="151"/>
      <c r="M94" s="151"/>
      <c r="N94" s="151"/>
      <c r="O94" s="50"/>
      <c r="P94" s="50"/>
      <c r="Q94" s="50"/>
      <c r="R94" s="50"/>
      <c r="S94" s="50"/>
      <c r="T94" s="50"/>
      <c r="U94" s="50"/>
      <c r="V94" s="50"/>
      <c r="W94" s="50"/>
      <c r="X94" s="50"/>
      <c r="Y94" s="50"/>
      <c r="Z94" s="50"/>
      <c r="AA94" s="50"/>
      <c r="AB94" s="50"/>
      <c r="AC94" s="52"/>
      <c r="AD94" s="52"/>
      <c r="AE94" s="52"/>
      <c r="AF94" s="52"/>
      <c r="AG94" s="52"/>
      <c r="AH94" s="52"/>
    </row>
    <row r="95" spans="1:34">
      <c r="A95" s="151"/>
      <c r="B95" s="151"/>
      <c r="C95" s="151"/>
      <c r="D95" s="151"/>
      <c r="E95" s="151"/>
      <c r="F95" s="151"/>
      <c r="G95" s="151"/>
      <c r="H95" s="151"/>
      <c r="I95" s="151"/>
      <c r="J95" s="151"/>
      <c r="K95" s="151"/>
      <c r="L95" s="151"/>
      <c r="M95" s="151"/>
      <c r="N95" s="151"/>
      <c r="O95" s="50"/>
      <c r="P95" s="50"/>
      <c r="Q95" s="50"/>
      <c r="R95" s="50"/>
      <c r="S95" s="50"/>
      <c r="T95" s="50"/>
      <c r="U95" s="50"/>
      <c r="V95" s="50"/>
      <c r="W95" s="50"/>
      <c r="X95" s="50"/>
      <c r="Y95" s="50"/>
      <c r="Z95" s="50"/>
      <c r="AA95" s="50"/>
      <c r="AB95" s="50"/>
      <c r="AC95" s="52"/>
      <c r="AD95" s="52"/>
      <c r="AE95" s="52"/>
      <c r="AF95" s="52"/>
      <c r="AG95" s="52"/>
      <c r="AH95" s="52"/>
    </row>
    <row r="96" spans="1:34">
      <c r="A96" s="151"/>
      <c r="B96" s="151"/>
      <c r="C96" s="151"/>
      <c r="D96" s="151"/>
      <c r="E96" s="151"/>
      <c r="F96" s="151"/>
      <c r="G96" s="151"/>
      <c r="H96" s="151"/>
      <c r="I96" s="151"/>
      <c r="J96" s="151"/>
      <c r="K96" s="151"/>
      <c r="L96" s="151"/>
      <c r="M96" s="151"/>
      <c r="N96" s="151"/>
      <c r="O96" s="50"/>
      <c r="P96" s="50"/>
      <c r="Q96" s="50"/>
      <c r="R96" s="50"/>
      <c r="S96" s="50"/>
      <c r="T96" s="50"/>
      <c r="U96" s="50"/>
      <c r="V96" s="50"/>
      <c r="W96" s="50"/>
      <c r="X96" s="50"/>
      <c r="Y96" s="50"/>
      <c r="Z96" s="50"/>
      <c r="AA96" s="50"/>
      <c r="AB96" s="50"/>
      <c r="AC96" s="52"/>
      <c r="AD96" s="52"/>
      <c r="AE96" s="52"/>
      <c r="AF96" s="52"/>
      <c r="AG96" s="52"/>
      <c r="AH96" s="52"/>
    </row>
    <row r="97" spans="1:34">
      <c r="A97" s="151"/>
      <c r="B97" s="151"/>
      <c r="C97" s="151"/>
      <c r="D97" s="151"/>
      <c r="E97" s="151"/>
      <c r="F97" s="151"/>
      <c r="G97" s="151"/>
      <c r="H97" s="151"/>
      <c r="I97" s="151"/>
      <c r="J97" s="151"/>
      <c r="K97" s="151"/>
      <c r="L97" s="151"/>
      <c r="M97" s="151"/>
      <c r="N97" s="151"/>
      <c r="O97" s="50"/>
      <c r="P97" s="50"/>
      <c r="Q97" s="50"/>
      <c r="R97" s="50"/>
      <c r="S97" s="50"/>
      <c r="T97" s="50"/>
      <c r="U97" s="50"/>
      <c r="V97" s="50"/>
      <c r="W97" s="50"/>
      <c r="X97" s="50"/>
      <c r="Y97" s="50"/>
      <c r="Z97" s="50"/>
      <c r="AA97" s="50"/>
      <c r="AB97" s="50"/>
      <c r="AC97" s="52"/>
      <c r="AD97" s="52"/>
      <c r="AE97" s="52"/>
      <c r="AF97" s="52"/>
      <c r="AG97" s="52"/>
      <c r="AH97" s="52"/>
    </row>
    <row r="98" spans="1:34">
      <c r="A98" s="151"/>
      <c r="B98" s="151"/>
      <c r="C98" s="151"/>
      <c r="D98" s="151"/>
      <c r="E98" s="151"/>
      <c r="F98" s="151"/>
      <c r="G98" s="151"/>
      <c r="H98" s="151"/>
      <c r="I98" s="151"/>
      <c r="J98" s="151"/>
      <c r="K98" s="151"/>
      <c r="L98" s="151"/>
      <c r="M98" s="151"/>
      <c r="N98" s="151"/>
      <c r="O98" s="50"/>
      <c r="P98" s="50"/>
      <c r="Q98" s="50"/>
      <c r="R98" s="50"/>
      <c r="S98" s="50"/>
      <c r="T98" s="50"/>
      <c r="U98" s="50"/>
      <c r="V98" s="50"/>
      <c r="W98" s="50"/>
      <c r="X98" s="50"/>
      <c r="Y98" s="50"/>
      <c r="Z98" s="50"/>
      <c r="AA98" s="50"/>
      <c r="AB98" s="50"/>
      <c r="AC98" s="52"/>
      <c r="AD98" s="52"/>
      <c r="AE98" s="52"/>
      <c r="AF98" s="52"/>
      <c r="AG98" s="52"/>
      <c r="AH98" s="52"/>
    </row>
    <row r="99" spans="1:34">
      <c r="A99" s="151"/>
      <c r="B99" s="151"/>
      <c r="C99" s="151"/>
      <c r="D99" s="151"/>
      <c r="E99" s="151"/>
      <c r="F99" s="151"/>
      <c r="G99" s="151"/>
      <c r="H99" s="151"/>
      <c r="I99" s="151"/>
      <c r="J99" s="151"/>
      <c r="K99" s="151"/>
      <c r="L99" s="151"/>
      <c r="M99" s="151"/>
      <c r="N99" s="151"/>
      <c r="O99" s="50"/>
      <c r="P99" s="50"/>
      <c r="Q99" s="50"/>
      <c r="R99" s="50"/>
      <c r="S99" s="50"/>
      <c r="T99" s="50"/>
      <c r="U99" s="50"/>
      <c r="V99" s="50"/>
      <c r="W99" s="50"/>
      <c r="X99" s="50"/>
      <c r="Y99" s="50"/>
      <c r="Z99" s="50"/>
      <c r="AA99" s="50"/>
      <c r="AB99" s="50"/>
      <c r="AC99" s="52"/>
      <c r="AD99" s="52"/>
      <c r="AE99" s="52"/>
      <c r="AF99" s="52"/>
      <c r="AG99" s="52"/>
      <c r="AH99" s="52"/>
    </row>
    <row r="100" spans="1:34">
      <c r="A100" s="151"/>
      <c r="B100" s="151"/>
      <c r="C100" s="151"/>
      <c r="D100" s="151"/>
      <c r="E100" s="151"/>
      <c r="F100" s="151"/>
      <c r="G100" s="151"/>
      <c r="H100" s="151"/>
      <c r="I100" s="151"/>
      <c r="J100" s="151"/>
      <c r="K100" s="151"/>
      <c r="L100" s="151"/>
      <c r="M100" s="151"/>
      <c r="N100" s="151"/>
      <c r="O100" s="50"/>
      <c r="P100" s="50"/>
      <c r="Q100" s="50"/>
      <c r="R100" s="50"/>
      <c r="S100" s="50"/>
      <c r="T100" s="50"/>
      <c r="U100" s="50"/>
      <c r="V100" s="50"/>
      <c r="W100" s="50"/>
      <c r="X100" s="50"/>
      <c r="Y100" s="50"/>
      <c r="Z100" s="50"/>
      <c r="AA100" s="50"/>
      <c r="AB100" s="50"/>
      <c r="AC100" s="52"/>
      <c r="AD100" s="52"/>
      <c r="AE100" s="52"/>
      <c r="AF100" s="52"/>
      <c r="AG100" s="52"/>
      <c r="AH100" s="52"/>
    </row>
    <row r="101" spans="1:34">
      <c r="A101" s="151"/>
      <c r="B101" s="151"/>
      <c r="C101" s="151"/>
      <c r="D101" s="151"/>
      <c r="E101" s="151"/>
      <c r="F101" s="151"/>
      <c r="G101" s="151"/>
      <c r="H101" s="151"/>
      <c r="I101" s="151"/>
      <c r="J101" s="151"/>
      <c r="K101" s="151"/>
      <c r="L101" s="151"/>
      <c r="M101" s="151"/>
      <c r="N101" s="151"/>
      <c r="O101" s="50"/>
      <c r="P101" s="50"/>
      <c r="Q101" s="50"/>
      <c r="R101" s="50"/>
      <c r="S101" s="50"/>
      <c r="T101" s="50"/>
      <c r="U101" s="50"/>
      <c r="V101" s="50"/>
      <c r="W101" s="50"/>
      <c r="X101" s="50"/>
      <c r="Y101" s="50"/>
      <c r="Z101" s="50"/>
      <c r="AA101" s="50"/>
      <c r="AB101" s="50"/>
      <c r="AC101" s="52"/>
      <c r="AD101" s="52"/>
      <c r="AE101" s="52"/>
      <c r="AF101" s="52"/>
      <c r="AG101" s="52"/>
      <c r="AH101" s="52"/>
    </row>
    <row r="102" spans="1:34">
      <c r="A102" s="151"/>
      <c r="B102" s="151"/>
      <c r="C102" s="151"/>
      <c r="D102" s="151"/>
      <c r="E102" s="151"/>
      <c r="F102" s="151"/>
      <c r="G102" s="151"/>
      <c r="H102" s="151"/>
      <c r="I102" s="151"/>
      <c r="J102" s="151"/>
      <c r="K102" s="151"/>
      <c r="L102" s="151"/>
      <c r="M102" s="151"/>
      <c r="N102" s="151"/>
      <c r="O102" s="50"/>
      <c r="P102" s="50"/>
      <c r="Q102" s="50"/>
      <c r="R102" s="50"/>
      <c r="S102" s="50"/>
      <c r="T102" s="50"/>
      <c r="U102" s="50"/>
      <c r="V102" s="50"/>
      <c r="W102" s="50"/>
      <c r="X102" s="50"/>
      <c r="Y102" s="50"/>
      <c r="Z102" s="50"/>
      <c r="AA102" s="50"/>
      <c r="AB102" s="50"/>
      <c r="AC102" s="52"/>
      <c r="AD102" s="52"/>
      <c r="AE102" s="52"/>
      <c r="AF102" s="52"/>
      <c r="AG102" s="52"/>
      <c r="AH102" s="52"/>
    </row>
    <row r="103" spans="1:34">
      <c r="A103" s="151"/>
      <c r="B103" s="151"/>
      <c r="C103" s="151"/>
      <c r="D103" s="151"/>
      <c r="E103" s="151"/>
      <c r="F103" s="151"/>
      <c r="G103" s="151"/>
      <c r="H103" s="151"/>
      <c r="I103" s="151"/>
      <c r="J103" s="151"/>
      <c r="K103" s="151"/>
      <c r="L103" s="151"/>
      <c r="M103" s="151"/>
      <c r="N103" s="151"/>
      <c r="O103" s="50"/>
      <c r="P103" s="50"/>
      <c r="Q103" s="50"/>
      <c r="R103" s="50"/>
      <c r="S103" s="50"/>
      <c r="T103" s="50"/>
      <c r="U103" s="50"/>
      <c r="V103" s="50"/>
      <c r="W103" s="50"/>
      <c r="X103" s="50"/>
      <c r="Y103" s="50"/>
      <c r="Z103" s="50"/>
      <c r="AA103" s="50"/>
      <c r="AB103" s="50"/>
      <c r="AC103" s="52"/>
      <c r="AD103" s="52"/>
      <c r="AE103" s="52"/>
      <c r="AF103" s="52"/>
      <c r="AG103" s="52"/>
      <c r="AH103" s="52"/>
    </row>
    <row r="104" spans="1:34">
      <c r="A104" s="151"/>
      <c r="B104" s="151"/>
      <c r="C104" s="151"/>
      <c r="D104" s="151"/>
      <c r="E104" s="151"/>
      <c r="F104" s="151"/>
      <c r="G104" s="151"/>
      <c r="H104" s="151"/>
      <c r="I104" s="151"/>
      <c r="J104" s="151"/>
      <c r="K104" s="151"/>
      <c r="L104" s="151"/>
      <c r="M104" s="151"/>
      <c r="N104" s="151"/>
      <c r="O104" s="50"/>
      <c r="P104" s="50"/>
      <c r="Q104" s="50"/>
      <c r="R104" s="50"/>
      <c r="S104" s="50"/>
      <c r="T104" s="50"/>
      <c r="U104" s="50"/>
      <c r="V104" s="50"/>
      <c r="W104" s="50"/>
      <c r="X104" s="50"/>
      <c r="Y104" s="50"/>
      <c r="Z104" s="50"/>
      <c r="AA104" s="50"/>
      <c r="AB104" s="50"/>
      <c r="AC104" s="52"/>
      <c r="AD104" s="52"/>
      <c r="AE104" s="52"/>
      <c r="AF104" s="52"/>
      <c r="AG104" s="52"/>
      <c r="AH104" s="52"/>
    </row>
    <row r="105" spans="1:34">
      <c r="A105" s="151"/>
      <c r="B105" s="151"/>
      <c r="C105" s="151"/>
      <c r="D105" s="151"/>
      <c r="E105" s="151"/>
      <c r="F105" s="151"/>
      <c r="G105" s="151"/>
      <c r="H105" s="151"/>
      <c r="I105" s="151"/>
      <c r="J105" s="151"/>
      <c r="K105" s="151"/>
      <c r="L105" s="151"/>
      <c r="M105" s="151"/>
      <c r="N105" s="151"/>
      <c r="O105" s="50"/>
      <c r="P105" s="50"/>
      <c r="Q105" s="50"/>
      <c r="R105" s="50"/>
      <c r="S105" s="50"/>
      <c r="T105" s="50"/>
      <c r="U105" s="50"/>
      <c r="V105" s="50"/>
      <c r="W105" s="50"/>
      <c r="X105" s="50"/>
      <c r="Y105" s="50"/>
      <c r="Z105" s="50"/>
      <c r="AA105" s="50"/>
      <c r="AB105" s="50"/>
      <c r="AC105" s="52"/>
      <c r="AD105" s="52"/>
      <c r="AE105" s="52"/>
      <c r="AF105" s="52"/>
      <c r="AG105" s="52"/>
      <c r="AH105" s="52"/>
    </row>
    <row r="106" spans="1:34">
      <c r="A106" s="167"/>
      <c r="B106" s="167"/>
      <c r="C106" s="167"/>
      <c r="D106" s="167"/>
      <c r="E106" s="167"/>
      <c r="F106" s="167"/>
      <c r="G106" s="167"/>
      <c r="H106" s="167"/>
      <c r="I106" s="167"/>
      <c r="J106" s="167"/>
      <c r="K106" s="167"/>
      <c r="L106" s="167"/>
      <c r="M106" s="167"/>
      <c r="N106" s="167"/>
      <c r="O106" s="57"/>
      <c r="P106" s="57"/>
      <c r="Q106" s="57"/>
      <c r="R106" s="57"/>
      <c r="S106" s="57"/>
      <c r="T106" s="57"/>
      <c r="U106" s="57"/>
      <c r="V106" s="57"/>
      <c r="W106" s="57"/>
      <c r="X106" s="57"/>
      <c r="Y106" s="52"/>
      <c r="Z106" s="52"/>
      <c r="AA106" s="52"/>
      <c r="AB106" s="52"/>
      <c r="AC106" s="52"/>
      <c r="AD106" s="52"/>
      <c r="AE106" s="52"/>
      <c r="AF106" s="52"/>
      <c r="AG106" s="52"/>
      <c r="AH106" s="52"/>
    </row>
    <row r="107" spans="1:34">
      <c r="A107" s="167"/>
      <c r="B107" s="167"/>
      <c r="C107" s="167"/>
      <c r="D107" s="167"/>
      <c r="E107" s="167"/>
      <c r="F107" s="167"/>
      <c r="G107" s="167"/>
      <c r="H107" s="167"/>
      <c r="I107" s="167"/>
      <c r="J107" s="167"/>
      <c r="K107" s="167"/>
      <c r="L107" s="167"/>
      <c r="M107" s="167"/>
      <c r="N107" s="167"/>
      <c r="O107" s="57"/>
      <c r="P107" s="57"/>
      <c r="Q107" s="57"/>
      <c r="R107" s="57"/>
      <c r="S107" s="57"/>
      <c r="T107" s="57"/>
      <c r="U107" s="57"/>
      <c r="V107" s="57"/>
      <c r="W107" s="57"/>
      <c r="X107" s="57"/>
      <c r="Y107" s="52"/>
      <c r="Z107" s="52"/>
      <c r="AA107" s="52"/>
      <c r="AB107" s="52"/>
      <c r="AC107" s="52"/>
      <c r="AD107" s="52"/>
      <c r="AE107" s="52"/>
      <c r="AF107" s="52"/>
      <c r="AG107" s="52"/>
      <c r="AH107" s="52"/>
    </row>
    <row r="108" spans="1:34">
      <c r="A108" s="167"/>
      <c r="B108" s="167"/>
      <c r="C108" s="167"/>
      <c r="D108" s="167"/>
      <c r="E108" s="167"/>
      <c r="F108" s="167"/>
      <c r="G108" s="167"/>
      <c r="H108" s="167"/>
      <c r="I108" s="167"/>
      <c r="J108" s="167"/>
      <c r="K108" s="167"/>
      <c r="L108" s="167"/>
      <c r="M108" s="167"/>
      <c r="N108" s="167"/>
      <c r="O108" s="57"/>
      <c r="P108" s="57"/>
      <c r="Q108" s="57"/>
      <c r="R108" s="57"/>
      <c r="S108" s="57"/>
      <c r="T108" s="57"/>
      <c r="U108" s="57"/>
      <c r="V108" s="57"/>
      <c r="W108" s="57"/>
      <c r="X108" s="57"/>
      <c r="Y108" s="52"/>
      <c r="Z108" s="52"/>
      <c r="AA108" s="52"/>
      <c r="AB108" s="52"/>
      <c r="AC108" s="52"/>
      <c r="AD108" s="52"/>
      <c r="AE108" s="52"/>
      <c r="AF108" s="52"/>
      <c r="AG108" s="52"/>
      <c r="AH108" s="52"/>
    </row>
    <row r="109" spans="1:34">
      <c r="A109" s="167"/>
      <c r="B109" s="167"/>
      <c r="C109" s="167"/>
      <c r="D109" s="167"/>
      <c r="E109" s="167"/>
      <c r="F109" s="167"/>
      <c r="G109" s="167"/>
      <c r="H109" s="167"/>
      <c r="I109" s="167"/>
      <c r="J109" s="167"/>
      <c r="K109" s="167"/>
      <c r="L109" s="167"/>
      <c r="M109" s="167"/>
      <c r="N109" s="167"/>
      <c r="O109" s="57"/>
      <c r="P109" s="57"/>
      <c r="Q109" s="57"/>
      <c r="R109" s="57"/>
      <c r="S109" s="57"/>
      <c r="T109" s="57"/>
      <c r="U109" s="57"/>
      <c r="V109" s="57"/>
      <c r="W109" s="57"/>
      <c r="X109" s="57"/>
      <c r="Y109" s="52"/>
      <c r="Z109" s="52"/>
      <c r="AA109" s="52"/>
      <c r="AB109" s="52"/>
      <c r="AC109" s="52"/>
      <c r="AD109" s="52"/>
      <c r="AE109" s="52"/>
      <c r="AF109" s="52"/>
      <c r="AG109" s="52"/>
      <c r="AH109" s="52"/>
    </row>
    <row r="110" spans="1:34">
      <c r="A110" s="167"/>
      <c r="B110" s="167"/>
      <c r="C110" s="167"/>
      <c r="D110" s="167"/>
      <c r="E110" s="167"/>
      <c r="F110" s="167"/>
      <c r="G110" s="167"/>
      <c r="H110" s="167"/>
      <c r="I110" s="167"/>
      <c r="J110" s="167"/>
      <c r="K110" s="167"/>
      <c r="L110" s="167"/>
      <c r="M110" s="167"/>
      <c r="N110" s="167"/>
      <c r="O110" s="57"/>
      <c r="P110" s="57"/>
      <c r="Q110" s="57"/>
      <c r="R110" s="57"/>
      <c r="S110" s="57"/>
      <c r="T110" s="57"/>
      <c r="U110" s="57"/>
      <c r="V110" s="57"/>
      <c r="W110" s="57"/>
      <c r="X110" s="57"/>
      <c r="Y110" s="52"/>
      <c r="Z110" s="52"/>
      <c r="AA110" s="52"/>
      <c r="AB110" s="52"/>
      <c r="AC110" s="52"/>
      <c r="AD110" s="52"/>
      <c r="AE110" s="52"/>
      <c r="AF110" s="52"/>
      <c r="AG110" s="52"/>
      <c r="AH110" s="52"/>
    </row>
    <row r="111" spans="1:34">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2"/>
      <c r="Z111" s="52"/>
      <c r="AA111" s="52"/>
      <c r="AB111" s="52"/>
      <c r="AC111" s="52"/>
      <c r="AD111" s="52"/>
      <c r="AE111" s="52"/>
      <c r="AF111" s="52"/>
      <c r="AG111" s="52"/>
      <c r="AH111" s="52"/>
    </row>
    <row r="112" spans="1:34">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row>
    <row r="113" spans="1:34">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row>
    <row r="114" spans="1:3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row>
    <row r="115" spans="1:34">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row>
    <row r="116" spans="1:34">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row>
    <row r="117" spans="1:34">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row>
    <row r="118" spans="1:34">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row>
    <row r="119" spans="1:34">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row>
    <row r="120" spans="1:34">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883A-C850-4314-A48A-13AF1F48F570}">
  <dimension ref="A1:AB95"/>
  <sheetViews>
    <sheetView zoomScale="70" zoomScaleNormal="70" workbookViewId="0"/>
  </sheetViews>
  <sheetFormatPr defaultRowHeight="14"/>
  <cols>
    <col min="1" max="1" width="78.75" customWidth="1"/>
    <col min="2" max="2" width="30.1640625" customWidth="1"/>
    <col min="3" max="3" width="22.83203125" customWidth="1"/>
    <col min="4" max="4" width="29.75" customWidth="1"/>
    <col min="5" max="5" width="18.4140625" customWidth="1"/>
    <col min="6" max="6" width="18.75" customWidth="1"/>
    <col min="7" max="7" width="20.1640625" customWidth="1"/>
    <col min="8" max="8" width="20.83203125" customWidth="1"/>
    <col min="10" max="10" width="18.1640625" customWidth="1"/>
    <col min="11" max="11" width="14.1640625" customWidth="1"/>
    <col min="18" max="18" width="12" customWidth="1"/>
    <col min="26" max="26" width="11.1640625" customWidth="1"/>
  </cols>
  <sheetData>
    <row r="1" spans="1:28" ht="23">
      <c r="A1" s="185" t="s">
        <v>934</v>
      </c>
      <c r="B1" s="137"/>
      <c r="C1" s="137" t="s">
        <v>1766</v>
      </c>
      <c r="D1" s="137"/>
      <c r="E1" s="137"/>
      <c r="F1" s="137"/>
      <c r="G1" s="12"/>
      <c r="H1" s="12"/>
      <c r="I1" s="12"/>
      <c r="J1" s="12"/>
      <c r="K1" s="12"/>
      <c r="L1" s="12"/>
      <c r="M1" s="293"/>
      <c r="N1" s="293"/>
      <c r="O1" s="293"/>
      <c r="P1" s="293"/>
      <c r="Q1" s="293"/>
      <c r="R1" s="293"/>
      <c r="S1" s="293"/>
      <c r="T1" s="293"/>
      <c r="U1" s="293"/>
      <c r="V1" s="261"/>
      <c r="W1" s="51"/>
      <c r="X1" s="51"/>
      <c r="Y1" s="51"/>
      <c r="Z1" s="51"/>
      <c r="AA1" s="52"/>
      <c r="AB1" s="52"/>
    </row>
    <row r="2" spans="1:28" ht="23">
      <c r="A2" s="9" t="s">
        <v>300</v>
      </c>
      <c r="B2" s="567" t="s">
        <v>301</v>
      </c>
      <c r="C2" s="567"/>
      <c r="D2" s="567"/>
      <c r="E2" s="567"/>
      <c r="F2" s="567"/>
      <c r="G2" s="567"/>
      <c r="H2" s="12"/>
      <c r="I2" s="12"/>
      <c r="J2" s="276" t="s">
        <v>1248</v>
      </c>
      <c r="K2" s="276" t="s">
        <v>822</v>
      </c>
      <c r="L2" s="12"/>
      <c r="M2" s="64" t="s">
        <v>1756</v>
      </c>
      <c r="N2" s="64"/>
      <c r="O2" s="385"/>
      <c r="P2" s="293"/>
      <c r="Q2" s="293"/>
      <c r="R2" s="293"/>
      <c r="S2" s="293"/>
      <c r="T2" s="293"/>
      <c r="U2" s="293"/>
      <c r="V2" s="261"/>
      <c r="W2" s="51"/>
      <c r="X2" s="51"/>
      <c r="Y2" s="51"/>
      <c r="Z2" s="51"/>
      <c r="AA2" s="52"/>
      <c r="AB2" s="52"/>
    </row>
    <row r="3" spans="1:28" ht="15.5">
      <c r="A3" s="292"/>
      <c r="B3" s="292"/>
      <c r="C3" s="292"/>
      <c r="D3" s="292"/>
      <c r="E3" s="292"/>
      <c r="F3" s="292"/>
      <c r="G3" s="292"/>
      <c r="H3" s="12"/>
      <c r="I3" s="12"/>
      <c r="J3" s="353" t="s">
        <v>1249</v>
      </c>
      <c r="K3" s="277">
        <v>0.25</v>
      </c>
      <c r="L3" s="12"/>
      <c r="M3" s="64" t="s">
        <v>1757</v>
      </c>
      <c r="N3" s="64"/>
      <c r="O3" s="64"/>
      <c r="P3" s="293"/>
      <c r="Q3" s="293"/>
      <c r="R3" s="293"/>
      <c r="S3" s="293"/>
      <c r="T3" s="293"/>
      <c r="U3" s="293"/>
      <c r="V3" s="261"/>
      <c r="W3" s="51"/>
      <c r="X3" s="51"/>
      <c r="Y3" s="51"/>
      <c r="Z3" s="51"/>
      <c r="AA3" s="52"/>
      <c r="AB3" s="52"/>
    </row>
    <row r="4" spans="1:28" ht="23">
      <c r="A4" s="9" t="s">
        <v>302</v>
      </c>
      <c r="B4" s="9" t="s">
        <v>303</v>
      </c>
      <c r="C4" s="9" t="s">
        <v>304</v>
      </c>
      <c r="D4" s="9"/>
      <c r="E4" s="9"/>
      <c r="F4" s="9" t="s">
        <v>305</v>
      </c>
      <c r="G4" s="9" t="s">
        <v>306</v>
      </c>
      <c r="H4" s="12"/>
      <c r="I4" s="12"/>
      <c r="J4" s="353" t="s">
        <v>1250</v>
      </c>
      <c r="K4" s="277">
        <v>0.25</v>
      </c>
      <c r="L4" s="12"/>
      <c r="M4" s="64" t="s">
        <v>1758</v>
      </c>
      <c r="N4" s="64"/>
      <c r="O4" s="64"/>
      <c r="P4" s="293"/>
      <c r="Q4" s="293"/>
      <c r="R4" s="293"/>
      <c r="S4" s="293"/>
      <c r="T4" s="293"/>
      <c r="U4" s="293"/>
      <c r="V4" s="261"/>
      <c r="W4" s="51"/>
      <c r="X4" s="51"/>
      <c r="Y4" s="51"/>
      <c r="Z4" s="51"/>
      <c r="AA4" s="52"/>
      <c r="AB4" s="52"/>
    </row>
    <row r="5" spans="1:28" ht="23">
      <c r="A5" s="352" t="s">
        <v>307</v>
      </c>
      <c r="B5" s="243">
        <v>0.245</v>
      </c>
      <c r="C5" s="243">
        <v>0.16500000000000001</v>
      </c>
      <c r="D5" s="243"/>
      <c r="E5" s="243"/>
      <c r="F5" s="243">
        <v>0.1</v>
      </c>
      <c r="G5" s="243">
        <v>7.4999999999999997E-2</v>
      </c>
      <c r="H5" s="12"/>
      <c r="I5" s="12"/>
      <c r="J5" s="353" t="s">
        <v>1251</v>
      </c>
      <c r="K5" s="277">
        <v>0.2</v>
      </c>
      <c r="L5" s="12"/>
      <c r="M5" s="64" t="s">
        <v>1759</v>
      </c>
      <c r="N5" s="64"/>
      <c r="O5" s="64"/>
      <c r="P5" s="293"/>
      <c r="Q5" s="293"/>
      <c r="R5" s="293"/>
      <c r="S5" s="293"/>
      <c r="T5" s="293"/>
      <c r="U5" s="293"/>
      <c r="V5" s="261"/>
      <c r="W5" s="51"/>
      <c r="X5" s="51"/>
      <c r="Y5" s="51"/>
      <c r="Z5" s="51"/>
      <c r="AA5" s="52"/>
      <c r="AB5" s="52"/>
    </row>
    <row r="6" spans="1:28" ht="23">
      <c r="A6" s="352" t="s">
        <v>308</v>
      </c>
      <c r="B6" s="244" t="s">
        <v>309</v>
      </c>
      <c r="C6" s="244" t="s">
        <v>310</v>
      </c>
      <c r="D6" s="244"/>
      <c r="E6" s="244"/>
      <c r="F6" s="244" t="s">
        <v>311</v>
      </c>
      <c r="G6" s="244" t="s">
        <v>312</v>
      </c>
      <c r="H6" s="12"/>
      <c r="I6" s="12"/>
      <c r="J6" s="353" t="s">
        <v>1252</v>
      </c>
      <c r="K6" s="277">
        <v>0.15</v>
      </c>
      <c r="L6" s="12"/>
      <c r="M6" s="64" t="s">
        <v>1760</v>
      </c>
      <c r="N6" s="64"/>
      <c r="O6" s="64"/>
      <c r="P6" s="293"/>
      <c r="Q6" s="293"/>
      <c r="R6" s="293"/>
      <c r="S6" s="293"/>
      <c r="T6" s="293"/>
      <c r="U6" s="293"/>
      <c r="V6" s="261"/>
      <c r="W6" s="51"/>
      <c r="X6" s="51"/>
      <c r="Y6" s="51"/>
      <c r="Z6" s="51"/>
      <c r="AA6" s="52"/>
      <c r="AB6" s="52"/>
    </row>
    <row r="7" spans="1:28" ht="23">
      <c r="A7" s="352" t="s">
        <v>313</v>
      </c>
      <c r="B7" s="244" t="s">
        <v>314</v>
      </c>
      <c r="C7" s="244" t="s">
        <v>315</v>
      </c>
      <c r="D7" s="244"/>
      <c r="E7" s="244"/>
      <c r="F7" s="244" t="s">
        <v>316</v>
      </c>
      <c r="G7" s="244" t="s">
        <v>317</v>
      </c>
      <c r="H7" s="12"/>
      <c r="I7" s="12"/>
      <c r="J7" s="353" t="s">
        <v>1253</v>
      </c>
      <c r="K7" s="277">
        <v>0.15</v>
      </c>
      <c r="L7" s="12"/>
      <c r="M7" s="293"/>
      <c r="N7" s="293"/>
      <c r="O7" s="293"/>
      <c r="P7" s="293"/>
      <c r="Q7" s="293"/>
      <c r="R7" s="293"/>
      <c r="S7" s="293"/>
      <c r="T7" s="293"/>
      <c r="U7" s="293"/>
      <c r="V7" s="261"/>
      <c r="W7" s="51"/>
      <c r="X7" s="51"/>
      <c r="Y7" s="51"/>
      <c r="Z7" s="51"/>
      <c r="AA7" s="52"/>
      <c r="AB7" s="52"/>
    </row>
    <row r="8" spans="1:28" ht="23">
      <c r="A8" s="352" t="s">
        <v>318</v>
      </c>
      <c r="B8" s="243">
        <v>0.3</v>
      </c>
      <c r="C8" s="243">
        <v>0.24</v>
      </c>
      <c r="D8" s="243"/>
      <c r="E8" s="243"/>
      <c r="F8" s="243">
        <v>0.2</v>
      </c>
      <c r="G8" s="243">
        <v>0.17</v>
      </c>
      <c r="H8" s="12"/>
      <c r="I8" s="12"/>
      <c r="J8" s="12"/>
      <c r="K8" s="12"/>
      <c r="L8" s="12"/>
      <c r="M8" s="201"/>
      <c r="N8" s="201"/>
      <c r="O8" s="201"/>
      <c r="P8" s="293"/>
      <c r="Q8" s="293"/>
      <c r="R8" s="293"/>
      <c r="S8" s="293"/>
      <c r="T8" s="293"/>
      <c r="U8" s="293"/>
      <c r="V8" s="261"/>
      <c r="W8" s="51"/>
      <c r="X8" s="51"/>
      <c r="Y8" s="51"/>
      <c r="Z8" s="51"/>
      <c r="AA8" s="52"/>
      <c r="AB8" s="52"/>
    </row>
    <row r="9" spans="1:28" ht="23">
      <c r="A9" s="352" t="s">
        <v>319</v>
      </c>
      <c r="B9" s="243">
        <v>0.25</v>
      </c>
      <c r="C9" s="243">
        <v>0.3</v>
      </c>
      <c r="D9" s="243"/>
      <c r="E9" s="243"/>
      <c r="F9" s="243">
        <v>0.35</v>
      </c>
      <c r="G9" s="243">
        <v>0.4</v>
      </c>
      <c r="H9" s="12"/>
      <c r="I9" s="12"/>
      <c r="J9" s="22"/>
      <c r="K9" s="22"/>
      <c r="L9" s="22"/>
      <c r="M9" s="293"/>
      <c r="N9" s="293"/>
      <c r="O9" s="293"/>
      <c r="P9" s="293"/>
      <c r="Q9" s="293"/>
      <c r="R9" s="293"/>
      <c r="S9" s="293"/>
      <c r="T9" s="293"/>
      <c r="U9" s="293"/>
      <c r="V9" s="261"/>
      <c r="W9" s="51"/>
      <c r="X9" s="51"/>
      <c r="Y9" s="51"/>
      <c r="Z9" s="51"/>
      <c r="AA9" s="52"/>
      <c r="AB9" s="52"/>
    </row>
    <row r="10" spans="1:28">
      <c r="A10" s="12"/>
      <c r="B10" s="12"/>
      <c r="C10" s="12"/>
      <c r="D10" s="12"/>
      <c r="E10" s="12"/>
      <c r="F10" s="12"/>
      <c r="G10" s="12"/>
      <c r="H10" s="12"/>
      <c r="I10" s="12"/>
      <c r="J10" s="12"/>
      <c r="K10" s="22"/>
      <c r="L10" s="22"/>
      <c r="M10" s="201"/>
      <c r="N10" s="201"/>
      <c r="O10" s="201"/>
      <c r="P10" s="293"/>
      <c r="Q10" s="293"/>
      <c r="R10" s="293"/>
      <c r="S10" s="293"/>
      <c r="T10" s="293"/>
      <c r="U10" s="293"/>
      <c r="V10" s="261"/>
      <c r="W10" s="51"/>
      <c r="X10" s="51"/>
      <c r="Y10" s="51"/>
      <c r="Z10" s="51"/>
      <c r="AA10" s="52"/>
      <c r="AB10" s="52"/>
    </row>
    <row r="11" spans="1:28" ht="28">
      <c r="A11" s="10" t="s">
        <v>320</v>
      </c>
      <c r="B11" s="10">
        <v>2020</v>
      </c>
      <c r="C11" s="10">
        <v>2021</v>
      </c>
      <c r="D11" s="10">
        <v>2022</v>
      </c>
      <c r="E11" s="10">
        <v>2023</v>
      </c>
      <c r="F11" s="10">
        <v>2024</v>
      </c>
      <c r="G11" s="10" t="s">
        <v>321</v>
      </c>
      <c r="H11" s="11" t="s">
        <v>322</v>
      </c>
      <c r="I11" s="12"/>
      <c r="J11" s="308" t="s">
        <v>491</v>
      </c>
      <c r="K11" s="308" t="s">
        <v>1714</v>
      </c>
      <c r="L11" s="308" t="s">
        <v>1746</v>
      </c>
      <c r="M11" s="308" t="s">
        <v>822</v>
      </c>
      <c r="N11" s="308" t="s">
        <v>1762</v>
      </c>
      <c r="O11" s="293"/>
      <c r="P11" s="293"/>
      <c r="Q11" s="293"/>
      <c r="R11" s="293"/>
      <c r="S11" s="293"/>
      <c r="T11" s="293"/>
      <c r="U11" s="293"/>
      <c r="V11" s="261"/>
      <c r="W11" s="51"/>
      <c r="X11" s="51"/>
      <c r="Y11" s="51"/>
      <c r="Z11" s="51"/>
      <c r="AA11" s="52"/>
      <c r="AB11" s="52"/>
    </row>
    <row r="12" spans="1:28" ht="23">
      <c r="A12" s="354" t="s">
        <v>1765</v>
      </c>
      <c r="B12" s="245">
        <f>'Profit Loss'!B25</f>
        <v>8661</v>
      </c>
      <c r="C12" s="245">
        <f>'Profit Loss'!C25</f>
        <v>10808</v>
      </c>
      <c r="D12" s="245">
        <f>'Profit Loss'!D25</f>
        <v>13014</v>
      </c>
      <c r="E12" s="245">
        <f>'Profit Loss'!E25</f>
        <v>14807</v>
      </c>
      <c r="F12" s="245">
        <f>'Profit Loss'!F25</f>
        <v>16479</v>
      </c>
      <c r="G12" s="245">
        <f t="shared" ref="G12:G19" si="0">AVERAGE(B12:F12)</f>
        <v>12753.8</v>
      </c>
      <c r="H12" s="84"/>
      <c r="I12" s="12"/>
      <c r="J12" s="324" t="s">
        <v>1249</v>
      </c>
      <c r="K12" s="309" t="s">
        <v>479</v>
      </c>
      <c r="L12" s="309">
        <v>4</v>
      </c>
      <c r="M12" s="386">
        <v>0.25</v>
      </c>
      <c r="N12" s="309">
        <v>1</v>
      </c>
      <c r="O12" s="201"/>
      <c r="P12" s="293"/>
      <c r="Q12" s="293"/>
      <c r="R12" s="293"/>
      <c r="S12" s="293"/>
      <c r="T12" s="293"/>
      <c r="U12" s="293"/>
      <c r="V12" s="261"/>
      <c r="W12" s="51"/>
      <c r="X12" s="51"/>
      <c r="Y12" s="51"/>
      <c r="Z12" s="51"/>
      <c r="AA12" s="52"/>
      <c r="AB12" s="52"/>
    </row>
    <row r="13" spans="1:28" ht="23">
      <c r="A13" s="354" t="s">
        <v>323</v>
      </c>
      <c r="B13" s="245">
        <f>'Common Size'!B89-'Common Size'!B56</f>
        <v>3019.1189922227304</v>
      </c>
      <c r="C13" s="245">
        <f>'Common Size'!C89-'Common Size'!C56</f>
        <v>766.36001906375759</v>
      </c>
      <c r="D13" s="245">
        <f>'Common Size'!D89-'Common Size'!D56</f>
        <v>2940.4465530422267</v>
      </c>
      <c r="E13" s="245">
        <f>'Common Size'!E89-'Common Size'!E56</f>
        <v>1966.9460514782058</v>
      </c>
      <c r="F13" s="245">
        <f>'Common Size'!F89-'Common Size'!F56</f>
        <v>4255.2570596797677</v>
      </c>
      <c r="G13" s="245">
        <f t="shared" si="0"/>
        <v>2589.6257350973378</v>
      </c>
      <c r="H13" s="84"/>
      <c r="I13" s="12"/>
      <c r="J13" s="324" t="s">
        <v>1250</v>
      </c>
      <c r="K13" s="309" t="s">
        <v>480</v>
      </c>
      <c r="L13" s="309">
        <v>3</v>
      </c>
      <c r="M13" s="386">
        <v>0.25</v>
      </c>
      <c r="N13" s="309">
        <v>0.75</v>
      </c>
      <c r="O13" s="293"/>
      <c r="P13" s="293"/>
      <c r="Q13" s="293"/>
      <c r="R13" s="293"/>
      <c r="S13" s="293"/>
      <c r="T13" s="293"/>
      <c r="U13" s="293"/>
      <c r="V13" s="261"/>
      <c r="W13" s="51"/>
      <c r="X13" s="51"/>
      <c r="Y13" s="51"/>
      <c r="Z13" s="51"/>
      <c r="AA13" s="52"/>
      <c r="AB13" s="52"/>
    </row>
    <row r="14" spans="1:28" ht="23">
      <c r="A14" s="354" t="s">
        <v>307</v>
      </c>
      <c r="B14" s="246">
        <f>'Common Size'!B10</f>
        <v>0.52813541598588332</v>
      </c>
      <c r="C14" s="246">
        <f>'Common Size'!C10</f>
        <v>0.53389112476170308</v>
      </c>
      <c r="D14" s="246">
        <f>'Common Size'!D10</f>
        <v>0.55151324369294419</v>
      </c>
      <c r="E14" s="246">
        <f>'Common Size'!E10</f>
        <v>0.55813212208144081</v>
      </c>
      <c r="F14" s="246">
        <f>'Common Size'!F10</f>
        <v>0.55320055383959954</v>
      </c>
      <c r="G14" s="246">
        <f t="shared" si="0"/>
        <v>0.54497449207231408</v>
      </c>
      <c r="H14" s="245" t="s">
        <v>479</v>
      </c>
      <c r="I14" s="12"/>
      <c r="J14" s="324" t="s">
        <v>1251</v>
      </c>
      <c r="K14" s="309" t="s">
        <v>479</v>
      </c>
      <c r="L14" s="309">
        <v>4</v>
      </c>
      <c r="M14" s="386">
        <v>0.2</v>
      </c>
      <c r="N14" s="309">
        <v>0.8</v>
      </c>
      <c r="O14" s="293"/>
      <c r="P14" s="293"/>
      <c r="Q14" s="293"/>
      <c r="R14" s="293"/>
      <c r="S14" s="293"/>
      <c r="T14" s="293"/>
      <c r="U14" s="293"/>
      <c r="V14" s="261"/>
      <c r="W14" s="51"/>
      <c r="X14" s="51"/>
      <c r="Y14" s="51"/>
      <c r="Z14" s="51"/>
      <c r="AA14" s="52"/>
      <c r="AB14" s="52"/>
    </row>
    <row r="15" spans="1:28" ht="23">
      <c r="A15" s="354" t="s">
        <v>308</v>
      </c>
      <c r="B15" s="245">
        <f>'Common Size'!B44/'Common Size'!B74</f>
        <v>1.4631104953238656</v>
      </c>
      <c r="C15" s="245">
        <f>'Common Size'!C44/'Common Size'!C74</f>
        <v>1.2861769059955588</v>
      </c>
      <c r="D15" s="245">
        <f>'Common Size'!D44/'Common Size'!D74</f>
        <v>1.0775318887352083</v>
      </c>
      <c r="E15" s="245">
        <f>'Common Size'!E44/'Common Size'!E74</f>
        <v>1.0590261362868914</v>
      </c>
      <c r="F15" s="245">
        <f>'Common Size'!F44/'Common Size'!F74</f>
        <v>1.1696829675266334</v>
      </c>
      <c r="G15" s="245">
        <f t="shared" si="0"/>
        <v>1.2111056787736316</v>
      </c>
      <c r="H15" s="245" t="s">
        <v>479</v>
      </c>
      <c r="I15" s="12"/>
      <c r="J15" s="324" t="s">
        <v>1252</v>
      </c>
      <c r="K15" s="309" t="s">
        <v>479</v>
      </c>
      <c r="L15" s="309">
        <v>4</v>
      </c>
      <c r="M15" s="386">
        <v>0.15</v>
      </c>
      <c r="N15" s="309">
        <v>0.6</v>
      </c>
      <c r="O15" s="293"/>
      <c r="P15" s="293"/>
      <c r="Q15" s="293"/>
      <c r="R15" s="293"/>
      <c r="S15" s="293"/>
      <c r="T15" s="293"/>
      <c r="U15" s="293"/>
      <c r="V15" s="261"/>
      <c r="W15" s="51"/>
      <c r="X15" s="51"/>
      <c r="Y15" s="51"/>
      <c r="Z15" s="51"/>
      <c r="AA15" s="52"/>
      <c r="AB15" s="52"/>
    </row>
    <row r="16" spans="1:28" ht="23">
      <c r="A16" s="354" t="s">
        <v>313</v>
      </c>
      <c r="B16" s="245">
        <f>Table10[[#This Row],[2020]]/-'Common Size'!B12</f>
        <v>16.871052631578948</v>
      </c>
      <c r="C16" s="245">
        <f>Table10[[#This Row],[2020]]/-'Common Size'!C12</f>
        <v>18.357886621910733</v>
      </c>
      <c r="D16" s="245">
        <f>Table10[[#This Row],[2020]]/-'Common Size'!D12</f>
        <v>19.781592477407706</v>
      </c>
      <c r="E16" s="245">
        <f>Table10[[#This Row],[2020]]/-'Common Size'!E12</f>
        <v>18.288464010593227</v>
      </c>
      <c r="F16" s="245">
        <f>Table10[[#This Row],[2020]]/-'Common Size'!F12</f>
        <v>18.268968943732407</v>
      </c>
      <c r="G16" s="245">
        <f t="shared" si="0"/>
        <v>18.313592937044604</v>
      </c>
      <c r="H16" s="245" t="s">
        <v>480</v>
      </c>
      <c r="I16" s="12"/>
      <c r="J16" s="324" t="s">
        <v>1253</v>
      </c>
      <c r="K16" s="309" t="s">
        <v>967</v>
      </c>
      <c r="L16" s="309">
        <v>1</v>
      </c>
      <c r="M16" s="386">
        <v>0.15</v>
      </c>
      <c r="N16" s="309">
        <v>0.15</v>
      </c>
      <c r="O16" s="293"/>
      <c r="P16" s="293"/>
      <c r="Q16" s="293"/>
      <c r="R16" s="293"/>
      <c r="S16" s="293"/>
      <c r="T16" s="293"/>
      <c r="U16" s="293"/>
      <c r="V16" s="261"/>
      <c r="W16" s="51"/>
      <c r="X16" s="51"/>
      <c r="Y16" s="51"/>
      <c r="Z16" s="51"/>
      <c r="AA16" s="52"/>
      <c r="AB16" s="52"/>
    </row>
    <row r="17" spans="1:28" ht="23">
      <c r="A17" s="354" t="s">
        <v>324</v>
      </c>
      <c r="B17" s="247">
        <f>'Common Size'!B87/'Common Size'!B44</f>
        <v>0.74592566084491818</v>
      </c>
      <c r="C17" s="247">
        <f>'Common Size'!C87/'Common Size'!C44</f>
        <v>0.8691644815089633</v>
      </c>
      <c r="D17" s="247">
        <f>'Common Size'!D87/'Common Size'!D44</f>
        <v>1.0598366003306778</v>
      </c>
      <c r="E17" s="247">
        <f>'Common Size'!E87/'Common Size'!E44</f>
        <v>1.0816085528525812</v>
      </c>
      <c r="F17" s="247">
        <f>'Common Size'!F87/'Common Size'!F44</f>
        <v>1.175508828872966</v>
      </c>
      <c r="G17" s="247">
        <f t="shared" si="0"/>
        <v>0.98640882488202131</v>
      </c>
      <c r="H17" s="245" t="s">
        <v>479</v>
      </c>
      <c r="I17" s="12"/>
      <c r="J17" s="12"/>
      <c r="K17" s="12"/>
      <c r="L17" s="12"/>
      <c r="M17" s="293"/>
      <c r="N17" s="387">
        <v>3.3</v>
      </c>
      <c r="O17" s="293"/>
      <c r="P17" s="293"/>
      <c r="Q17" s="293"/>
      <c r="R17" s="293"/>
      <c r="S17" s="293"/>
      <c r="T17" s="293"/>
      <c r="U17" s="293"/>
      <c r="V17" s="261"/>
      <c r="W17" s="51"/>
      <c r="X17" s="51"/>
      <c r="Y17" s="51"/>
      <c r="Z17" s="51"/>
      <c r="AA17" s="52"/>
      <c r="AB17" s="52"/>
    </row>
    <row r="18" spans="1:28" ht="23">
      <c r="A18" s="354" t="s">
        <v>325</v>
      </c>
      <c r="B18" s="246">
        <f>'Common Size'!B44/('Common Size'!B44+Balance_Sheet!F40)</f>
        <v>0.66044717777661954</v>
      </c>
      <c r="C18" s="246">
        <f>'Common Size'!C44/('Common Size'!C44+Balance_Sheet!G40)</f>
        <v>0.57950231775664274</v>
      </c>
      <c r="D18" s="246">
        <f>'Common Size'!D44/('Common Size'!D44+Balance_Sheet!H40)</f>
        <v>0.53258415621166511</v>
      </c>
      <c r="E18" s="246">
        <f>'Common Size'!E44/('Common Size'!E44+Balance_Sheet!I40)</f>
        <v>0.51933039679668558</v>
      </c>
      <c r="F18" s="246">
        <f>'Common Size'!F44/('Common Size'!F44+Balance_Sheet!J40)</f>
        <v>0.52018970306535683</v>
      </c>
      <c r="G18" s="246">
        <f t="shared" si="0"/>
        <v>0.56241075032139398</v>
      </c>
      <c r="H18" s="245" t="s">
        <v>967</v>
      </c>
      <c r="I18" s="12"/>
      <c r="J18" s="12"/>
      <c r="K18" s="12"/>
      <c r="L18" s="12"/>
      <c r="M18" s="293"/>
      <c r="N18" s="293"/>
      <c r="O18" s="293"/>
      <c r="P18" s="293"/>
      <c r="Q18" s="293"/>
      <c r="R18" s="293"/>
      <c r="S18" s="293"/>
      <c r="T18" s="293"/>
      <c r="U18" s="293"/>
      <c r="V18" s="261"/>
      <c r="W18" s="51"/>
      <c r="X18" s="51"/>
      <c r="Y18" s="51"/>
      <c r="Z18" s="51"/>
      <c r="AA18" s="52"/>
      <c r="AB18" s="52"/>
    </row>
    <row r="19" spans="1:28" ht="23">
      <c r="A19" s="354" t="s">
        <v>308</v>
      </c>
      <c r="B19" s="245">
        <f>'Common Size'!B44/'Profit Loss'!F25</f>
        <v>0.76897870016384484</v>
      </c>
      <c r="C19" s="245">
        <f>'Common Size'!C44/'Profit Loss'!G25</f>
        <v>0.7597302751481706</v>
      </c>
      <c r="D19" s="245">
        <f>'Common Size'!D44/'Profit Loss'!H25</f>
        <v>0.66786483822793996</v>
      </c>
      <c r="E19" s="245">
        <f>'Common Size'!E44/'Profit Loss'!I25</f>
        <v>0.66231406646868063</v>
      </c>
      <c r="F19" s="245">
        <f>'Common Size'!F44/'Profit Loss'!J25</f>
        <v>0.68887269904780857</v>
      </c>
      <c r="G19" s="245">
        <f t="shared" si="0"/>
        <v>0.70955211581128885</v>
      </c>
      <c r="H19" s="245" t="s">
        <v>479</v>
      </c>
      <c r="I19" s="12"/>
      <c r="J19" s="12"/>
      <c r="K19" s="12"/>
      <c r="L19" s="12"/>
      <c r="M19" s="293"/>
      <c r="N19" s="293"/>
      <c r="O19" s="293"/>
      <c r="P19" s="293"/>
      <c r="Q19" s="293"/>
      <c r="R19" s="293"/>
      <c r="S19" s="293"/>
      <c r="T19" s="293"/>
      <c r="U19" s="293"/>
      <c r="V19" s="261"/>
      <c r="W19" s="51"/>
      <c r="X19" s="51"/>
      <c r="Y19" s="51"/>
      <c r="Z19" s="51"/>
      <c r="AA19" s="52"/>
      <c r="AB19" s="52"/>
    </row>
    <row r="20" spans="1:28" ht="23">
      <c r="A20" s="186" t="s">
        <v>968</v>
      </c>
      <c r="B20" s="186" t="s">
        <v>480</v>
      </c>
      <c r="C20" s="12"/>
      <c r="D20" s="12"/>
      <c r="E20" s="12"/>
      <c r="F20" s="12"/>
      <c r="G20" s="12"/>
      <c r="H20" s="12"/>
      <c r="I20" s="12"/>
      <c r="J20" s="12"/>
      <c r="K20" s="12"/>
      <c r="L20" s="12"/>
      <c r="M20" s="293"/>
      <c r="N20" s="293"/>
      <c r="O20" s="293"/>
      <c r="P20" s="293"/>
      <c r="Q20" s="293"/>
      <c r="R20" s="293"/>
      <c r="S20" s="293"/>
      <c r="T20" s="293"/>
      <c r="U20" s="293"/>
      <c r="V20" s="261"/>
      <c r="W20" s="51"/>
      <c r="X20" s="51"/>
      <c r="Y20" s="51"/>
      <c r="Z20" s="51"/>
      <c r="AA20" s="52"/>
      <c r="AB20" s="52"/>
    </row>
    <row r="21" spans="1:28" ht="23">
      <c r="A21" s="186" t="s">
        <v>969</v>
      </c>
      <c r="B21" s="186" t="s">
        <v>467</v>
      </c>
      <c r="C21" s="12"/>
      <c r="D21" s="12"/>
      <c r="E21" s="12"/>
      <c r="F21" s="12"/>
      <c r="G21" s="12"/>
      <c r="H21" s="12"/>
      <c r="I21" s="12"/>
      <c r="J21" s="12"/>
      <c r="K21" s="12"/>
      <c r="L21" s="12"/>
      <c r="M21" s="293"/>
      <c r="N21" s="293"/>
      <c r="O21" s="293"/>
      <c r="P21" s="293"/>
      <c r="Q21" s="293"/>
      <c r="R21" s="293"/>
      <c r="S21" s="293"/>
      <c r="T21" s="293"/>
      <c r="U21" s="293"/>
      <c r="V21" s="261"/>
      <c r="W21" s="51"/>
      <c r="X21" s="51"/>
      <c r="Y21" s="51"/>
      <c r="Z21" s="51"/>
      <c r="AA21" s="52"/>
      <c r="AB21" s="52"/>
    </row>
    <row r="22" spans="1:28">
      <c r="A22" s="12"/>
      <c r="B22" s="12"/>
      <c r="C22" s="12"/>
      <c r="D22" s="12"/>
      <c r="E22" s="12"/>
      <c r="F22" s="12"/>
      <c r="G22" s="12"/>
      <c r="H22" s="12"/>
      <c r="I22" s="12"/>
      <c r="J22" s="12"/>
      <c r="K22" s="12"/>
      <c r="L22" s="12"/>
      <c r="M22" s="293"/>
      <c r="N22" s="293"/>
      <c r="O22" s="293"/>
      <c r="P22" s="293"/>
      <c r="Q22" s="293"/>
      <c r="R22" s="293"/>
      <c r="S22" s="293"/>
      <c r="T22" s="293"/>
      <c r="U22" s="293"/>
      <c r="V22" s="261"/>
      <c r="W22" s="261"/>
      <c r="X22" s="261"/>
      <c r="Y22" s="261"/>
      <c r="Z22" s="261"/>
      <c r="AA22" s="201"/>
      <c r="AB22" s="201"/>
    </row>
    <row r="23" spans="1:28">
      <c r="A23" s="137" t="s">
        <v>1747</v>
      </c>
      <c r="B23" s="137"/>
      <c r="C23" s="137"/>
      <c r="D23" s="12"/>
      <c r="E23" s="12"/>
      <c r="F23" s="12"/>
      <c r="G23" s="12"/>
      <c r="H23" s="12"/>
      <c r="I23" s="12"/>
      <c r="J23" s="12"/>
      <c r="K23" s="12"/>
      <c r="L23" s="12"/>
      <c r="M23" s="293"/>
      <c r="N23" s="293"/>
      <c r="O23" s="293"/>
      <c r="P23" s="293"/>
      <c r="Q23" s="293"/>
      <c r="R23" s="293"/>
      <c r="S23" s="293"/>
      <c r="T23" s="293"/>
      <c r="U23" s="293"/>
      <c r="V23" s="261"/>
      <c r="W23" s="261"/>
      <c r="X23" s="261"/>
      <c r="Y23" s="261"/>
      <c r="Z23" s="261"/>
      <c r="AA23" s="201"/>
      <c r="AB23" s="201"/>
    </row>
    <row r="24" spans="1:28">
      <c r="A24" s="12"/>
      <c r="B24" s="12"/>
      <c r="C24" s="12"/>
      <c r="D24" s="12"/>
      <c r="E24" s="12"/>
      <c r="F24" s="12"/>
      <c r="G24" s="12"/>
      <c r="H24" s="12"/>
      <c r="I24" s="12"/>
      <c r="J24" s="12"/>
      <c r="K24" s="12"/>
      <c r="L24" s="12"/>
      <c r="M24" s="293"/>
      <c r="N24" s="293"/>
      <c r="O24" s="293"/>
      <c r="P24" s="293"/>
      <c r="Q24" s="293"/>
      <c r="R24" s="293"/>
      <c r="S24" s="293"/>
      <c r="T24" s="293"/>
      <c r="U24" s="293"/>
      <c r="V24" s="261"/>
      <c r="W24" s="261"/>
      <c r="X24" s="261"/>
      <c r="Y24" s="261"/>
      <c r="Z24" s="261"/>
      <c r="AA24" s="201"/>
      <c r="AB24" s="201"/>
    </row>
    <row r="25" spans="1:28">
      <c r="A25" s="137" t="s">
        <v>1748</v>
      </c>
      <c r="B25" s="12"/>
      <c r="C25" s="12"/>
      <c r="D25" s="12"/>
      <c r="E25" s="12"/>
      <c r="F25" s="12"/>
      <c r="G25" s="12"/>
      <c r="H25" s="12"/>
      <c r="I25" s="12"/>
      <c r="J25" s="12"/>
      <c r="K25" s="12"/>
      <c r="L25" s="12"/>
      <c r="M25" s="293"/>
      <c r="N25" s="293"/>
      <c r="O25" s="293"/>
      <c r="P25" s="293"/>
      <c r="Q25" s="293"/>
      <c r="R25" s="293"/>
      <c r="S25" s="293"/>
      <c r="T25" s="293"/>
      <c r="U25" s="293"/>
      <c r="V25" s="261"/>
      <c r="W25" s="261"/>
      <c r="X25" s="261"/>
      <c r="Y25" s="261"/>
      <c r="Z25" s="261"/>
      <c r="AA25" s="201"/>
      <c r="AB25" s="201"/>
    </row>
    <row r="26" spans="1:28">
      <c r="A26" s="137" t="s">
        <v>1749</v>
      </c>
      <c r="B26" s="12"/>
      <c r="C26" s="12"/>
      <c r="D26" s="12"/>
      <c r="E26" s="12"/>
      <c r="F26" s="12"/>
      <c r="G26" s="12"/>
      <c r="H26" s="12"/>
      <c r="I26" s="12"/>
      <c r="J26" s="12"/>
      <c r="K26" s="12"/>
      <c r="L26" s="12"/>
      <c r="M26" s="293"/>
      <c r="N26" s="293"/>
      <c r="O26" s="293"/>
      <c r="P26" s="293"/>
      <c r="Q26" s="293"/>
      <c r="R26" s="293"/>
      <c r="S26" s="293"/>
      <c r="T26" s="293"/>
      <c r="U26" s="293"/>
      <c r="V26" s="261"/>
      <c r="W26" s="261"/>
      <c r="X26" s="261"/>
      <c r="Y26" s="261"/>
      <c r="Z26" s="261"/>
      <c r="AA26" s="201"/>
      <c r="AB26" s="201"/>
    </row>
    <row r="27" spans="1:28">
      <c r="A27" s="137" t="s">
        <v>1750</v>
      </c>
      <c r="B27" s="12"/>
      <c r="C27" s="12"/>
      <c r="D27" s="12"/>
      <c r="E27" s="12"/>
      <c r="F27" s="12"/>
      <c r="G27" s="12"/>
      <c r="H27" s="12"/>
      <c r="I27" s="12"/>
      <c r="J27" s="12"/>
      <c r="K27" s="12"/>
      <c r="L27" s="12"/>
      <c r="M27" s="293"/>
      <c r="N27" s="293"/>
      <c r="O27" s="293"/>
      <c r="P27" s="293"/>
      <c r="Q27" s="293"/>
      <c r="R27" s="293"/>
      <c r="S27" s="293"/>
      <c r="T27" s="293"/>
      <c r="U27" s="293"/>
      <c r="V27" s="261"/>
      <c r="W27" s="261"/>
      <c r="X27" s="261"/>
      <c r="Y27" s="261"/>
      <c r="Z27" s="261"/>
      <c r="AA27" s="201"/>
      <c r="AB27" s="201"/>
    </row>
    <row r="28" spans="1:28">
      <c r="A28" s="137" t="s">
        <v>1761</v>
      </c>
      <c r="B28" s="12"/>
      <c r="C28" s="12"/>
      <c r="D28" s="12"/>
      <c r="E28" s="12"/>
      <c r="F28" s="12"/>
      <c r="G28" s="12"/>
      <c r="H28" s="12"/>
      <c r="I28" s="12"/>
      <c r="J28" s="12"/>
      <c r="K28" s="12"/>
      <c r="L28" s="12"/>
      <c r="M28" s="293"/>
      <c r="N28" s="293"/>
      <c r="O28" s="293"/>
      <c r="P28" s="293"/>
      <c r="Q28" s="293"/>
      <c r="R28" s="293"/>
      <c r="S28" s="293"/>
      <c r="T28" s="293"/>
      <c r="U28" s="293"/>
      <c r="V28" s="261"/>
      <c r="W28" s="261"/>
      <c r="X28" s="261"/>
      <c r="Y28" s="261"/>
      <c r="Z28" s="261"/>
      <c r="AA28" s="201"/>
      <c r="AB28" s="201"/>
    </row>
    <row r="29" spans="1:28">
      <c r="A29" s="12"/>
      <c r="B29" s="12"/>
      <c r="C29" s="12"/>
      <c r="D29" s="12"/>
      <c r="E29" s="12"/>
      <c r="F29" s="12"/>
      <c r="G29" s="12"/>
      <c r="H29" s="12"/>
      <c r="I29" s="12"/>
      <c r="J29" s="12"/>
      <c r="K29" s="12"/>
      <c r="L29" s="12"/>
      <c r="M29" s="293"/>
      <c r="N29" s="293"/>
      <c r="O29" s="293"/>
      <c r="P29" s="293"/>
      <c r="Q29" s="293"/>
      <c r="R29" s="293"/>
      <c r="S29" s="293"/>
      <c r="T29" s="293"/>
      <c r="U29" s="293"/>
      <c r="V29" s="261"/>
      <c r="W29" s="261"/>
      <c r="X29" s="261"/>
      <c r="Y29" s="261"/>
      <c r="Z29" s="261"/>
      <c r="AA29" s="201"/>
      <c r="AB29" s="201"/>
    </row>
    <row r="30" spans="1:28">
      <c r="A30" s="137" t="s">
        <v>1751</v>
      </c>
      <c r="B30" s="12"/>
      <c r="C30" s="12"/>
      <c r="D30" s="12"/>
      <c r="E30" s="12"/>
      <c r="F30" s="12"/>
      <c r="G30" s="12"/>
      <c r="H30" s="12"/>
      <c r="I30" s="12"/>
      <c r="J30" s="12"/>
      <c r="K30" s="12"/>
      <c r="L30" s="12"/>
      <c r="M30" s="293"/>
      <c r="N30" s="293"/>
      <c r="O30" s="293"/>
      <c r="P30" s="293"/>
      <c r="Q30" s="293"/>
      <c r="R30" s="293"/>
      <c r="S30" s="293"/>
      <c r="T30" s="293"/>
      <c r="U30" s="293"/>
      <c r="V30" s="261"/>
      <c r="W30" s="261"/>
      <c r="X30" s="261"/>
      <c r="Y30" s="261"/>
      <c r="Z30" s="261"/>
      <c r="AA30" s="201"/>
      <c r="AB30" s="201"/>
    </row>
    <row r="31" spans="1:28">
      <c r="A31" s="12"/>
      <c r="B31" s="12"/>
      <c r="C31" s="12"/>
      <c r="D31" s="12"/>
      <c r="E31" s="12"/>
      <c r="F31" s="12"/>
      <c r="G31" s="12"/>
      <c r="H31" s="12"/>
      <c r="I31" s="12"/>
      <c r="J31" s="12"/>
      <c r="K31" s="12"/>
      <c r="L31" s="12"/>
      <c r="M31" s="293"/>
      <c r="N31" s="293"/>
      <c r="O31" s="293"/>
      <c r="P31" s="293"/>
      <c r="Q31" s="293"/>
      <c r="R31" s="293"/>
      <c r="S31" s="293"/>
      <c r="T31" s="293"/>
      <c r="U31" s="293"/>
      <c r="V31" s="261"/>
      <c r="W31" s="261"/>
      <c r="X31" s="261"/>
      <c r="Y31" s="261"/>
      <c r="Z31" s="261"/>
      <c r="AA31" s="201"/>
      <c r="AB31" s="201"/>
    </row>
    <row r="32" spans="1:28">
      <c r="A32" s="137" t="s">
        <v>1752</v>
      </c>
      <c r="B32" s="12"/>
      <c r="C32" s="12"/>
      <c r="D32" s="12"/>
      <c r="E32" s="12"/>
      <c r="F32" s="12"/>
      <c r="G32" s="12"/>
      <c r="H32" s="12"/>
      <c r="I32" s="303"/>
      <c r="J32" s="303"/>
      <c r="K32" s="303"/>
      <c r="L32" s="303"/>
      <c r="M32" s="293"/>
      <c r="N32" s="293"/>
      <c r="O32" s="293"/>
      <c r="P32" s="293"/>
      <c r="Q32" s="293"/>
      <c r="R32" s="293"/>
      <c r="S32" s="293"/>
      <c r="T32" s="293"/>
      <c r="U32" s="293"/>
      <c r="V32" s="261"/>
      <c r="W32" s="261"/>
      <c r="X32" s="261"/>
      <c r="Y32" s="261"/>
      <c r="Z32" s="261"/>
      <c r="AA32" s="201"/>
      <c r="AB32" s="201"/>
    </row>
    <row r="33" spans="1:28">
      <c r="A33" s="303"/>
      <c r="B33" s="303"/>
      <c r="C33" s="303"/>
      <c r="D33" s="303"/>
      <c r="E33" s="303"/>
      <c r="F33" s="303"/>
      <c r="G33" s="303"/>
      <c r="H33" s="303"/>
      <c r="I33" s="303"/>
      <c r="J33" s="303"/>
      <c r="K33" s="303"/>
      <c r="L33" s="303"/>
      <c r="M33" s="293"/>
      <c r="N33" s="293"/>
      <c r="O33" s="293"/>
      <c r="P33" s="293"/>
      <c r="Q33" s="293"/>
      <c r="R33" s="293"/>
      <c r="S33" s="293"/>
      <c r="T33" s="293"/>
      <c r="U33" s="293"/>
      <c r="V33" s="261"/>
      <c r="W33" s="261"/>
      <c r="X33" s="261"/>
      <c r="Y33" s="261"/>
      <c r="Z33" s="261"/>
      <c r="AA33" s="201"/>
      <c r="AB33" s="201"/>
    </row>
    <row r="34" spans="1:28">
      <c r="A34" s="137" t="s">
        <v>1753</v>
      </c>
      <c r="B34" s="12"/>
      <c r="C34" s="12"/>
      <c r="D34" s="303"/>
      <c r="E34" s="303"/>
      <c r="F34" s="303"/>
      <c r="G34" s="303"/>
      <c r="H34" s="303"/>
      <c r="I34" s="303"/>
      <c r="J34" s="303"/>
      <c r="K34" s="303"/>
      <c r="L34" s="303"/>
      <c r="M34" s="293"/>
      <c r="N34" s="293"/>
      <c r="O34" s="293"/>
      <c r="P34" s="293"/>
      <c r="Q34" s="293"/>
      <c r="R34" s="293"/>
      <c r="S34" s="293"/>
      <c r="T34" s="293"/>
      <c r="U34" s="293"/>
      <c r="V34" s="261"/>
      <c r="W34" s="261"/>
      <c r="X34" s="261"/>
      <c r="Y34" s="261"/>
      <c r="Z34" s="261"/>
      <c r="AA34" s="201"/>
      <c r="AB34" s="201"/>
    </row>
    <row r="35" spans="1:28">
      <c r="A35" s="303"/>
      <c r="B35" s="303"/>
      <c r="C35" s="303"/>
      <c r="D35" s="303"/>
      <c r="E35" s="303"/>
      <c r="F35" s="303"/>
      <c r="G35" s="303"/>
      <c r="H35" s="303"/>
      <c r="I35" s="303"/>
      <c r="J35" s="303"/>
      <c r="K35" s="303"/>
      <c r="L35" s="303"/>
      <c r="M35" s="293"/>
      <c r="N35" s="293"/>
      <c r="O35" s="293"/>
      <c r="P35" s="293"/>
      <c r="Q35" s="293"/>
      <c r="R35" s="293"/>
      <c r="S35" s="293"/>
      <c r="T35" s="293"/>
      <c r="U35" s="293"/>
      <c r="V35" s="261"/>
      <c r="W35" s="261"/>
      <c r="X35" s="261"/>
      <c r="Y35" s="261"/>
      <c r="Z35" s="261"/>
      <c r="AA35" s="201"/>
      <c r="AB35" s="201"/>
    </row>
    <row r="36" spans="1:28">
      <c r="A36" s="137" t="s">
        <v>1754</v>
      </c>
      <c r="B36" s="303"/>
      <c r="C36" s="303"/>
      <c r="D36" s="303"/>
      <c r="E36" s="303"/>
      <c r="F36" s="303"/>
      <c r="G36" s="303"/>
      <c r="H36" s="303"/>
      <c r="I36" s="303"/>
      <c r="J36" s="303"/>
      <c r="K36" s="303"/>
      <c r="L36" s="303"/>
      <c r="M36" s="293"/>
      <c r="N36" s="293"/>
      <c r="O36" s="293"/>
      <c r="P36" s="293"/>
      <c r="Q36" s="293"/>
      <c r="R36" s="293"/>
      <c r="S36" s="293"/>
      <c r="T36" s="293"/>
      <c r="U36" s="293"/>
      <c r="V36" s="261"/>
      <c r="W36" s="261"/>
      <c r="X36" s="261"/>
      <c r="Y36" s="261"/>
      <c r="Z36" s="261"/>
      <c r="AA36" s="201"/>
      <c r="AB36" s="201"/>
    </row>
    <row r="37" spans="1:28">
      <c r="A37" s="303"/>
      <c r="B37" s="303"/>
      <c r="C37" s="303"/>
      <c r="D37" s="303"/>
      <c r="E37" s="303"/>
      <c r="F37" s="303"/>
      <c r="G37" s="303"/>
      <c r="H37" s="303"/>
      <c r="I37" s="303"/>
      <c r="J37" s="303"/>
      <c r="K37" s="303"/>
      <c r="L37" s="303"/>
      <c r="M37" s="293"/>
      <c r="N37" s="293"/>
      <c r="O37" s="293"/>
      <c r="P37" s="293"/>
      <c r="Q37" s="293"/>
      <c r="R37" s="293"/>
      <c r="S37" s="293"/>
      <c r="T37" s="293"/>
      <c r="U37" s="293"/>
      <c r="V37" s="261"/>
      <c r="W37" s="261"/>
      <c r="X37" s="261"/>
      <c r="Y37" s="261"/>
      <c r="Z37" s="261"/>
      <c r="AA37" s="201"/>
      <c r="AB37" s="201"/>
    </row>
    <row r="38" spans="1:28">
      <c r="A38" s="137" t="s">
        <v>1755</v>
      </c>
      <c r="B38" s="137"/>
      <c r="C38" s="137"/>
      <c r="D38" s="137"/>
      <c r="E38" s="12"/>
      <c r="F38" s="12"/>
      <c r="G38" s="303"/>
      <c r="H38" s="303"/>
      <c r="I38" s="303"/>
      <c r="J38" s="303"/>
      <c r="K38" s="303"/>
      <c r="L38" s="303"/>
      <c r="M38" s="293"/>
      <c r="N38" s="293"/>
      <c r="O38" s="293"/>
      <c r="P38" s="293"/>
      <c r="Q38" s="293"/>
      <c r="R38" s="293"/>
      <c r="S38" s="293"/>
      <c r="T38" s="293"/>
      <c r="U38" s="293"/>
      <c r="V38" s="261"/>
      <c r="W38" s="261"/>
      <c r="X38" s="261"/>
      <c r="Y38" s="261"/>
      <c r="Z38" s="261"/>
      <c r="AA38" s="201"/>
      <c r="AB38" s="201"/>
    </row>
    <row r="39" spans="1:28">
      <c r="A39" s="303"/>
      <c r="B39" s="303"/>
      <c r="C39" s="303"/>
      <c r="D39" s="303"/>
      <c r="E39" s="303"/>
      <c r="F39" s="303"/>
      <c r="G39" s="303"/>
      <c r="H39" s="303"/>
      <c r="I39" s="303"/>
      <c r="J39" s="303"/>
      <c r="K39" s="303"/>
      <c r="L39" s="303"/>
      <c r="M39" s="293"/>
      <c r="N39" s="293"/>
      <c r="O39" s="293"/>
      <c r="P39" s="293"/>
      <c r="Q39" s="293"/>
      <c r="R39" s="293"/>
      <c r="S39" s="293"/>
      <c r="T39" s="293"/>
      <c r="U39" s="293"/>
      <c r="V39" s="261"/>
      <c r="W39" s="261"/>
      <c r="X39" s="261"/>
      <c r="Y39" s="261"/>
      <c r="Z39" s="261"/>
      <c r="AA39" s="201"/>
      <c r="AB39" s="201"/>
    </row>
    <row r="40" spans="1:28">
      <c r="A40" s="137" t="s">
        <v>1763</v>
      </c>
      <c r="B40" s="137"/>
      <c r="C40" s="12"/>
      <c r="D40" s="303"/>
      <c r="E40" s="303"/>
      <c r="F40" s="303"/>
      <c r="G40" s="303"/>
      <c r="H40" s="303"/>
      <c r="I40" s="303"/>
      <c r="J40" s="303"/>
      <c r="K40" s="303"/>
      <c r="L40" s="303"/>
      <c r="M40" s="293"/>
      <c r="N40" s="293"/>
      <c r="O40" s="293"/>
      <c r="P40" s="293"/>
      <c r="Q40" s="293"/>
      <c r="R40" s="293"/>
      <c r="S40" s="293"/>
      <c r="T40" s="293"/>
      <c r="U40" s="293"/>
      <c r="V40" s="261"/>
      <c r="W40" s="261"/>
      <c r="X40" s="261"/>
      <c r="Y40" s="261"/>
      <c r="Z40" s="261"/>
      <c r="AA40" s="201"/>
      <c r="AB40" s="201"/>
    </row>
    <row r="41" spans="1:28">
      <c r="A41" s="303"/>
      <c r="B41" s="303"/>
      <c r="C41" s="303"/>
      <c r="D41" s="303"/>
      <c r="E41" s="303"/>
      <c r="F41" s="303"/>
      <c r="G41" s="303"/>
      <c r="H41" s="303"/>
      <c r="I41" s="303"/>
      <c r="J41" s="303"/>
      <c r="K41" s="303"/>
      <c r="L41" s="303"/>
      <c r="M41" s="293"/>
      <c r="N41" s="293"/>
      <c r="O41" s="293"/>
      <c r="P41" s="293"/>
      <c r="Q41" s="293"/>
      <c r="R41" s="293"/>
      <c r="S41" s="293"/>
      <c r="T41" s="293"/>
      <c r="U41" s="293"/>
      <c r="V41" s="261"/>
      <c r="W41" s="261"/>
      <c r="X41" s="261"/>
      <c r="Y41" s="261"/>
      <c r="Z41" s="261"/>
      <c r="AA41" s="201"/>
      <c r="AB41" s="201"/>
    </row>
    <row r="42" spans="1:28">
      <c r="A42" s="137" t="s">
        <v>1764</v>
      </c>
      <c r="B42" s="303"/>
      <c r="C42" s="303"/>
      <c r="D42" s="303"/>
      <c r="E42" s="303"/>
      <c r="F42" s="303"/>
      <c r="G42" s="303"/>
      <c r="H42" s="303"/>
      <c r="I42" s="303"/>
      <c r="J42" s="303"/>
      <c r="K42" s="303"/>
      <c r="L42" s="303"/>
      <c r="M42" s="293"/>
      <c r="N42" s="293"/>
      <c r="O42" s="293"/>
      <c r="P42" s="293"/>
      <c r="Q42" s="293"/>
      <c r="R42" s="293"/>
      <c r="S42" s="293"/>
      <c r="T42" s="293"/>
      <c r="U42" s="293"/>
      <c r="V42" s="261"/>
      <c r="W42" s="261"/>
      <c r="X42" s="261"/>
      <c r="Y42" s="261"/>
      <c r="Z42" s="261"/>
      <c r="AA42" s="201"/>
      <c r="AB42" s="201"/>
    </row>
    <row r="43" spans="1:28">
      <c r="A43" s="303"/>
      <c r="B43" s="303"/>
      <c r="C43" s="303"/>
      <c r="D43" s="303"/>
      <c r="E43" s="303"/>
      <c r="F43" s="303"/>
      <c r="G43" s="303"/>
      <c r="H43" s="303"/>
      <c r="I43" s="303"/>
      <c r="J43" s="303"/>
      <c r="K43" s="303"/>
      <c r="L43" s="303"/>
      <c r="M43" s="293"/>
      <c r="N43" s="293"/>
      <c r="O43" s="293"/>
      <c r="P43" s="293"/>
      <c r="Q43" s="293"/>
      <c r="R43" s="293"/>
      <c r="S43" s="293"/>
      <c r="T43" s="293"/>
      <c r="U43" s="293"/>
      <c r="V43" s="261"/>
      <c r="W43" s="261"/>
      <c r="X43" s="261"/>
      <c r="Y43" s="261"/>
      <c r="Z43" s="261"/>
      <c r="AA43" s="201"/>
      <c r="AB43" s="201"/>
    </row>
    <row r="44" spans="1:28">
      <c r="A44" s="137" t="s">
        <v>2304</v>
      </c>
      <c r="B44" s="137"/>
      <c r="C44" s="137"/>
      <c r="D44" s="303"/>
      <c r="E44" s="303"/>
      <c r="F44" s="303"/>
      <c r="G44" s="303"/>
      <c r="H44" s="303"/>
      <c r="I44" s="303"/>
      <c r="J44" s="303"/>
      <c r="K44" s="303"/>
      <c r="L44" s="303"/>
      <c r="M44" s="293"/>
      <c r="N44" s="293"/>
      <c r="O44" s="293"/>
      <c r="P44" s="293"/>
      <c r="Q44" s="293"/>
      <c r="R44" s="293"/>
      <c r="S44" s="293"/>
      <c r="T44" s="293"/>
      <c r="U44" s="293"/>
      <c r="V44" s="261"/>
      <c r="W44" s="261"/>
      <c r="X44" s="261"/>
      <c r="Y44" s="261"/>
      <c r="Z44" s="261"/>
      <c r="AA44" s="201"/>
      <c r="AB44" s="201"/>
    </row>
    <row r="45" spans="1:28">
      <c r="A45" s="303"/>
      <c r="B45" s="303"/>
      <c r="C45" s="303"/>
      <c r="D45" s="303"/>
      <c r="E45" s="303"/>
      <c r="F45" s="303"/>
      <c r="G45" s="303"/>
      <c r="H45" s="303"/>
      <c r="I45" s="303"/>
      <c r="J45" s="303"/>
      <c r="K45" s="303"/>
      <c r="L45" s="303"/>
      <c r="M45" s="293"/>
      <c r="N45" s="293"/>
      <c r="O45" s="293"/>
      <c r="P45" s="293"/>
      <c r="Q45" s="293"/>
      <c r="R45" s="293"/>
      <c r="S45" s="293"/>
      <c r="T45" s="293"/>
      <c r="U45" s="293"/>
      <c r="V45" s="261"/>
      <c r="W45" s="261"/>
      <c r="X45" s="261"/>
      <c r="Y45" s="261"/>
      <c r="Z45" s="261"/>
      <c r="AA45" s="201"/>
      <c r="AB45" s="201"/>
    </row>
    <row r="46" spans="1:28">
      <c r="A46" s="137" t="s">
        <v>2346</v>
      </c>
      <c r="B46" s="137"/>
      <c r="C46" s="303"/>
      <c r="D46" s="303"/>
      <c r="E46" s="303"/>
      <c r="F46" s="303"/>
      <c r="G46" s="303"/>
      <c r="H46" s="303"/>
      <c r="I46" s="303"/>
      <c r="J46" s="303"/>
      <c r="K46" s="303"/>
      <c r="L46" s="303"/>
      <c r="M46" s="293"/>
      <c r="N46" s="293"/>
      <c r="O46" s="293"/>
      <c r="P46" s="293"/>
      <c r="Q46" s="293"/>
      <c r="R46" s="293"/>
      <c r="S46" s="293"/>
      <c r="T46" s="293"/>
      <c r="U46" s="293"/>
      <c r="V46" s="261"/>
      <c r="W46" s="261"/>
      <c r="X46" s="261"/>
      <c r="Y46" s="261"/>
      <c r="Z46" s="261"/>
      <c r="AA46" s="201"/>
      <c r="AB46" s="201"/>
    </row>
    <row r="47" spans="1:28">
      <c r="A47" s="303"/>
      <c r="B47" s="303"/>
      <c r="C47" s="303"/>
      <c r="D47" s="303"/>
      <c r="E47" s="303"/>
      <c r="F47" s="303"/>
      <c r="G47" s="303"/>
      <c r="H47" s="303"/>
      <c r="I47" s="303"/>
      <c r="J47" s="303"/>
      <c r="K47" s="303"/>
      <c r="L47" s="303"/>
      <c r="M47" s="293"/>
      <c r="N47" s="293"/>
      <c r="O47" s="293"/>
      <c r="P47" s="293"/>
      <c r="Q47" s="293"/>
      <c r="R47" s="293"/>
      <c r="S47" s="293"/>
      <c r="T47" s="293"/>
      <c r="U47" s="293"/>
      <c r="V47" s="261"/>
      <c r="W47" s="261"/>
      <c r="X47" s="261"/>
      <c r="Y47" s="261"/>
      <c r="Z47" s="261"/>
      <c r="AA47" s="201"/>
      <c r="AB47" s="201"/>
    </row>
    <row r="48" spans="1:28">
      <c r="A48" s="137" t="s">
        <v>2347</v>
      </c>
      <c r="B48" s="137"/>
      <c r="C48" s="137"/>
      <c r="D48" s="137"/>
      <c r="E48" s="137"/>
      <c r="F48" s="137"/>
      <c r="G48" s="137"/>
      <c r="H48" s="137"/>
      <c r="I48" s="137"/>
      <c r="J48" s="137"/>
      <c r="K48" s="137"/>
      <c r="L48" s="137"/>
      <c r="M48" s="64"/>
      <c r="N48" s="64"/>
      <c r="O48" s="64"/>
      <c r="P48" s="64"/>
      <c r="Q48" s="3"/>
      <c r="R48" s="3"/>
      <c r="S48" s="293"/>
      <c r="T48" s="293"/>
      <c r="U48" s="293"/>
      <c r="V48" s="261"/>
      <c r="W48" s="261"/>
      <c r="X48" s="261"/>
      <c r="Y48" s="261"/>
      <c r="Z48" s="261"/>
      <c r="AA48" s="201"/>
      <c r="AB48" s="201"/>
    </row>
    <row r="49" spans="1:28">
      <c r="A49" s="137" t="s">
        <v>2348</v>
      </c>
      <c r="B49" s="137"/>
      <c r="C49" s="137"/>
      <c r="D49" s="137"/>
      <c r="E49" s="137"/>
      <c r="F49" s="137"/>
      <c r="G49" s="137"/>
      <c r="H49" s="137"/>
      <c r="I49" s="137"/>
      <c r="J49" s="137"/>
      <c r="K49" s="137"/>
      <c r="L49" s="137"/>
      <c r="M49" s="64"/>
      <c r="N49" s="64"/>
      <c r="O49" s="64"/>
      <c r="P49" s="64"/>
      <c r="Q49" s="3"/>
      <c r="R49" s="3"/>
      <c r="S49" s="293"/>
      <c r="T49" s="293"/>
      <c r="U49" s="293"/>
      <c r="V49" s="261"/>
      <c r="W49" s="261"/>
      <c r="X49" s="261"/>
      <c r="Y49" s="261"/>
      <c r="Z49" s="261"/>
      <c r="AA49" s="201"/>
      <c r="AB49" s="201"/>
    </row>
    <row r="50" spans="1:28">
      <c r="A50" s="137" t="s">
        <v>2349</v>
      </c>
      <c r="B50" s="137"/>
      <c r="C50" s="137"/>
      <c r="D50" s="137"/>
      <c r="E50" s="137"/>
      <c r="F50" s="137"/>
      <c r="G50" s="137"/>
      <c r="H50" s="137"/>
      <c r="I50" s="137"/>
      <c r="J50" s="137"/>
      <c r="K50" s="137"/>
      <c r="L50" s="137"/>
      <c r="M50" s="64"/>
      <c r="N50" s="64"/>
      <c r="O50" s="64"/>
      <c r="P50" s="64"/>
      <c r="Q50" s="3"/>
      <c r="R50" s="3"/>
      <c r="S50" s="293"/>
      <c r="T50" s="293"/>
      <c r="U50" s="293"/>
      <c r="V50" s="261"/>
      <c r="W50" s="261"/>
      <c r="X50" s="261"/>
      <c r="Y50" s="261"/>
      <c r="Z50" s="261"/>
      <c r="AA50" s="201"/>
      <c r="AB50" s="201"/>
    </row>
    <row r="51" spans="1:28">
      <c r="A51" s="303"/>
      <c r="B51" s="303"/>
      <c r="C51" s="303"/>
      <c r="D51" s="303"/>
      <c r="E51" s="303"/>
      <c r="F51" s="303"/>
      <c r="G51" s="303"/>
      <c r="H51" s="303"/>
      <c r="I51" s="303"/>
      <c r="J51" s="303"/>
      <c r="K51" s="303"/>
      <c r="L51" s="303"/>
      <c r="M51" s="293"/>
      <c r="N51" s="293"/>
      <c r="O51" s="293"/>
      <c r="P51" s="293"/>
      <c r="Q51" s="293"/>
      <c r="R51" s="293"/>
      <c r="S51" s="293"/>
      <c r="T51" s="293"/>
      <c r="U51" s="293"/>
      <c r="V51" s="261"/>
      <c r="W51" s="261"/>
      <c r="X51" s="261"/>
      <c r="Y51" s="261"/>
      <c r="Z51" s="261"/>
      <c r="AA51" s="201"/>
      <c r="AB51" s="201"/>
    </row>
    <row r="52" spans="1:28">
      <c r="A52" s="303"/>
      <c r="B52" s="303"/>
      <c r="C52" s="303"/>
      <c r="D52" s="303"/>
      <c r="E52" s="303"/>
      <c r="F52" s="303"/>
      <c r="G52" s="303"/>
      <c r="H52" s="303"/>
      <c r="I52" s="303"/>
      <c r="J52" s="303"/>
      <c r="K52" s="303"/>
      <c r="L52" s="303"/>
      <c r="M52" s="293"/>
      <c r="N52" s="293"/>
      <c r="O52" s="293"/>
      <c r="P52" s="293"/>
      <c r="Q52" s="293"/>
      <c r="R52" s="293"/>
      <c r="S52" s="293"/>
      <c r="T52" s="293"/>
      <c r="U52" s="293"/>
      <c r="V52" s="261"/>
      <c r="W52" s="261"/>
      <c r="X52" s="261"/>
      <c r="Y52" s="261"/>
      <c r="Z52" s="261"/>
      <c r="AA52" s="201"/>
      <c r="AB52" s="201"/>
    </row>
    <row r="53" spans="1:28">
      <c r="A53" s="303"/>
      <c r="B53" s="303"/>
      <c r="C53" s="303"/>
      <c r="D53" s="303"/>
      <c r="E53" s="303"/>
      <c r="F53" s="303"/>
      <c r="G53" s="303"/>
      <c r="H53" s="303"/>
      <c r="I53" s="303"/>
      <c r="J53" s="303"/>
      <c r="K53" s="303"/>
      <c r="L53" s="303"/>
      <c r="M53" s="293"/>
      <c r="N53" s="293"/>
      <c r="O53" s="293"/>
      <c r="P53" s="293"/>
      <c r="Q53" s="293"/>
      <c r="R53" s="293"/>
      <c r="S53" s="293"/>
      <c r="T53" s="293"/>
      <c r="U53" s="293"/>
      <c r="V53" s="261"/>
      <c r="W53" s="261"/>
      <c r="X53" s="261"/>
      <c r="Y53" s="261"/>
      <c r="Z53" s="261"/>
      <c r="AA53" s="201"/>
      <c r="AB53" s="201"/>
    </row>
    <row r="54" spans="1:28">
      <c r="A54" s="303"/>
      <c r="B54" s="303"/>
      <c r="C54" s="303"/>
      <c r="D54" s="303"/>
      <c r="E54" s="303"/>
      <c r="F54" s="303"/>
      <c r="G54" s="303"/>
      <c r="H54" s="303"/>
      <c r="I54" s="303"/>
      <c r="J54" s="303"/>
      <c r="K54" s="303"/>
      <c r="L54" s="303"/>
      <c r="M54" s="293"/>
      <c r="N54" s="293"/>
      <c r="O54" s="293"/>
      <c r="P54" s="293"/>
      <c r="Q54" s="293"/>
      <c r="R54" s="293"/>
      <c r="S54" s="293"/>
      <c r="T54" s="293"/>
      <c r="U54" s="293"/>
      <c r="V54" s="261"/>
      <c r="W54" s="261"/>
      <c r="X54" s="261"/>
      <c r="Y54" s="261"/>
      <c r="Z54" s="261"/>
      <c r="AA54" s="201"/>
      <c r="AB54" s="201"/>
    </row>
    <row r="55" spans="1:28">
      <c r="A55" s="303"/>
      <c r="B55" s="303"/>
      <c r="C55" s="303"/>
      <c r="D55" s="303"/>
      <c r="E55" s="303"/>
      <c r="F55" s="303"/>
      <c r="G55" s="303"/>
      <c r="H55" s="303"/>
      <c r="I55" s="303"/>
      <c r="J55" s="303"/>
      <c r="K55" s="303"/>
      <c r="L55" s="303"/>
      <c r="M55" s="293"/>
      <c r="N55" s="293"/>
      <c r="O55" s="293"/>
      <c r="P55" s="293"/>
      <c r="Q55" s="293"/>
      <c r="R55" s="293"/>
      <c r="S55" s="293"/>
      <c r="T55" s="293"/>
      <c r="U55" s="293"/>
      <c r="V55" s="261"/>
      <c r="W55" s="261"/>
      <c r="X55" s="261"/>
      <c r="Y55" s="261"/>
      <c r="Z55" s="261"/>
      <c r="AA55" s="201"/>
      <c r="AB55" s="201"/>
    </row>
    <row r="56" spans="1:28">
      <c r="A56" s="303"/>
      <c r="B56" s="303"/>
      <c r="C56" s="303"/>
      <c r="D56" s="303"/>
      <c r="E56" s="303"/>
      <c r="F56" s="303"/>
      <c r="G56" s="303"/>
      <c r="H56" s="303"/>
      <c r="I56" s="303"/>
      <c r="J56" s="303"/>
      <c r="K56" s="303"/>
      <c r="L56" s="303"/>
      <c r="M56" s="293"/>
      <c r="N56" s="293"/>
      <c r="O56" s="293"/>
      <c r="P56" s="293"/>
      <c r="Q56" s="293"/>
      <c r="R56" s="293"/>
      <c r="S56" s="293"/>
      <c r="T56" s="293"/>
      <c r="U56" s="293"/>
      <c r="V56" s="261"/>
      <c r="W56" s="261"/>
      <c r="X56" s="261"/>
      <c r="Y56" s="261"/>
      <c r="Z56" s="261"/>
      <c r="AA56" s="201"/>
      <c r="AB56" s="201"/>
    </row>
    <row r="57" spans="1:28">
      <c r="A57" s="303"/>
      <c r="B57" s="303"/>
      <c r="C57" s="303"/>
      <c r="D57" s="303"/>
      <c r="E57" s="303"/>
      <c r="F57" s="303"/>
      <c r="G57" s="303"/>
      <c r="H57" s="303"/>
      <c r="I57" s="303"/>
      <c r="J57" s="303"/>
      <c r="K57" s="303"/>
      <c r="L57" s="303"/>
      <c r="M57" s="293"/>
      <c r="N57" s="293"/>
      <c r="O57" s="293"/>
      <c r="P57" s="293"/>
      <c r="Q57" s="293"/>
      <c r="R57" s="293"/>
      <c r="S57" s="293"/>
      <c r="T57" s="293"/>
      <c r="U57" s="293"/>
      <c r="V57" s="261"/>
      <c r="W57" s="261"/>
      <c r="X57" s="261"/>
      <c r="Y57" s="261"/>
      <c r="Z57" s="261"/>
      <c r="AA57" s="201"/>
      <c r="AB57" s="201"/>
    </row>
    <row r="58" spans="1:28">
      <c r="A58" s="303"/>
      <c r="B58" s="303"/>
      <c r="C58" s="303"/>
      <c r="D58" s="303"/>
      <c r="E58" s="303"/>
      <c r="F58" s="303"/>
      <c r="G58" s="303"/>
      <c r="H58" s="303"/>
      <c r="I58" s="303"/>
      <c r="J58" s="303"/>
      <c r="K58" s="303"/>
      <c r="L58" s="303"/>
      <c r="M58" s="293"/>
      <c r="N58" s="293"/>
      <c r="O58" s="293"/>
      <c r="P58" s="293"/>
      <c r="Q58" s="293"/>
      <c r="R58" s="293"/>
      <c r="S58" s="293"/>
      <c r="T58" s="293"/>
      <c r="U58" s="293"/>
      <c r="V58" s="261"/>
      <c r="W58" s="261"/>
      <c r="X58" s="261"/>
      <c r="Y58" s="261"/>
      <c r="Z58" s="261"/>
      <c r="AA58" s="201"/>
      <c r="AB58" s="201"/>
    </row>
    <row r="59" spans="1:28">
      <c r="A59" s="303"/>
      <c r="B59" s="303"/>
      <c r="C59" s="303"/>
      <c r="D59" s="303"/>
      <c r="E59" s="303"/>
      <c r="F59" s="303"/>
      <c r="G59" s="303"/>
      <c r="H59" s="303"/>
      <c r="I59" s="303"/>
      <c r="J59" s="303"/>
      <c r="K59" s="303"/>
      <c r="L59" s="303"/>
      <c r="M59" s="293"/>
      <c r="N59" s="293"/>
      <c r="O59" s="293"/>
      <c r="P59" s="293"/>
      <c r="Q59" s="293"/>
      <c r="R59" s="293"/>
      <c r="S59" s="293"/>
      <c r="T59" s="293"/>
      <c r="U59" s="293"/>
      <c r="V59" s="261"/>
      <c r="W59" s="261"/>
      <c r="X59" s="261"/>
      <c r="Y59" s="261"/>
      <c r="Z59" s="261"/>
      <c r="AA59" s="201"/>
      <c r="AB59" s="201"/>
    </row>
    <row r="60" spans="1:28">
      <c r="A60" s="303"/>
      <c r="B60" s="303"/>
      <c r="C60" s="303"/>
      <c r="D60" s="303"/>
      <c r="E60" s="303"/>
      <c r="F60" s="303"/>
      <c r="G60" s="303"/>
      <c r="H60" s="303"/>
      <c r="I60" s="303"/>
      <c r="J60" s="303"/>
      <c r="K60" s="303"/>
      <c r="L60" s="303"/>
      <c r="M60" s="293"/>
      <c r="N60" s="293"/>
      <c r="O60" s="293"/>
      <c r="P60" s="293"/>
      <c r="Q60" s="293"/>
      <c r="R60" s="293"/>
      <c r="S60" s="293"/>
      <c r="T60" s="293"/>
      <c r="U60" s="293"/>
      <c r="V60" s="261"/>
      <c r="W60" s="261"/>
      <c r="X60" s="261"/>
      <c r="Y60" s="261"/>
      <c r="Z60" s="261"/>
      <c r="AA60" s="201"/>
      <c r="AB60" s="201"/>
    </row>
    <row r="61" spans="1:28">
      <c r="A61" s="187"/>
      <c r="B61" s="187"/>
      <c r="C61" s="187"/>
      <c r="D61" s="187"/>
      <c r="E61" s="187"/>
      <c r="F61" s="187"/>
      <c r="G61" s="187"/>
      <c r="H61" s="187"/>
      <c r="I61" s="187"/>
      <c r="J61" s="187"/>
      <c r="K61" s="187"/>
      <c r="L61" s="187"/>
      <c r="M61" s="54"/>
      <c r="N61" s="54"/>
      <c r="O61" s="54"/>
      <c r="P61" s="54"/>
      <c r="Q61" s="54"/>
      <c r="R61" s="54"/>
      <c r="S61" s="54"/>
      <c r="T61" s="54"/>
      <c r="U61" s="54"/>
      <c r="V61" s="51"/>
      <c r="W61" s="51"/>
      <c r="X61" s="51"/>
      <c r="Y61" s="51"/>
      <c r="Z61" s="51"/>
      <c r="AA61" s="52"/>
      <c r="AB61" s="52"/>
    </row>
    <row r="62" spans="1:28">
      <c r="A62" s="187"/>
      <c r="B62" s="187"/>
      <c r="C62" s="187"/>
      <c r="D62" s="187"/>
      <c r="E62" s="187"/>
      <c r="F62" s="187"/>
      <c r="G62" s="187"/>
      <c r="H62" s="187"/>
      <c r="I62" s="187"/>
      <c r="J62" s="187"/>
      <c r="K62" s="187"/>
      <c r="L62" s="187"/>
      <c r="M62" s="54"/>
      <c r="N62" s="54"/>
      <c r="O62" s="54"/>
      <c r="P62" s="54"/>
      <c r="Q62" s="54"/>
      <c r="R62" s="54"/>
      <c r="S62" s="54"/>
      <c r="T62" s="54"/>
      <c r="U62" s="54"/>
      <c r="V62" s="51"/>
      <c r="W62" s="51"/>
      <c r="X62" s="51"/>
      <c r="Y62" s="51"/>
      <c r="Z62" s="51"/>
      <c r="AA62" s="52"/>
      <c r="AB62" s="52"/>
    </row>
    <row r="63" spans="1:28">
      <c r="A63" s="187"/>
      <c r="B63" s="187"/>
      <c r="C63" s="187"/>
      <c r="D63" s="187"/>
      <c r="E63" s="187"/>
      <c r="F63" s="187"/>
      <c r="G63" s="187"/>
      <c r="H63" s="187"/>
      <c r="I63" s="187"/>
      <c r="J63" s="187"/>
      <c r="K63" s="187"/>
      <c r="L63" s="187"/>
      <c r="M63" s="54"/>
      <c r="N63" s="54"/>
      <c r="O63" s="54"/>
      <c r="P63" s="54"/>
      <c r="Q63" s="54"/>
      <c r="R63" s="54"/>
      <c r="S63" s="54"/>
      <c r="T63" s="54"/>
      <c r="U63" s="54"/>
      <c r="V63" s="51"/>
      <c r="W63" s="51"/>
      <c r="X63" s="51"/>
      <c r="Y63" s="51"/>
      <c r="Z63" s="51"/>
      <c r="AA63" s="52"/>
      <c r="AB63" s="52"/>
    </row>
    <row r="64" spans="1:28">
      <c r="A64" s="187"/>
      <c r="B64" s="187"/>
      <c r="C64" s="187"/>
      <c r="D64" s="187"/>
      <c r="E64" s="187"/>
      <c r="F64" s="187"/>
      <c r="G64" s="187"/>
      <c r="H64" s="187"/>
      <c r="I64" s="187"/>
      <c r="J64" s="187"/>
      <c r="K64" s="187"/>
      <c r="L64" s="187"/>
      <c r="M64" s="54"/>
      <c r="N64" s="54"/>
      <c r="O64" s="54"/>
      <c r="P64" s="54"/>
      <c r="Q64" s="54"/>
      <c r="R64" s="54"/>
      <c r="S64" s="54"/>
      <c r="T64" s="54"/>
      <c r="U64" s="54"/>
      <c r="V64" s="51"/>
      <c r="W64" s="51"/>
      <c r="X64" s="51"/>
      <c r="Y64" s="51"/>
      <c r="Z64" s="51"/>
      <c r="AA64" s="52"/>
      <c r="AB64" s="52"/>
    </row>
    <row r="65" spans="1:28">
      <c r="A65" s="187"/>
      <c r="B65" s="187"/>
      <c r="C65" s="187"/>
      <c r="D65" s="187"/>
      <c r="E65" s="187"/>
      <c r="F65" s="187"/>
      <c r="G65" s="187"/>
      <c r="H65" s="187"/>
      <c r="I65" s="187"/>
      <c r="J65" s="187"/>
      <c r="K65" s="187"/>
      <c r="L65" s="187"/>
      <c r="M65" s="54"/>
      <c r="N65" s="54"/>
      <c r="O65" s="54"/>
      <c r="P65" s="54"/>
      <c r="Q65" s="54"/>
      <c r="R65" s="54"/>
      <c r="S65" s="54"/>
      <c r="T65" s="54"/>
      <c r="U65" s="54"/>
      <c r="V65" s="51"/>
      <c r="W65" s="51"/>
      <c r="X65" s="51"/>
      <c r="Y65" s="51"/>
      <c r="Z65" s="51"/>
      <c r="AA65" s="52"/>
      <c r="AB65" s="52"/>
    </row>
    <row r="66" spans="1:28">
      <c r="A66" s="187"/>
      <c r="B66" s="187"/>
      <c r="C66" s="187"/>
      <c r="D66" s="187"/>
      <c r="E66" s="187"/>
      <c r="F66" s="187"/>
      <c r="G66" s="187"/>
      <c r="H66" s="187"/>
      <c r="I66" s="187"/>
      <c r="J66" s="187"/>
      <c r="K66" s="187"/>
      <c r="L66" s="187"/>
      <c r="M66" s="54"/>
      <c r="N66" s="54"/>
      <c r="O66" s="54"/>
      <c r="P66" s="54"/>
      <c r="Q66" s="54"/>
      <c r="R66" s="54"/>
      <c r="S66" s="54"/>
      <c r="T66" s="54"/>
      <c r="U66" s="54"/>
      <c r="V66" s="51"/>
      <c r="W66" s="51"/>
      <c r="X66" s="51"/>
      <c r="Y66" s="51"/>
      <c r="Z66" s="51"/>
      <c r="AA66" s="52"/>
      <c r="AB66" s="52"/>
    </row>
    <row r="67" spans="1:28">
      <c r="A67" s="187"/>
      <c r="B67" s="187"/>
      <c r="C67" s="187"/>
      <c r="D67" s="187"/>
      <c r="E67" s="187"/>
      <c r="F67" s="187"/>
      <c r="G67" s="187"/>
      <c r="H67" s="187"/>
      <c r="I67" s="187"/>
      <c r="J67" s="187"/>
      <c r="K67" s="187"/>
      <c r="L67" s="187"/>
      <c r="M67" s="54"/>
      <c r="N67" s="54"/>
      <c r="O67" s="54"/>
      <c r="P67" s="54"/>
      <c r="Q67" s="54"/>
      <c r="R67" s="54"/>
      <c r="S67" s="54"/>
      <c r="T67" s="54"/>
      <c r="U67" s="54"/>
      <c r="V67" s="51"/>
      <c r="W67" s="51"/>
      <c r="X67" s="51"/>
      <c r="Y67" s="51"/>
      <c r="Z67" s="51"/>
      <c r="AA67" s="52"/>
      <c r="AB67" s="52"/>
    </row>
    <row r="68" spans="1:28">
      <c r="A68" s="187"/>
      <c r="B68" s="187"/>
      <c r="C68" s="187"/>
      <c r="D68" s="187"/>
      <c r="E68" s="187"/>
      <c r="F68" s="187"/>
      <c r="G68" s="187"/>
      <c r="H68" s="187"/>
      <c r="I68" s="54"/>
      <c r="J68" s="54"/>
      <c r="K68" s="54"/>
      <c r="L68" s="54"/>
      <c r="M68" s="54"/>
      <c r="N68" s="54"/>
      <c r="O68" s="54"/>
      <c r="P68" s="54"/>
      <c r="Q68" s="54"/>
      <c r="R68" s="54"/>
      <c r="S68" s="54"/>
      <c r="T68" s="54"/>
      <c r="U68" s="54"/>
      <c r="V68" s="51"/>
      <c r="W68" s="51"/>
      <c r="X68" s="51"/>
      <c r="Y68" s="51"/>
      <c r="Z68" s="51"/>
      <c r="AA68" s="52"/>
      <c r="AB68" s="52"/>
    </row>
    <row r="69" spans="1:28">
      <c r="A69" s="54"/>
      <c r="B69" s="54"/>
      <c r="C69" s="54"/>
      <c r="D69" s="54"/>
      <c r="E69" s="54"/>
      <c r="F69" s="54"/>
      <c r="G69" s="54"/>
      <c r="H69" s="54"/>
      <c r="I69" s="54"/>
      <c r="J69" s="54"/>
      <c r="K69" s="54"/>
      <c r="L69" s="54"/>
      <c r="M69" s="54"/>
      <c r="N69" s="54"/>
      <c r="O69" s="54"/>
      <c r="P69" s="54"/>
      <c r="Q69" s="54"/>
      <c r="R69" s="54"/>
      <c r="S69" s="54"/>
      <c r="T69" s="54"/>
      <c r="U69" s="54"/>
      <c r="V69" s="51"/>
      <c r="W69" s="51"/>
      <c r="X69" s="51"/>
      <c r="Y69" s="51"/>
      <c r="Z69" s="51"/>
      <c r="AA69" s="52"/>
      <c r="AB69" s="52"/>
    </row>
    <row r="70" spans="1:28">
      <c r="A70" s="54"/>
      <c r="B70" s="54"/>
      <c r="C70" s="54"/>
      <c r="D70" s="54"/>
      <c r="E70" s="54"/>
      <c r="F70" s="54"/>
      <c r="G70" s="54"/>
      <c r="H70" s="54"/>
      <c r="I70" s="52"/>
      <c r="J70" s="52"/>
      <c r="K70" s="52"/>
      <c r="L70" s="52"/>
      <c r="M70" s="52"/>
      <c r="N70" s="52"/>
      <c r="O70" s="52"/>
      <c r="P70" s="52"/>
      <c r="Q70" s="52"/>
      <c r="R70" s="52"/>
      <c r="S70" s="52"/>
      <c r="T70" s="52"/>
      <c r="U70" s="52"/>
      <c r="V70" s="52"/>
      <c r="W70" s="52"/>
      <c r="X70" s="52"/>
      <c r="Y70" s="52"/>
      <c r="Z70" s="52"/>
      <c r="AA70" s="52"/>
      <c r="AB70" s="52"/>
    </row>
    <row r="71" spans="1:28">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row>
    <row r="72" spans="1:28">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row>
    <row r="73" spans="1:28">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row>
    <row r="74" spans="1:28">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row>
    <row r="75" spans="1:28">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row>
    <row r="76" spans="1:28">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row>
    <row r="77" spans="1:28">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row>
    <row r="78" spans="1:2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row>
    <row r="79" spans="1:28">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row>
    <row r="80" spans="1:28">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row>
    <row r="81" spans="1:28">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row>
    <row r="82" spans="1:28">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row>
    <row r="83" spans="1:28">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row>
    <row r="84" spans="1:28">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row>
    <row r="85" spans="1:28">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row>
    <row r="86" spans="1:28">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row>
    <row r="87" spans="1:28">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row>
    <row r="88" spans="1:2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row>
    <row r="89" spans="1:28">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row>
    <row r="90" spans="1:28">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row>
    <row r="91" spans="1:28">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row>
    <row r="92" spans="1:28">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row>
    <row r="93" spans="1:28">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row>
    <row r="94" spans="1:28">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row>
    <row r="95" spans="1:28">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row>
  </sheetData>
  <mergeCells count="1">
    <mergeCell ref="B2:G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6F73-ADE8-4979-B15E-7D923C5489D0}">
  <dimension ref="A1:AA160"/>
  <sheetViews>
    <sheetView zoomScale="70" zoomScaleNormal="70" workbookViewId="0"/>
  </sheetViews>
  <sheetFormatPr defaultRowHeight="14"/>
  <cols>
    <col min="1" max="1" width="70.58203125" customWidth="1"/>
    <col min="2" max="2" width="73" customWidth="1"/>
    <col min="3" max="3" width="15.75" customWidth="1"/>
    <col min="4" max="4" width="14.25" customWidth="1"/>
    <col min="5" max="5" width="18" customWidth="1"/>
    <col min="6" max="6" width="15.1640625" customWidth="1"/>
    <col min="7" max="7" width="15.25" customWidth="1"/>
    <col min="8" max="8" width="8.4140625" customWidth="1"/>
    <col min="9" max="9" width="21.25" customWidth="1"/>
    <col min="10" max="10" width="18" customWidth="1"/>
    <col min="11" max="11" width="22.75" customWidth="1"/>
    <col min="12" max="12" width="16.25" customWidth="1"/>
    <col min="13" max="13" width="16.58203125" customWidth="1"/>
    <col min="14" max="14" width="93.75" customWidth="1"/>
    <col min="18" max="18" width="23.1640625" customWidth="1"/>
    <col min="19" max="19" width="10.1640625" customWidth="1"/>
  </cols>
  <sheetData>
    <row r="1" spans="1:26">
      <c r="A1" s="169" t="s">
        <v>1262</v>
      </c>
      <c r="B1" s="12"/>
      <c r="C1" s="137" t="s">
        <v>1254</v>
      </c>
      <c r="D1" s="137"/>
      <c r="E1" s="137"/>
      <c r="F1" s="12"/>
      <c r="G1" s="12"/>
      <c r="H1" s="12"/>
      <c r="I1" s="12"/>
      <c r="J1" s="12"/>
      <c r="K1" s="12"/>
      <c r="L1" s="12"/>
      <c r="M1" s="12"/>
      <c r="N1" s="12"/>
      <c r="O1" s="12"/>
      <c r="P1" s="12"/>
      <c r="Q1" s="12"/>
      <c r="R1" s="12"/>
      <c r="S1" s="289"/>
      <c r="T1" s="289"/>
      <c r="U1" s="168"/>
      <c r="V1" s="168"/>
      <c r="W1" s="168"/>
      <c r="X1" s="51"/>
      <c r="Y1" s="51"/>
      <c r="Z1" s="51"/>
    </row>
    <row r="2" spans="1:26">
      <c r="A2" s="12" t="s">
        <v>420</v>
      </c>
      <c r="B2" s="12" t="s">
        <v>421</v>
      </c>
      <c r="C2" s="12" t="s">
        <v>748</v>
      </c>
      <c r="D2" s="12" t="s">
        <v>749</v>
      </c>
      <c r="E2" s="12" t="s">
        <v>750</v>
      </c>
      <c r="F2" s="12" t="s">
        <v>751</v>
      </c>
      <c r="G2" s="12" t="s">
        <v>752</v>
      </c>
      <c r="H2" s="12" t="s">
        <v>753</v>
      </c>
      <c r="I2" s="12" t="s">
        <v>754</v>
      </c>
      <c r="J2" s="12" t="s">
        <v>755</v>
      </c>
      <c r="K2" s="12" t="s">
        <v>756</v>
      </c>
      <c r="L2" s="12" t="s">
        <v>757</v>
      </c>
      <c r="M2" s="12" t="s">
        <v>758</v>
      </c>
      <c r="N2" s="12" t="s">
        <v>759</v>
      </c>
      <c r="O2" s="22" t="s">
        <v>1255</v>
      </c>
      <c r="P2" s="22"/>
      <c r="Q2" s="22"/>
      <c r="R2" s="22"/>
      <c r="S2" s="289"/>
      <c r="T2" s="289"/>
      <c r="U2" s="168"/>
      <c r="V2" s="168"/>
      <c r="W2" s="168"/>
      <c r="X2" s="51"/>
      <c r="Y2" s="51"/>
      <c r="Z2" s="51"/>
    </row>
    <row r="3" spans="1:26">
      <c r="A3" s="169" t="s">
        <v>326</v>
      </c>
      <c r="B3" s="169" t="s">
        <v>333</v>
      </c>
      <c r="C3" s="33" t="s">
        <v>247</v>
      </c>
      <c r="D3" s="33"/>
      <c r="E3" s="33"/>
      <c r="F3" s="33"/>
      <c r="G3" s="33"/>
      <c r="H3" s="169"/>
      <c r="I3" s="33" t="s">
        <v>246</v>
      </c>
      <c r="J3" s="33"/>
      <c r="K3" s="33"/>
      <c r="L3" s="33"/>
      <c r="M3" s="33"/>
      <c r="N3" s="188"/>
      <c r="O3" s="30" t="s">
        <v>1256</v>
      </c>
      <c r="P3" s="30"/>
      <c r="Q3" s="30"/>
      <c r="R3" s="30"/>
      <c r="S3" s="289"/>
      <c r="T3" s="289"/>
      <c r="U3" s="168"/>
      <c r="V3" s="168"/>
      <c r="W3" s="168"/>
      <c r="X3" s="51"/>
      <c r="Y3" s="51"/>
      <c r="Z3" s="51"/>
    </row>
    <row r="4" spans="1:26">
      <c r="A4" s="30" t="s">
        <v>327</v>
      </c>
      <c r="B4" s="22"/>
      <c r="C4" s="33">
        <v>2020</v>
      </c>
      <c r="D4" s="33">
        <v>2021</v>
      </c>
      <c r="E4" s="33">
        <v>2022</v>
      </c>
      <c r="F4" s="33">
        <v>2023</v>
      </c>
      <c r="G4" s="33">
        <v>2024</v>
      </c>
      <c r="H4" s="12"/>
      <c r="I4" s="33">
        <f>C4</f>
        <v>2020</v>
      </c>
      <c r="J4" s="33">
        <v>2021</v>
      </c>
      <c r="K4" s="33">
        <v>2022</v>
      </c>
      <c r="L4" s="33">
        <v>2023</v>
      </c>
      <c r="M4" s="33">
        <v>2024</v>
      </c>
      <c r="N4" s="188" t="s">
        <v>1046</v>
      </c>
      <c r="O4" s="30" t="s">
        <v>1257</v>
      </c>
      <c r="P4" s="30"/>
      <c r="Q4" s="30"/>
      <c r="R4" s="30"/>
      <c r="S4" s="289"/>
      <c r="T4" s="289"/>
      <c r="U4" s="168"/>
      <c r="V4" s="168"/>
      <c r="W4" s="168"/>
      <c r="X4" s="51"/>
      <c r="Y4" s="51"/>
      <c r="Z4" s="51"/>
    </row>
    <row r="5" spans="1:26">
      <c r="A5" s="30" t="s">
        <v>334</v>
      </c>
      <c r="B5" s="22" t="s">
        <v>359</v>
      </c>
      <c r="C5" s="221">
        <f>'Profit Loss'!B20/'Profit Loss'!B24</f>
        <v>6.3727634194831015</v>
      </c>
      <c r="D5" s="221">
        <f>'Profit Loss'!C20/'Profit Loss'!C24</f>
        <v>8.7570564516129039</v>
      </c>
      <c r="E5" s="221">
        <f>'Profit Loss'!D20/'Profit Loss'!D24</f>
        <v>10.226570545829043</v>
      </c>
      <c r="F5" s="221">
        <f>'Profit Loss'!E20/'Profit Loss'!E24</f>
        <v>11.834038054968287</v>
      </c>
      <c r="G5" s="221">
        <f>'Profit Loss'!F20/'Profit Loss'!F24</f>
        <v>13.887810140237324</v>
      </c>
      <c r="H5" s="12"/>
      <c r="I5" s="221" t="s">
        <v>970</v>
      </c>
      <c r="J5" s="221" t="s">
        <v>970</v>
      </c>
      <c r="K5" s="221" t="s">
        <v>970</v>
      </c>
      <c r="L5" s="221" t="s">
        <v>970</v>
      </c>
      <c r="M5" s="221" t="s">
        <v>970</v>
      </c>
      <c r="N5" s="355" t="s">
        <v>1047</v>
      </c>
      <c r="O5" s="30" t="s">
        <v>1258</v>
      </c>
      <c r="P5" s="30"/>
      <c r="Q5" s="30"/>
      <c r="R5" s="30"/>
      <c r="S5" s="289"/>
      <c r="T5" s="289"/>
      <c r="U5" s="168"/>
      <c r="V5" s="168"/>
      <c r="W5" s="168"/>
      <c r="X5" s="51"/>
      <c r="Y5" s="51"/>
      <c r="Z5" s="51"/>
    </row>
    <row r="6" spans="1:26">
      <c r="A6" s="30" t="s">
        <v>360</v>
      </c>
      <c r="B6" s="22" t="s">
        <v>361</v>
      </c>
      <c r="C6" s="221">
        <f>-'Cash Flow'!B42/'Profit Loss'!B24</f>
        <v>1.5954274353876741</v>
      </c>
      <c r="D6" s="221">
        <f>-'Cash Flow'!C42/'Profit Loss'!C24</f>
        <v>1.7550403225806452</v>
      </c>
      <c r="E6" s="221">
        <f>-'Cash Flow'!D42/'Profit Loss'!D24</f>
        <v>1.9598352214212151</v>
      </c>
      <c r="F6" s="221">
        <f>-'Cash Flow'!E42/'Profit Loss'!E24</f>
        <v>2.2811839323467229</v>
      </c>
      <c r="G6" s="221">
        <f>-'Cash Flow'!F42/'Profit Loss'!F24</f>
        <v>2.6407766990291264</v>
      </c>
      <c r="H6" s="12"/>
      <c r="I6" s="221" t="s">
        <v>970</v>
      </c>
      <c r="J6" s="221" t="s">
        <v>970</v>
      </c>
      <c r="K6" s="221" t="s">
        <v>970</v>
      </c>
      <c r="L6" s="221" t="s">
        <v>970</v>
      </c>
      <c r="M6" s="221" t="s">
        <v>970</v>
      </c>
      <c r="N6" s="355" t="s">
        <v>1048</v>
      </c>
      <c r="O6" s="30" t="s">
        <v>1259</v>
      </c>
      <c r="P6" s="30"/>
      <c r="Q6" s="30"/>
      <c r="R6" s="348"/>
      <c r="S6" s="289"/>
      <c r="T6" s="289"/>
      <c r="U6" s="168"/>
      <c r="V6" s="168"/>
      <c r="W6" s="168"/>
      <c r="X6" s="51"/>
      <c r="Y6" s="51"/>
      <c r="Z6" s="51"/>
    </row>
    <row r="7" spans="1:26">
      <c r="A7" s="30" t="s">
        <v>362</v>
      </c>
      <c r="B7" s="22" t="s">
        <v>363</v>
      </c>
      <c r="C7" s="221">
        <f>Balance_Sheet!B40/'Profit Loss'!B24</f>
        <v>6.4493041749502984</v>
      </c>
      <c r="D7" s="221">
        <f>Balance_Sheet!C40/'Profit Loss'!C24</f>
        <v>7.442540322580645</v>
      </c>
      <c r="E7" s="221">
        <f>Balance_Sheet!D40/'Profit Loss'!D24</f>
        <v>6.5458290422245105</v>
      </c>
      <c r="F7" s="221">
        <f>Balance_Sheet!E40/'Profit Loss'!E24</f>
        <v>7.3731501057082456</v>
      </c>
      <c r="G7" s="221">
        <f>Balance_Sheet!F40/'Profit Loss'!F24</f>
        <v>7.028047464940669</v>
      </c>
      <c r="H7" s="12"/>
      <c r="I7" s="221" t="s">
        <v>970</v>
      </c>
      <c r="J7" s="221" t="s">
        <v>970</v>
      </c>
      <c r="K7" s="221" t="s">
        <v>970</v>
      </c>
      <c r="L7" s="221" t="s">
        <v>970</v>
      </c>
      <c r="M7" s="221" t="s">
        <v>970</v>
      </c>
      <c r="N7" s="355" t="s">
        <v>1049</v>
      </c>
      <c r="O7" s="30" t="s">
        <v>1260</v>
      </c>
      <c r="P7" s="30"/>
      <c r="Q7" s="30"/>
      <c r="R7" s="30"/>
      <c r="S7" s="289"/>
      <c r="T7" s="289"/>
      <c r="U7" s="168"/>
      <c r="V7" s="168"/>
      <c r="W7" s="168"/>
      <c r="X7" s="51"/>
      <c r="Y7" s="51"/>
      <c r="Z7" s="51"/>
    </row>
    <row r="8" spans="1:26">
      <c r="A8" s="30" t="s">
        <v>364</v>
      </c>
      <c r="B8" s="22" t="s">
        <v>365</v>
      </c>
      <c r="C8" s="216">
        <f>'Profit Loss'!B19/'Profit Loss'!B18</f>
        <v>0.173840206185567</v>
      </c>
      <c r="D8" s="216">
        <f>'Profit Loss'!C19/'Profit Loss'!C18</f>
        <v>0.15717473561657125</v>
      </c>
      <c r="E8" s="216">
        <f>'Profit Loss'!D19/'Profit Loss'!D18</f>
        <v>0.15359699965905216</v>
      </c>
      <c r="F8" s="216">
        <f>'Profit Loss'!E19/'Profit Loss'!E18</f>
        <v>0.17919202287557739</v>
      </c>
      <c r="G8" s="216">
        <f>'Profit Loss'!F19/'Profit Loss'!F18</f>
        <v>0.15602464927232201</v>
      </c>
      <c r="H8" s="12"/>
      <c r="I8" s="216">
        <f>'Ind_P&amp;L'!B18/'Ind_P&amp;L'!B17</f>
        <v>0.19906114588348581</v>
      </c>
      <c r="J8" s="216">
        <f>'Ind_P&amp;L'!C18/'Ind_P&amp;L'!C17</f>
        <v>0.16790046763645147</v>
      </c>
      <c r="K8" s="216">
        <f>'Ind_P&amp;L'!D18/'Ind_P&amp;L'!D17</f>
        <v>0.1487916623973535</v>
      </c>
      <c r="L8" s="216">
        <f>'Ind_P&amp;L'!E18/'Ind_P&amp;L'!E17</f>
        <v>0.16732873829317058</v>
      </c>
      <c r="M8" s="216">
        <f>'Ind_P&amp;L'!F18/'Ind_P&amp;L'!F17</f>
        <v>0.1475343754198952</v>
      </c>
      <c r="N8" s="355" t="s">
        <v>1050</v>
      </c>
      <c r="O8" s="30" t="s">
        <v>1261</v>
      </c>
      <c r="P8" s="30"/>
      <c r="Q8" s="30"/>
      <c r="R8" s="30"/>
      <c r="S8" s="291"/>
      <c r="T8" s="289"/>
      <c r="U8" s="168"/>
      <c r="V8" s="168"/>
      <c r="W8" s="168"/>
      <c r="X8" s="51"/>
      <c r="Y8" s="51"/>
      <c r="Z8" s="51"/>
    </row>
    <row r="9" spans="1:26">
      <c r="A9" s="30" t="s">
        <v>366</v>
      </c>
      <c r="B9" s="22" t="s">
        <v>367</v>
      </c>
      <c r="C9" s="216">
        <f>'DDM FCFF FCFE RelativeValuation'!C3/'Profit Loss'!B23</f>
        <v>0.30103025494730562</v>
      </c>
      <c r="D9" s="216">
        <f>'DDM FCFF FCFE RelativeValuation'!D3/'Profit Loss'!C23</f>
        <v>0.23744837782251246</v>
      </c>
      <c r="E9" s="216">
        <f>'DDM FCFF FCFE RelativeValuation'!E3/'Profit Loss'!D23</f>
        <v>0.22246537933678895</v>
      </c>
      <c r="F9" s="216">
        <f>'DDM FCFF FCFE RelativeValuation'!F3/'Profit Loss'!E23</f>
        <v>0.21794215342602438</v>
      </c>
      <c r="G9" s="216">
        <f>'DDM FCFF FCFE RelativeValuation'!G3/'Profit Loss'!F23</f>
        <v>0.21056380005728573</v>
      </c>
      <c r="H9" s="12"/>
      <c r="I9" s="221" t="s">
        <v>970</v>
      </c>
      <c r="J9" s="221" t="s">
        <v>970</v>
      </c>
      <c r="K9" s="221" t="s">
        <v>970</v>
      </c>
      <c r="L9" s="221" t="s">
        <v>970</v>
      </c>
      <c r="M9" s="221" t="s">
        <v>970</v>
      </c>
      <c r="N9" s="355" t="s">
        <v>1051</v>
      </c>
      <c r="O9" s="12"/>
      <c r="P9" s="12"/>
      <c r="Q9" s="12"/>
      <c r="R9" s="12"/>
      <c r="S9" s="289"/>
      <c r="T9" s="289"/>
      <c r="U9" s="168"/>
      <c r="V9" s="168"/>
      <c r="W9" s="168"/>
      <c r="X9" s="51"/>
      <c r="Y9" s="51"/>
      <c r="Z9" s="51"/>
    </row>
    <row r="10" spans="1:26">
      <c r="A10" s="30" t="s">
        <v>328</v>
      </c>
      <c r="B10" s="22" t="s">
        <v>512</v>
      </c>
      <c r="C10" s="221">
        <f>1-C9</f>
        <v>0.69896974505269438</v>
      </c>
      <c r="D10" s="221">
        <f>1-D9</f>
        <v>0.76255162217748751</v>
      </c>
      <c r="E10" s="221">
        <f>1-E9</f>
        <v>0.777534620663211</v>
      </c>
      <c r="F10" s="221">
        <f>1-F9</f>
        <v>0.78205784657397559</v>
      </c>
      <c r="G10" s="221">
        <f>1-G9</f>
        <v>0.7894361999427143</v>
      </c>
      <c r="H10" s="12"/>
      <c r="I10" s="221" t="s">
        <v>970</v>
      </c>
      <c r="J10" s="221" t="s">
        <v>970</v>
      </c>
      <c r="K10" s="221" t="s">
        <v>970</v>
      </c>
      <c r="L10" s="221" t="s">
        <v>970</v>
      </c>
      <c r="M10" s="221" t="s">
        <v>970</v>
      </c>
      <c r="N10" s="355" t="s">
        <v>1052</v>
      </c>
      <c r="O10" s="284"/>
      <c r="P10" s="284"/>
      <c r="Q10" s="284"/>
      <c r="R10" s="12"/>
      <c r="S10" s="289"/>
      <c r="T10" s="289"/>
      <c r="U10" s="168"/>
      <c r="V10" s="168"/>
      <c r="W10" s="168"/>
      <c r="X10" s="51"/>
      <c r="Y10" s="51"/>
      <c r="Z10" s="51"/>
    </row>
    <row r="11" spans="1:26">
      <c r="A11" s="30" t="s">
        <v>368</v>
      </c>
      <c r="B11" s="22"/>
      <c r="C11" s="221"/>
      <c r="D11" s="221"/>
      <c r="E11" s="221"/>
      <c r="F11" s="221"/>
      <c r="G11" s="221"/>
      <c r="H11" s="12"/>
      <c r="I11" s="221"/>
      <c r="J11" s="221"/>
      <c r="K11" s="221"/>
      <c r="L11" s="221"/>
      <c r="M11" s="221"/>
      <c r="N11" s="355"/>
      <c r="O11" s="12"/>
      <c r="P11" s="12"/>
      <c r="Q11" s="12"/>
      <c r="R11" s="12"/>
      <c r="S11" s="289"/>
      <c r="T11" s="289"/>
      <c r="U11" s="168"/>
      <c r="V11" s="168"/>
      <c r="W11" s="168"/>
      <c r="X11" s="51"/>
      <c r="Y11" s="51"/>
      <c r="Z11" s="51"/>
    </row>
    <row r="12" spans="1:26">
      <c r="A12" s="30" t="s">
        <v>329</v>
      </c>
      <c r="B12" s="22" t="s">
        <v>369</v>
      </c>
      <c r="C12" s="221" t="s">
        <v>970</v>
      </c>
      <c r="D12" s="221" t="s">
        <v>970</v>
      </c>
      <c r="E12" s="221" t="s">
        <v>970</v>
      </c>
      <c r="F12" s="221" t="s">
        <v>970</v>
      </c>
      <c r="G12" s="221" t="s">
        <v>970</v>
      </c>
      <c r="H12" s="12"/>
      <c r="I12" s="221" t="s">
        <v>970</v>
      </c>
      <c r="J12" s="221" t="s">
        <v>970</v>
      </c>
      <c r="K12" s="221" t="s">
        <v>970</v>
      </c>
      <c r="L12" s="221" t="s">
        <v>970</v>
      </c>
      <c r="M12" s="221" t="s">
        <v>970</v>
      </c>
      <c r="N12" s="355"/>
      <c r="O12" s="284"/>
      <c r="P12" s="284"/>
      <c r="Q12" s="284"/>
      <c r="R12" s="12"/>
      <c r="S12" s="289"/>
      <c r="T12" s="289"/>
      <c r="U12" s="168"/>
      <c r="V12" s="168"/>
      <c r="W12" s="168"/>
      <c r="X12" s="51"/>
      <c r="Y12" s="51"/>
      <c r="Z12" s="51"/>
    </row>
    <row r="13" spans="1:26">
      <c r="A13" s="30" t="s">
        <v>335</v>
      </c>
      <c r="B13" s="22" t="s">
        <v>370</v>
      </c>
      <c r="C13" s="216">
        <f>'Profit Loss'!B20/Balance_Sheet!B40</f>
        <v>0.98813193588162762</v>
      </c>
      <c r="D13" s="216">
        <f>'Profit Loss'!C20/Balance_Sheet!C40</f>
        <v>1.1766219693891371</v>
      </c>
      <c r="E13" s="216">
        <f>'Profit Loss'!D20/Balance_Sheet!D40</f>
        <v>1.5623033354310887</v>
      </c>
      <c r="F13" s="216">
        <f>'Profit Loss'!E20/Balance_Sheet!E40</f>
        <v>1.6050179211469533</v>
      </c>
      <c r="G13" s="216">
        <f>'Profit Loss'!F20/Balance_Sheet!F40</f>
        <v>1.9760552570990022</v>
      </c>
      <c r="H13" s="12"/>
      <c r="I13" s="216">
        <f>'Ind_P&amp;L'!B19/Ind_bal!B34</f>
        <v>0.23981000295518923</v>
      </c>
      <c r="J13" s="216">
        <f>'Ind_P&amp;L'!C19/Ind_bal!C34</f>
        <v>0.30908321742418898</v>
      </c>
      <c r="K13" s="216">
        <f>'Ind_P&amp;L'!D19/Ind_bal!D34</f>
        <v>0.36296453493452507</v>
      </c>
      <c r="L13" s="216">
        <f>'Ind_P&amp;L'!E19/Ind_bal!E34</f>
        <v>0.36069468897967555</v>
      </c>
      <c r="M13" s="216">
        <f>'Ind_P&amp;L'!F19/Ind_bal!F34</f>
        <v>0.4085737592306371</v>
      </c>
      <c r="N13" s="355" t="s">
        <v>1080</v>
      </c>
      <c r="O13" s="12"/>
      <c r="P13" s="12"/>
      <c r="Q13" s="12"/>
      <c r="R13" s="12"/>
      <c r="S13" s="289"/>
      <c r="T13" s="289"/>
      <c r="U13" s="168"/>
      <c r="V13" s="168"/>
      <c r="W13" s="168"/>
      <c r="X13" s="51"/>
      <c r="Y13" s="51"/>
      <c r="Z13" s="51"/>
    </row>
    <row r="14" spans="1:26">
      <c r="A14" s="30" t="s">
        <v>371</v>
      </c>
      <c r="B14" s="22" t="s">
        <v>372</v>
      </c>
      <c r="C14" s="221">
        <f>'Profit Loss'!B25/'Profit Loss'!B4</f>
        <v>0.56604143520031369</v>
      </c>
      <c r="D14" s="221">
        <f>'Profit Loss'!C25/'Profit Loss'!C4</f>
        <v>0.57233636941325994</v>
      </c>
      <c r="E14" s="221">
        <f>'Profit Loss'!D25/'Profit Loss'!D4</f>
        <v>0.5852408148581193</v>
      </c>
      <c r="F14" s="221">
        <f>'Profit Loss'!E25/'Profit Loss'!E4</f>
        <v>0.58996732807395014</v>
      </c>
      <c r="G14" s="221">
        <f>'Profit Loss'!F25/'Profit Loss'!F4</f>
        <v>0.58504633081265311</v>
      </c>
      <c r="H14" s="12"/>
      <c r="I14" s="221">
        <f>'Ind_P&amp;L'!B10/'Ind_P&amp;L'!B3</f>
        <v>0.32045952686871743</v>
      </c>
      <c r="J14" s="221">
        <f>'Ind_P&amp;L'!C10/'Ind_P&amp;L'!C3</f>
        <v>0.36421756663715943</v>
      </c>
      <c r="K14" s="221">
        <f>'Ind_P&amp;L'!D10/'Ind_P&amp;L'!D3</f>
        <v>0.39368807899715919</v>
      </c>
      <c r="L14" s="221">
        <f>'Ind_P&amp;L'!E10/'Ind_P&amp;L'!E3</f>
        <v>0.40252728726628195</v>
      </c>
      <c r="M14" s="221">
        <f>'Ind_P&amp;L'!F10/'Ind_P&amp;L'!F3</f>
        <v>0.41526132592212839</v>
      </c>
      <c r="N14" s="355" t="s">
        <v>1081</v>
      </c>
      <c r="O14" s="284"/>
      <c r="P14" s="284"/>
      <c r="Q14" s="284"/>
      <c r="R14" s="284"/>
      <c r="S14" s="289"/>
      <c r="T14" s="289"/>
      <c r="U14" s="168"/>
      <c r="V14" s="168"/>
      <c r="W14" s="168"/>
      <c r="X14" s="51"/>
      <c r="Y14" s="51"/>
      <c r="Z14" s="51"/>
    </row>
    <row r="15" spans="1:26">
      <c r="A15" s="30" t="s">
        <v>373</v>
      </c>
      <c r="B15" s="22" t="s">
        <v>374</v>
      </c>
      <c r="C15" s="216">
        <f>'Profit Loss'!B11/'Profit Loss'!B4</f>
        <v>0.52813541598588332</v>
      </c>
      <c r="D15" s="216">
        <f>'Profit Loss'!C11/'Profit Loss'!C4</f>
        <v>0.53389112476170308</v>
      </c>
      <c r="E15" s="216">
        <f>'Profit Loss'!D11/'Profit Loss'!D4</f>
        <v>0.55151324369294419</v>
      </c>
      <c r="F15" s="216">
        <f>'Profit Loss'!E11/'Profit Loss'!E4</f>
        <v>0.55813212208144081</v>
      </c>
      <c r="G15" s="216">
        <f>'Profit Loss'!F11/'Profit Loss'!F4</f>
        <v>0.55320055383959954</v>
      </c>
      <c r="H15" s="12"/>
      <c r="I15" s="216">
        <f>'Ind_P&amp;L'!B17/'Ind_P&amp;L'!B3</f>
        <v>0.31395964023883305</v>
      </c>
      <c r="J15" s="216">
        <f>'Ind_P&amp;L'!C17/'Ind_P&amp;L'!C3</f>
        <v>0.35624446739451165</v>
      </c>
      <c r="K15" s="216">
        <f>'Ind_P&amp;L'!D17/'Ind_P&amp;L'!D3</f>
        <v>0.37250475738689959</v>
      </c>
      <c r="L15" s="216">
        <f>'Ind_P&amp;L'!E17/'Ind_P&amp;L'!E3</f>
        <v>0.38721178382067567</v>
      </c>
      <c r="M15" s="216">
        <f>'Ind_P&amp;L'!F17/'Ind_P&amp;L'!F3</f>
        <v>0.40162614788232015</v>
      </c>
      <c r="N15" s="355" t="s">
        <v>1082</v>
      </c>
      <c r="O15" s="12"/>
      <c r="P15" s="12"/>
      <c r="Q15" s="12"/>
      <c r="R15" s="12"/>
      <c r="S15" s="289"/>
      <c r="T15" s="289"/>
      <c r="U15" s="168"/>
      <c r="V15" s="168"/>
      <c r="W15" s="168"/>
      <c r="X15" s="51"/>
      <c r="Y15" s="51"/>
      <c r="Z15" s="51"/>
    </row>
    <row r="16" spans="1:26">
      <c r="A16" s="30" t="s">
        <v>375</v>
      </c>
      <c r="B16" s="22" t="s">
        <v>376</v>
      </c>
      <c r="C16" s="216">
        <f>'Profit Loss'!B20/'Profit Loss'!B4</f>
        <v>0.41899222273054049</v>
      </c>
      <c r="D16" s="216">
        <f>'Profit Loss'!C20/'Profit Loss'!C4</f>
        <v>0.46001906375767848</v>
      </c>
      <c r="E16" s="216">
        <f>'Profit Loss'!D20/'Profit Loss'!D4</f>
        <v>0.44655304222691911</v>
      </c>
      <c r="F16" s="216">
        <f>'Profit Loss'!E20/'Profit Loss'!E4</f>
        <v>0.44605147820543467</v>
      </c>
      <c r="G16" s="216">
        <f>'Profit Loss'!F20/'Profit Loss'!F4</f>
        <v>0.45705967976710332</v>
      </c>
      <c r="H16" s="12"/>
      <c r="I16" s="216">
        <f>'Ind_P&amp;L'!B19/'Ind_P&amp;L'!B3</f>
        <v>0.25146247449172399</v>
      </c>
      <c r="J16" s="216">
        <f>'Ind_P&amp;L'!C19/'Ind_P&amp;L'!C3</f>
        <v>0.29643085472607456</v>
      </c>
      <c r="K16" s="216">
        <f>'Ind_P&amp;L'!D19/'Ind_P&amp;L'!D3</f>
        <v>0.31707915528437997</v>
      </c>
      <c r="L16" s="216">
        <f>'Ind_P&amp;L'!E19/'Ind_P&amp;L'!E3</f>
        <v>0.3224201245817141</v>
      </c>
      <c r="M16" s="216">
        <f>'Ind_P&amp;L'!F19/'Ind_P&amp;L'!F3</f>
        <v>0.34237248500220357</v>
      </c>
      <c r="N16" s="355" t="s">
        <v>1083</v>
      </c>
      <c r="O16" s="12"/>
      <c r="P16" s="12"/>
      <c r="Q16" s="12"/>
      <c r="R16" s="12"/>
      <c r="S16" s="289"/>
      <c r="T16" s="289"/>
      <c r="U16" s="168"/>
      <c r="V16" s="168"/>
      <c r="W16" s="168"/>
      <c r="X16" s="51"/>
      <c r="Y16" s="51"/>
      <c r="Z16" s="51"/>
    </row>
    <row r="17" spans="1:26">
      <c r="A17" s="30" t="s">
        <v>336</v>
      </c>
      <c r="B17" s="22" t="s">
        <v>377</v>
      </c>
      <c r="C17" s="216">
        <f>'Profit Loss'!B20/Balance_Sheet!B17</f>
        <v>0.19089447355883754</v>
      </c>
      <c r="D17" s="216">
        <f>'Profit Loss'!C20/Balance_Sheet!C17</f>
        <v>0.23061403275903264</v>
      </c>
      <c r="E17" s="216">
        <f>'Profit Loss'!D20/Balance_Sheet!D17</f>
        <v>0.25643012085528355</v>
      </c>
      <c r="F17" s="216">
        <f>'Profit Loss'!E20/Balance_Sheet!E17</f>
        <v>0.26373445156426689</v>
      </c>
      <c r="G17" s="216">
        <f>'Profit Loss'!F20/Balance_Sheet!F17</f>
        <v>0.26775649424928766</v>
      </c>
      <c r="H17" s="12"/>
      <c r="I17" s="216">
        <f>'Ind_P&amp;L'!B19/Ind_bal!B16</f>
        <v>9.0413028650312921E-2</v>
      </c>
      <c r="J17" s="216">
        <f>'Ind_P&amp;L'!C19/Ind_bal!C16</f>
        <v>0.12887526458703041</v>
      </c>
      <c r="K17" s="216">
        <f>'Ind_P&amp;L'!D19/Ind_bal!D16</f>
        <v>0.15926644098991027</v>
      </c>
      <c r="L17" s="216">
        <f>'Ind_P&amp;L'!E19/Ind_bal!E16</f>
        <v>0.156502713326823</v>
      </c>
      <c r="M17" s="216">
        <f>'Ind_P&amp;L'!F19/Ind_bal!F16</f>
        <v>0.17807197071584782</v>
      </c>
      <c r="N17" s="355" t="s">
        <v>1084</v>
      </c>
      <c r="O17" s="12"/>
      <c r="P17" s="12"/>
      <c r="Q17" s="12"/>
      <c r="R17" s="12"/>
      <c r="S17" s="289"/>
      <c r="T17" s="289"/>
      <c r="U17" s="168"/>
      <c r="V17" s="168"/>
      <c r="W17" s="168"/>
      <c r="X17" s="51"/>
      <c r="Y17" s="51"/>
      <c r="Z17" s="51"/>
    </row>
    <row r="18" spans="1:26">
      <c r="A18" s="30" t="s">
        <v>378</v>
      </c>
      <c r="B18" s="22"/>
      <c r="C18" s="221"/>
      <c r="D18" s="221"/>
      <c r="E18" s="221"/>
      <c r="F18" s="221"/>
      <c r="G18" s="221"/>
      <c r="H18" s="12"/>
      <c r="I18" s="221"/>
      <c r="J18" s="221"/>
      <c r="K18" s="221"/>
      <c r="L18" s="221"/>
      <c r="M18" s="221"/>
      <c r="N18" s="355"/>
      <c r="O18" s="12"/>
      <c r="P18" s="12"/>
      <c r="Q18" s="12"/>
      <c r="R18" s="12"/>
      <c r="S18" s="289"/>
      <c r="T18" s="289"/>
      <c r="U18" s="168"/>
      <c r="V18" s="168"/>
      <c r="W18" s="168"/>
      <c r="X18" s="51"/>
      <c r="Y18" s="51"/>
      <c r="Z18" s="51"/>
    </row>
    <row r="19" spans="1:26">
      <c r="A19" s="30" t="s">
        <v>379</v>
      </c>
      <c r="B19" s="22" t="s">
        <v>380</v>
      </c>
      <c r="C19" s="221"/>
      <c r="D19" s="216">
        <f>('Profit Loss'!C4-'Profit Loss'!B4)/'Profit Loss'!B4</f>
        <v>0.23416770145742108</v>
      </c>
      <c r="E19" s="216">
        <f>('Profit Loss'!D4-'Profit Loss'!C4)/'Profit Loss'!C4</f>
        <v>0.17755772082185978</v>
      </c>
      <c r="F19" s="216">
        <f>('Profit Loss'!E4-'Profit Loss'!D4)/'Profit Loss'!D4</f>
        <v>0.1286594414714215</v>
      </c>
      <c r="G19" s="216">
        <f>('Profit Loss'!F4-'Profit Loss'!E4)/'Profit Loss'!E4</f>
        <v>0.12228065981353096</v>
      </c>
      <c r="H19" s="12"/>
      <c r="I19" s="221"/>
      <c r="J19" s="216">
        <f>('Ind_P&amp;L'!C3-'Ind_P&amp;L'!B3)/'Ind_P&amp;L'!B3</f>
        <v>0.22947623006575465</v>
      </c>
      <c r="K19" s="216">
        <f>('Ind_P&amp;L'!D3-'Ind_P&amp;L'!C3)/'Ind_P&amp;L'!C3</f>
        <v>0.12741590439657716</v>
      </c>
      <c r="L19" s="216">
        <f>('Ind_P&amp;L'!E3-'Ind_P&amp;L'!D3)/'Ind_P&amp;L'!D3</f>
        <v>7.0545640924977782E-2</v>
      </c>
      <c r="M19" s="216">
        <f>('Ind_P&amp;L'!F3-'Ind_P&amp;L'!E3)/'Ind_P&amp;L'!E3</f>
        <v>0.13257307588483067</v>
      </c>
      <c r="N19" s="355" t="s">
        <v>1085</v>
      </c>
      <c r="O19" s="12"/>
      <c r="P19" s="12"/>
      <c r="Q19" s="12"/>
      <c r="R19" s="12"/>
      <c r="S19" s="289"/>
      <c r="T19" s="289"/>
      <c r="U19" s="168"/>
      <c r="V19" s="168"/>
      <c r="W19" s="168"/>
      <c r="X19" s="51"/>
      <c r="Y19" s="51"/>
      <c r="Z19" s="51"/>
    </row>
    <row r="20" spans="1:26">
      <c r="A20" s="30" t="s">
        <v>381</v>
      </c>
      <c r="B20" s="22" t="s">
        <v>382</v>
      </c>
      <c r="C20" s="221"/>
      <c r="D20" s="216">
        <f>('Profit Loss'!C11-'Profit Loss'!B11)/'Profit Loss'!B11</f>
        <v>0.24761786907560945</v>
      </c>
      <c r="E20" s="216">
        <f>('Profit Loss'!D11-'Profit Loss'!C11)/'Profit Loss'!C11</f>
        <v>0.21642531243800833</v>
      </c>
      <c r="F20" s="216">
        <f>('Profit Loss'!E11-'Profit Loss'!D11)/'Profit Loss'!D11</f>
        <v>0.14220482713633398</v>
      </c>
      <c r="G20" s="216">
        <f>('Profit Loss'!F11-'Profit Loss'!E11)/'Profit Loss'!E11</f>
        <v>0.11236436322101656</v>
      </c>
      <c r="H20" s="12"/>
      <c r="I20" s="221"/>
      <c r="J20" s="216">
        <f>('Ind_P&amp;L'!C10-'Ind_P&amp;L'!B10)/'Ind_P&amp;L'!B10</f>
        <v>0.39735849056603773</v>
      </c>
      <c r="K20" s="216">
        <f>('Ind_P&amp;L'!D10-'Ind_P&amp;L'!C10)/'Ind_P&amp;L'!C10</f>
        <v>0.21864029165541454</v>
      </c>
      <c r="L20" s="216">
        <f>('Ind_P&amp;L'!E10-'Ind_P&amp;L'!D10)/'Ind_P&amp;L'!D10</f>
        <v>9.4581867538295339E-2</v>
      </c>
      <c r="M20" s="216">
        <f>('Ind_P&amp;L'!F10-'Ind_P&amp;L'!E10)/'Ind_P&amp;L'!E10</f>
        <v>0.16840227252597081</v>
      </c>
      <c r="N20" s="355" t="s">
        <v>1086</v>
      </c>
      <c r="O20" s="12"/>
      <c r="P20" s="12"/>
      <c r="Q20" s="12"/>
      <c r="R20" s="12"/>
      <c r="S20" s="289"/>
      <c r="T20" s="289"/>
      <c r="U20" s="168"/>
      <c r="V20" s="168"/>
      <c r="W20" s="168"/>
      <c r="X20" s="51"/>
      <c r="Y20" s="51"/>
      <c r="Z20" s="51"/>
    </row>
    <row r="21" spans="1:26">
      <c r="A21" s="30" t="s">
        <v>383</v>
      </c>
      <c r="B21" s="22" t="s">
        <v>384</v>
      </c>
      <c r="C21" s="221"/>
      <c r="D21" s="216">
        <f>(Table1[[#This Row],[2021]]-Table1[[#This Row],[2020]])/Table1[[#This Row],[2020]]</f>
        <v>0.37343749999999981</v>
      </c>
      <c r="E21" s="216">
        <f>(Table1[[#This Row],[2022]]-Table1[[#This Row],[2021]])/Table1[[#This Row],[2021]]</f>
        <v>0.16723549488054618</v>
      </c>
      <c r="F21" s="216">
        <f>(Table1[[#This Row],[2023]]-Table1[[#This Row],[2022]])/Table1[[#This Row],[2022]]</f>
        <v>0.1559454191033138</v>
      </c>
      <c r="G21" s="216">
        <f>(Table1[[#This Row],[2024]]-Table1[[#This Row],[2023]])/Table1[[#This Row],[2023]]</f>
        <v>0.17284991568296804</v>
      </c>
      <c r="H21" s="12"/>
      <c r="I21" s="221"/>
      <c r="J21" s="216">
        <f>('Ind_P&amp;L'!C19-'Ind_P&amp;L'!B19)/'Ind_P&amp;L'!B19</f>
        <v>0.44934026629797724</v>
      </c>
      <c r="K21" s="216">
        <f>('Ind_P&amp;L'!D19-'Ind_P&amp;L'!C19)/'Ind_P&amp;L'!C19</f>
        <v>0.20594761618382032</v>
      </c>
      <c r="L21" s="216">
        <f>('Ind_P&amp;L'!E19-'Ind_P&amp;L'!D19)/'Ind_P&amp;L'!D19</f>
        <v>8.8578208832026412E-2</v>
      </c>
      <c r="M21" s="216">
        <f>('Ind_P&amp;L'!F19-'Ind_P&amp;L'!E19)/'Ind_P&amp;L'!E19</f>
        <v>0.20266022147449567</v>
      </c>
      <c r="N21" s="355" t="s">
        <v>1087</v>
      </c>
      <c r="O21" s="12"/>
      <c r="P21" s="12"/>
      <c r="Q21" s="12"/>
      <c r="R21" s="12"/>
      <c r="S21" s="289"/>
      <c r="T21" s="289"/>
      <c r="U21" s="168"/>
      <c r="V21" s="168"/>
      <c r="W21" s="168"/>
      <c r="X21" s="51"/>
      <c r="Y21" s="51"/>
      <c r="Z21" s="51"/>
    </row>
    <row r="22" spans="1:26">
      <c r="A22" s="30" t="s">
        <v>385</v>
      </c>
      <c r="B22" s="22" t="s">
        <v>386</v>
      </c>
      <c r="C22" s="221"/>
      <c r="D22" s="216">
        <f>('Profit Loss'!C23-'Profit Loss'!B23)/'Profit Loss'!B23</f>
        <v>0.37519623233908944</v>
      </c>
      <c r="E22" s="216">
        <f>('Profit Loss'!D23-'Profit Loss'!C23)/'Profit Loss'!C23</f>
        <v>0.16666666666666677</v>
      </c>
      <c r="F22" s="216">
        <f>('Profit Loss'!E20-'Profit Loss'!D20)/'Profit Loss'!D20</f>
        <v>0.12739174219536759</v>
      </c>
      <c r="G22" s="216">
        <f>('Profit Loss'!F20-'Profit Loss'!E20)/'Profit Loss'!E20</f>
        <v>0.1499776686020545</v>
      </c>
      <c r="H22" s="12"/>
      <c r="I22" s="221"/>
      <c r="J22" s="216">
        <f>J21</f>
        <v>0.44934026629797724</v>
      </c>
      <c r="K22" s="216">
        <f>K21</f>
        <v>0.20594761618382032</v>
      </c>
      <c r="L22" s="216">
        <f>L21</f>
        <v>8.8578208832026412E-2</v>
      </c>
      <c r="M22" s="216">
        <f>M21</f>
        <v>0.20266022147449567</v>
      </c>
      <c r="N22" s="355" t="s">
        <v>1088</v>
      </c>
      <c r="O22" s="12"/>
      <c r="P22" s="12"/>
      <c r="Q22" s="12"/>
      <c r="R22" s="12"/>
      <c r="S22" s="289"/>
      <c r="T22" s="289"/>
      <c r="U22" s="168"/>
      <c r="V22" s="168"/>
      <c r="W22" s="168"/>
      <c r="X22" s="51"/>
      <c r="Y22" s="51"/>
      <c r="Z22" s="51"/>
    </row>
    <row r="23" spans="1:26">
      <c r="A23" s="30" t="s">
        <v>387</v>
      </c>
      <c r="B23" s="22"/>
      <c r="C23" s="221"/>
      <c r="D23" s="221"/>
      <c r="E23" s="221"/>
      <c r="F23" s="221"/>
      <c r="G23" s="221"/>
      <c r="H23" s="12"/>
      <c r="I23" s="221"/>
      <c r="J23" s="221"/>
      <c r="K23" s="221"/>
      <c r="L23" s="221"/>
      <c r="M23" s="221"/>
      <c r="N23" s="355"/>
      <c r="O23" s="12"/>
      <c r="P23" s="12"/>
      <c r="Q23" s="12"/>
      <c r="R23" s="12"/>
      <c r="S23" s="289"/>
      <c r="T23" s="289"/>
      <c r="U23" s="168"/>
      <c r="V23" s="168"/>
      <c r="W23" s="168"/>
      <c r="X23" s="51"/>
      <c r="Y23" s="51"/>
      <c r="Z23" s="51"/>
    </row>
    <row r="24" spans="1:26">
      <c r="A24" s="30" t="s">
        <v>388</v>
      </c>
      <c r="B24" s="22" t="s">
        <v>389</v>
      </c>
      <c r="C24" s="221">
        <f>(Balance_Sheet!B27+Balance_Sheet!B24)/Balance_Sheet!B40</f>
        <v>1.9531442663378544</v>
      </c>
      <c r="D24" s="221">
        <f>(Balance_Sheet!C27+Balance_Sheet!C24)/Balance_Sheet!C40</f>
        <v>1.8828389543545985</v>
      </c>
      <c r="E24" s="221">
        <f>(Balance_Sheet!D27+Balance_Sheet!D24)/Balance_Sheet!D40</f>
        <v>2.2062617998741345</v>
      </c>
      <c r="F24" s="221">
        <f>(Balance_Sheet!E27+Balance_Sheet!E24)/Balance_Sheet!E40</f>
        <v>2.2481720430107526</v>
      </c>
      <c r="G24" s="221">
        <f>(Balance_Sheet!F27+Balance_Sheet!F24)/Balance_Sheet!F40</f>
        <v>2.797544128933231</v>
      </c>
      <c r="H24" s="12"/>
      <c r="I24" s="221">
        <f>(Ind_bal!B24+Ind_bal!B21)/Ind_bal!B34</f>
        <v>0.64539170672990287</v>
      </c>
      <c r="J24" s="221">
        <f>(Ind_bal!C24+Ind_bal!C21)/Ind_bal!C34</f>
        <v>0.63801093498618699</v>
      </c>
      <c r="K24" s="221">
        <f>(Ind_bal!D24+Ind_bal!D21)/Ind_bal!D34</f>
        <v>0.65992984383387221</v>
      </c>
      <c r="L24" s="221">
        <f>(Ind_bal!E24+Ind_bal!E21)/Ind_bal!E34</f>
        <v>0.63083252138140089</v>
      </c>
      <c r="M24" s="221">
        <f>(Ind_bal!F24+Ind_bal!F21)/Ind_bal!F34</f>
        <v>0.67499034003091185</v>
      </c>
      <c r="N24" s="355" t="s">
        <v>1077</v>
      </c>
      <c r="O24" s="12"/>
      <c r="P24" s="12"/>
      <c r="Q24" s="12"/>
      <c r="R24" s="12"/>
      <c r="S24" s="289"/>
      <c r="T24" s="289"/>
      <c r="U24" s="168"/>
      <c r="V24" s="168"/>
      <c r="W24" s="168"/>
      <c r="X24" s="51"/>
      <c r="Y24" s="51"/>
      <c r="Z24" s="51"/>
    </row>
    <row r="25" spans="1:26">
      <c r="A25" s="30" t="s">
        <v>390</v>
      </c>
      <c r="B25" s="22" t="s">
        <v>391</v>
      </c>
      <c r="C25" s="221">
        <f>'Profit Loss'!B11/ABS('Profit Loss'!B15)</f>
        <v>21.265789473684212</v>
      </c>
      <c r="D25" s="221">
        <f>'Profit Loss'!C11/ABS('Profit Loss'!C15)</f>
        <v>23.392111368909514</v>
      </c>
      <c r="E25" s="221">
        <f>'Profit Loss'!D11/ABS('Profit Loss'!D15)</f>
        <v>26.038216560509554</v>
      </c>
      <c r="F25" s="221">
        <f>'Profit Loss'!E11/ABS('Profit Loss'!E15)</f>
        <v>24.361739130434781</v>
      </c>
      <c r="G25" s="221">
        <f>'Profit Loss'!F11/ABS('Profit Loss'!F15)</f>
        <v>24.120743034055728</v>
      </c>
      <c r="H25" s="12"/>
      <c r="I25" s="221">
        <f>-'Ind_P&amp;L'!B10/'Ind_P&amp;L'!B14</f>
        <v>11.680440771349863</v>
      </c>
      <c r="J25" s="221">
        <f>-'Ind_P&amp;L'!C10/'Ind_P&amp;L'!C14</f>
        <v>14.433130328867236</v>
      </c>
      <c r="K25" s="221">
        <f>-'Ind_P&amp;L'!D10/'Ind_P&amp;L'!D14</f>
        <v>16.921021795172251</v>
      </c>
      <c r="L25" s="221">
        <f>-'Ind_P&amp;L'!E10/'Ind_P&amp;L'!E14</f>
        <v>16.666174609869252</v>
      </c>
      <c r="M25" s="221">
        <f>-'Ind_P&amp;L'!F10/'Ind_P&amp;L'!F14</f>
        <v>18.310529446757883</v>
      </c>
      <c r="N25" s="355" t="s">
        <v>1078</v>
      </c>
      <c r="O25" s="12"/>
      <c r="P25" s="12"/>
      <c r="Q25" s="12"/>
      <c r="R25" s="12"/>
      <c r="S25" s="289"/>
      <c r="T25" s="289"/>
      <c r="U25" s="168"/>
      <c r="V25" s="168"/>
      <c r="W25" s="168"/>
      <c r="X25" s="51"/>
      <c r="Y25" s="51"/>
      <c r="Z25" s="51"/>
    </row>
    <row r="26" spans="1:26">
      <c r="A26" s="30" t="s">
        <v>337</v>
      </c>
      <c r="B26" s="22" t="s">
        <v>392</v>
      </c>
      <c r="C26" s="221">
        <f>(Balance_Sheet!B27+Balance_Sheet!B24)/((Balance_Sheet!B27+Balance_Sheet!B24)+Balance_Sheet!B40)</f>
        <v>0.66137787056367436</v>
      </c>
      <c r="D26" s="221">
        <f>(Balance_Sheet!C27+Balance_Sheet!C24)/((Balance_Sheet!C27+Balance_Sheet!C24)+Balance_Sheet!C40)</f>
        <v>0.65311971433940985</v>
      </c>
      <c r="E26" s="221">
        <f>(Balance_Sheet!D27+Balance_Sheet!D24)/((Balance_Sheet!D27+Balance_Sheet!D24)+Balance_Sheet!D40)</f>
        <v>0.68811030963246478</v>
      </c>
      <c r="F26" s="221">
        <f>(Balance_Sheet!E27+Balance_Sheet!E24)/((Balance_Sheet!E27+Balance_Sheet!E24)+Balance_Sheet!E40)</f>
        <v>0.69213453389830504</v>
      </c>
      <c r="G26" s="221">
        <f>(Balance_Sheet!F27+Balance_Sheet!F24)/((Balance_Sheet!F27+Balance_Sheet!F24)+Balance_Sheet!F40)</f>
        <v>0.73667192110262314</v>
      </c>
      <c r="H26" s="12"/>
      <c r="I26" s="221">
        <f>(Ind_bal!B24+Ind_bal!B21)/((Ind_bal!B24+Ind_bal!B21)+Ind_bal!B34)</f>
        <v>0.39224198352899947</v>
      </c>
      <c r="J26" s="221">
        <f>(Ind_bal!C24+Ind_bal!C21)/((Ind_bal!C24+Ind_bal!C21)+Ind_bal!C34)</f>
        <v>0.38950346506176847</v>
      </c>
      <c r="K26" s="221">
        <f>(Ind_bal!D24+Ind_bal!D21)/((Ind_bal!D24+Ind_bal!D21)+Ind_bal!D34)</f>
        <v>0.39756490088138857</v>
      </c>
      <c r="L26" s="221">
        <f>(Ind_bal!E24+Ind_bal!E21)/((Ind_bal!E24+Ind_bal!E21)+Ind_bal!E34)</f>
        <v>0.38681625066383429</v>
      </c>
      <c r="M26" s="221">
        <f>(Ind_bal!F24+Ind_bal!F21)/((Ind_bal!F24+Ind_bal!F21)+Ind_bal!F34)</f>
        <v>0.40298163153493471</v>
      </c>
      <c r="N26" s="355" t="s">
        <v>1079</v>
      </c>
      <c r="O26" s="12"/>
      <c r="P26" s="12"/>
      <c r="Q26" s="12"/>
      <c r="R26" s="12"/>
      <c r="S26" s="289"/>
      <c r="T26" s="289"/>
      <c r="U26" s="168"/>
      <c r="V26" s="168"/>
      <c r="W26" s="168"/>
      <c r="X26" s="51"/>
      <c r="Y26" s="51"/>
      <c r="Z26" s="51"/>
    </row>
    <row r="27" spans="1:26">
      <c r="A27" s="30" t="s">
        <v>393</v>
      </c>
      <c r="B27" s="22"/>
      <c r="C27" s="221"/>
      <c r="D27" s="221"/>
      <c r="E27" s="221"/>
      <c r="F27" s="221"/>
      <c r="G27" s="221"/>
      <c r="H27" s="12"/>
      <c r="I27" s="221"/>
      <c r="J27" s="221"/>
      <c r="K27" s="221"/>
      <c r="L27" s="221"/>
      <c r="M27" s="221"/>
      <c r="N27" s="355"/>
      <c r="O27" s="12"/>
      <c r="P27" s="12"/>
      <c r="Q27" s="12"/>
      <c r="R27" s="12"/>
      <c r="S27" s="289"/>
      <c r="T27" s="289"/>
      <c r="U27" s="168"/>
      <c r="V27" s="168"/>
      <c r="W27" s="168"/>
      <c r="X27" s="51"/>
      <c r="Y27" s="51"/>
      <c r="Z27" s="51"/>
    </row>
    <row r="28" spans="1:26">
      <c r="A28" s="30" t="s">
        <v>331</v>
      </c>
      <c r="B28" s="22" t="s">
        <v>394</v>
      </c>
      <c r="C28" s="221">
        <f>'Profit Loss'!B20/'Profit Loss'!B4</f>
        <v>0.41899222273054049</v>
      </c>
      <c r="D28" s="221">
        <f>'Profit Loss'!C20/'Profit Loss'!C4</f>
        <v>0.46001906375767848</v>
      </c>
      <c r="E28" s="221">
        <f>'Profit Loss'!D20/'Profit Loss'!D4</f>
        <v>0.44655304222691911</v>
      </c>
      <c r="F28" s="221">
        <f>'Profit Loss'!E20/'Profit Loss'!E4</f>
        <v>0.44605147820543467</v>
      </c>
      <c r="G28" s="221">
        <f>'Profit Loss'!F20/'Profit Loss'!F4</f>
        <v>0.45705967976710332</v>
      </c>
      <c r="H28" s="12"/>
      <c r="I28" s="221">
        <f>I16</f>
        <v>0.25146247449172399</v>
      </c>
      <c r="J28" s="221">
        <f>J16</f>
        <v>0.29643085472607456</v>
      </c>
      <c r="K28" s="221">
        <f>K16</f>
        <v>0.31707915528437997</v>
      </c>
      <c r="L28" s="221">
        <f>L16</f>
        <v>0.3224201245817141</v>
      </c>
      <c r="M28" s="221">
        <f>M16</f>
        <v>0.34237248500220357</v>
      </c>
      <c r="N28" s="355" t="s">
        <v>1073</v>
      </c>
      <c r="O28" s="12"/>
      <c r="P28" s="12"/>
      <c r="Q28" s="12"/>
      <c r="R28" s="12"/>
      <c r="S28" s="289"/>
      <c r="T28" s="289"/>
      <c r="U28" s="168"/>
      <c r="V28" s="168"/>
      <c r="W28" s="168"/>
      <c r="X28" s="51"/>
      <c r="Y28" s="51"/>
      <c r="Z28" s="51"/>
    </row>
    <row r="29" spans="1:26">
      <c r="A29" s="30" t="s">
        <v>343</v>
      </c>
      <c r="B29" s="22" t="s">
        <v>180</v>
      </c>
      <c r="C29" s="221">
        <f>'Profit Loss'!B4/Balance_Sheet!B17</f>
        <v>0.4556038589804669</v>
      </c>
      <c r="D29" s="221">
        <f>'Profit Loss'!C4/Balance_Sheet!C17</f>
        <v>0.5013140778889803</v>
      </c>
      <c r="E29" s="221">
        <f>'Profit Loss'!D4/Balance_Sheet!D17</f>
        <v>0.57424336328891645</v>
      </c>
      <c r="F29" s="221">
        <f>'Profit Loss'!E4/Balance_Sheet!E17</f>
        <v>0.59126460610629472</v>
      </c>
      <c r="G29" s="221">
        <f>'Profit Loss'!F4/Balance_Sheet!F17</f>
        <v>0.58582392213140322</v>
      </c>
      <c r="H29" s="12"/>
      <c r="I29" s="221">
        <f>'Ind_P&amp;L'!B3/Ind_bal!B16</f>
        <v>0.35954879086059638</v>
      </c>
      <c r="J29" s="221">
        <f>'Ind_P&amp;L'!C3/Ind_bal!C16</f>
        <v>0.43475657993200917</v>
      </c>
      <c r="K29" s="221">
        <f>'Ind_P&amp;L'!D3/Ind_bal!D16</f>
        <v>0.50229237190653042</v>
      </c>
      <c r="L29" s="221">
        <f>'Ind_P&amp;L'!E3/Ind_bal!E16</f>
        <v>0.48539995302668826</v>
      </c>
      <c r="M29" s="221">
        <f>'Ind_P&amp;L'!F3/Ind_bal!F16</f>
        <v>0.52011180371197685</v>
      </c>
      <c r="N29" s="355" t="s">
        <v>1074</v>
      </c>
      <c r="O29" s="12"/>
      <c r="P29" s="12"/>
      <c r="Q29" s="12"/>
      <c r="R29" s="12"/>
      <c r="S29" s="289"/>
      <c r="T29" s="289"/>
      <c r="U29" s="168"/>
      <c r="V29" s="168"/>
      <c r="W29" s="168"/>
      <c r="X29" s="51"/>
      <c r="Y29" s="51"/>
      <c r="Z29" s="51"/>
    </row>
    <row r="30" spans="1:26">
      <c r="A30" s="30" t="s">
        <v>395</v>
      </c>
      <c r="B30" s="22" t="s">
        <v>332</v>
      </c>
      <c r="C30" s="221">
        <f>Balance_Sheet!B17/Balance_Sheet!B40</f>
        <v>5.1763255240443895</v>
      </c>
      <c r="D30" s="221">
        <f>Balance_Sheet!C17/Balance_Sheet!C40</f>
        <v>5.1021265068400377</v>
      </c>
      <c r="E30" s="221">
        <f>Balance_Sheet!D17/Balance_Sheet!D40</f>
        <v>6.0925110132158586</v>
      </c>
      <c r="F30" s="221">
        <f>Balance_Sheet!E17/Balance_Sheet!E40</f>
        <v>6.0857347670250892</v>
      </c>
      <c r="G30" s="221">
        <f>Balance_Sheet!F17/Balance_Sheet!F40</f>
        <v>7.3800460475825016</v>
      </c>
      <c r="H30" s="12"/>
      <c r="I30" s="221">
        <f>Ind_bal!B16/Ind_bal!B34</f>
        <v>2.6523832520055644</v>
      </c>
      <c r="J30" s="221">
        <f>Ind_bal!C16/Ind_bal!C34</f>
        <v>2.3983129610993954</v>
      </c>
      <c r="K30" s="221">
        <f>Ind_bal!D16/Ind_bal!D34</f>
        <v>2.2789768684384635</v>
      </c>
      <c r="L30" s="221">
        <f>Ind_bal!E16/Ind_bal!E34</f>
        <v>2.3047184378614611</v>
      </c>
      <c r="M30" s="221">
        <f>Ind_bal!F16/Ind_bal!F34</f>
        <v>2.2944304911557616</v>
      </c>
      <c r="N30" s="355" t="s">
        <v>1075</v>
      </c>
      <c r="O30" s="12"/>
      <c r="P30" s="12"/>
      <c r="Q30" s="12"/>
      <c r="R30" s="12"/>
      <c r="S30" s="289"/>
      <c r="T30" s="289"/>
      <c r="U30" s="168"/>
      <c r="V30" s="168"/>
      <c r="W30" s="168"/>
      <c r="X30" s="51"/>
      <c r="Y30" s="51"/>
      <c r="Z30" s="51"/>
    </row>
    <row r="31" spans="1:26">
      <c r="A31" s="30" t="s">
        <v>335</v>
      </c>
      <c r="B31" s="22"/>
      <c r="C31" s="216">
        <f>PRODUCT(C28:C30)</f>
        <v>0.98813193588162762</v>
      </c>
      <c r="D31" s="216">
        <f>PRODUCT(D28:D30)</f>
        <v>1.1766219693891371</v>
      </c>
      <c r="E31" s="216">
        <f>PRODUCT(E28:E30)</f>
        <v>1.5623033354310887</v>
      </c>
      <c r="F31" s="216">
        <f>PRODUCT(F28:F30)</f>
        <v>1.6050179211469531</v>
      </c>
      <c r="G31" s="216">
        <f>PRODUCT(G28:G30)</f>
        <v>1.9760552570990018</v>
      </c>
      <c r="H31" s="12"/>
      <c r="I31" s="216">
        <f>PRODUCT(I28:I30)</f>
        <v>0.23981000295518926</v>
      </c>
      <c r="J31" s="216">
        <f>PRODUCT(J28:J30)</f>
        <v>0.30908321742418904</v>
      </c>
      <c r="K31" s="216">
        <f>PRODUCT(K28:K30)</f>
        <v>0.36296453493452513</v>
      </c>
      <c r="L31" s="216">
        <f>PRODUCT(L28:L30)</f>
        <v>0.3606946889796756</v>
      </c>
      <c r="M31" s="216">
        <f>PRODUCT(M28:M30)</f>
        <v>0.40857375923063716</v>
      </c>
      <c r="N31" s="355" t="s">
        <v>1076</v>
      </c>
      <c r="O31" s="12"/>
      <c r="P31" s="12"/>
      <c r="Q31" s="12"/>
      <c r="R31" s="12"/>
      <c r="S31" s="289"/>
      <c r="T31" s="289"/>
      <c r="U31" s="168"/>
      <c r="V31" s="168"/>
      <c r="W31" s="168"/>
      <c r="X31" s="51"/>
      <c r="Y31" s="51"/>
      <c r="Z31" s="51"/>
    </row>
    <row r="32" spans="1:26">
      <c r="A32" s="30" t="s">
        <v>345</v>
      </c>
      <c r="B32" s="22"/>
      <c r="C32" s="33"/>
      <c r="D32" s="33"/>
      <c r="E32" s="33"/>
      <c r="F32" s="33"/>
      <c r="G32" s="33"/>
      <c r="H32" s="12"/>
      <c r="I32" s="33"/>
      <c r="J32" s="33"/>
      <c r="K32" s="33"/>
      <c r="L32" s="33"/>
      <c r="M32" s="33"/>
      <c r="N32" s="355"/>
      <c r="O32" s="12"/>
      <c r="P32" s="12"/>
      <c r="Q32" s="12"/>
      <c r="R32" s="12"/>
      <c r="S32" s="289"/>
      <c r="T32" s="289"/>
      <c r="U32" s="168"/>
      <c r="V32" s="168"/>
      <c r="W32" s="168"/>
      <c r="X32" s="51"/>
      <c r="Y32" s="51"/>
      <c r="Z32" s="51"/>
    </row>
    <row r="33" spans="1:26">
      <c r="A33" s="30" t="s">
        <v>338</v>
      </c>
      <c r="B33" s="22" t="s">
        <v>339</v>
      </c>
      <c r="C33" s="221">
        <f>'Profit Loss'!B20/'Profit Loss'!B18</f>
        <v>0.82615979381443294</v>
      </c>
      <c r="D33" s="221">
        <f>'Profit Loss'!C20/'Profit Loss'!C18</f>
        <v>0.84282526438342875</v>
      </c>
      <c r="E33" s="221">
        <f>'Profit Loss'!D20/'Profit Loss'!D18</f>
        <v>0.84640300034094784</v>
      </c>
      <c r="F33" s="221">
        <f>'Profit Loss'!E20/'Profit Loss'!E18</f>
        <v>0.82080797712442266</v>
      </c>
      <c r="G33" s="221">
        <f>'Profit Loss'!F20/'Profit Loss'!F18</f>
        <v>0.84397535072767793</v>
      </c>
      <c r="H33" s="12"/>
      <c r="I33" s="221">
        <f>'Ind_P&amp;L'!B19/'Ind_P&amp;L'!B17</f>
        <v>0.80093885411651422</v>
      </c>
      <c r="J33" s="221">
        <f>'Ind_P&amp;L'!C19/'Ind_P&amp;L'!C17</f>
        <v>0.8320995323635485</v>
      </c>
      <c r="K33" s="221">
        <f>'Ind_P&amp;L'!D19/'Ind_P&amp;L'!D17</f>
        <v>0.85120833760264647</v>
      </c>
      <c r="L33" s="221">
        <f>'Ind_P&amp;L'!E19/'Ind_P&amp;L'!E17</f>
        <v>0.83267126170682937</v>
      </c>
      <c r="M33" s="221">
        <f>'Ind_P&amp;L'!F19/'Ind_P&amp;L'!F17</f>
        <v>0.85246562458010477</v>
      </c>
      <c r="N33" s="355" t="s">
        <v>1068</v>
      </c>
      <c r="O33" s="12"/>
      <c r="P33" s="12"/>
      <c r="Q33" s="12"/>
      <c r="R33" s="12"/>
      <c r="S33" s="289"/>
      <c r="T33" s="289"/>
      <c r="U33" s="168"/>
      <c r="V33" s="168"/>
      <c r="W33" s="168"/>
      <c r="X33" s="51"/>
      <c r="Y33" s="51"/>
      <c r="Z33" s="51"/>
    </row>
    <row r="34" spans="1:26">
      <c r="A34" s="30" t="s">
        <v>340</v>
      </c>
      <c r="B34" s="22" t="s">
        <v>341</v>
      </c>
      <c r="C34" s="221">
        <f>'Profit Loss'!B20/'Profit Loss'!B11</f>
        <v>0.79334240811780721</v>
      </c>
      <c r="D34" s="221">
        <f>'Profit Loss'!C20/'Profit Loss'!C11</f>
        <v>0.86163459631025585</v>
      </c>
      <c r="E34" s="221">
        <f>'Profit Loss'!D20/'Profit Loss'!D11</f>
        <v>0.80968688845401171</v>
      </c>
      <c r="F34" s="221">
        <f>'Profit Loss'!E20/'Profit Loss'!E11</f>
        <v>0.79918617932609937</v>
      </c>
      <c r="G34" s="221">
        <f>'Profit Loss'!F20/'Profit Loss'!F11</f>
        <v>0.82620972917468871</v>
      </c>
      <c r="H34" s="12"/>
      <c r="I34" s="221">
        <f>'Ind_P&amp;L'!B19/'Ind_P&amp;L'!B10</f>
        <v>0.7846933962264151</v>
      </c>
      <c r="J34" s="221">
        <f>'Ind_P&amp;L'!C19/'Ind_P&amp;L'!C10</f>
        <v>0.81388401296246282</v>
      </c>
      <c r="K34" s="221">
        <f>'Ind_P&amp;L'!D19/'Ind_P&amp;L'!D10</f>
        <v>0.80540705243622057</v>
      </c>
      <c r="L34" s="221">
        <f>'Ind_P&amp;L'!E19/'Ind_P&amp;L'!E10</f>
        <v>0.80098948513874302</v>
      </c>
      <c r="M34" s="221">
        <f>'Ind_P&amp;L'!F19/'Ind_P&amp;L'!F10</f>
        <v>0.82447476716482559</v>
      </c>
      <c r="N34" s="355" t="s">
        <v>1069</v>
      </c>
      <c r="O34" s="12"/>
      <c r="P34" s="12"/>
      <c r="Q34" s="12"/>
      <c r="R34" s="12"/>
      <c r="S34" s="289"/>
      <c r="T34" s="289"/>
      <c r="U34" s="168"/>
      <c r="V34" s="168"/>
      <c r="W34" s="168"/>
      <c r="X34" s="51"/>
      <c r="Y34" s="51"/>
      <c r="Z34" s="51"/>
    </row>
    <row r="35" spans="1:26">
      <c r="A35" s="30" t="s">
        <v>342</v>
      </c>
      <c r="B35" s="22" t="s">
        <v>396</v>
      </c>
      <c r="C35" s="221">
        <f>'Profit Loss'!B25/'Profit Loss'!B4</f>
        <v>0.56604143520031369</v>
      </c>
      <c r="D35" s="221">
        <f>'Profit Loss'!C25/'Profit Loss'!C4</f>
        <v>0.57233636941325994</v>
      </c>
      <c r="E35" s="221">
        <f>'Profit Loss'!D25/'Profit Loss'!D4</f>
        <v>0.5852408148581193</v>
      </c>
      <c r="F35" s="221">
        <f>'Profit Loss'!E25/'Profit Loss'!E4</f>
        <v>0.58996732807395014</v>
      </c>
      <c r="G35" s="221">
        <f>'Profit Loss'!F25/'Profit Loss'!F4</f>
        <v>0.58504633081265311</v>
      </c>
      <c r="H35" s="12"/>
      <c r="I35" s="221">
        <f>I14</f>
        <v>0.32045952686871743</v>
      </c>
      <c r="J35" s="221">
        <f>J14</f>
        <v>0.36421756663715943</v>
      </c>
      <c r="K35" s="221">
        <f>K14</f>
        <v>0.39368807899715919</v>
      </c>
      <c r="L35" s="221">
        <f>L14</f>
        <v>0.40252728726628195</v>
      </c>
      <c r="M35" s="221">
        <f>M14</f>
        <v>0.41526132592212839</v>
      </c>
      <c r="N35" s="355" t="s">
        <v>1070</v>
      </c>
      <c r="O35" s="12"/>
      <c r="P35" s="12"/>
      <c r="Q35" s="12"/>
      <c r="R35" s="12"/>
      <c r="S35" s="289"/>
      <c r="T35" s="289"/>
      <c r="U35" s="168"/>
      <c r="V35" s="168"/>
      <c r="W35" s="168"/>
      <c r="X35" s="51"/>
      <c r="Y35" s="51"/>
      <c r="Z35" s="51"/>
    </row>
    <row r="36" spans="1:26">
      <c r="A36" s="30" t="s">
        <v>343</v>
      </c>
      <c r="B36" s="22" t="s">
        <v>180</v>
      </c>
      <c r="C36" s="221">
        <f>'Profit Loss'!B4/Balance_Sheet!B17</f>
        <v>0.4556038589804669</v>
      </c>
      <c r="D36" s="221">
        <f>'Profit Loss'!C4/Balance_Sheet!C17</f>
        <v>0.5013140778889803</v>
      </c>
      <c r="E36" s="221">
        <f>'Profit Loss'!D4/Balance_Sheet!D17</f>
        <v>0.57424336328891645</v>
      </c>
      <c r="F36" s="221">
        <f>'Profit Loss'!E4/Balance_Sheet!E17</f>
        <v>0.59126460610629472</v>
      </c>
      <c r="G36" s="221">
        <f>'Profit Loss'!F4/Balance_Sheet!F17</f>
        <v>0.58582392213140322</v>
      </c>
      <c r="H36" s="12"/>
      <c r="I36" s="221">
        <f>'Ind_P&amp;L'!B3/Ind_bal!B16</f>
        <v>0.35954879086059638</v>
      </c>
      <c r="J36" s="221">
        <f>'Ind_P&amp;L'!C3/Ind_bal!C16</f>
        <v>0.43475657993200917</v>
      </c>
      <c r="K36" s="221">
        <f>'Ind_P&amp;L'!D3/Ind_bal!D16</f>
        <v>0.50229237190653042</v>
      </c>
      <c r="L36" s="221">
        <f>'Ind_P&amp;L'!E3/Ind_bal!E16</f>
        <v>0.48539995302668826</v>
      </c>
      <c r="M36" s="221">
        <f>'Ind_P&amp;L'!F3/Ind_bal!F16</f>
        <v>0.52011180371197685</v>
      </c>
      <c r="N36" s="355" t="s">
        <v>1071</v>
      </c>
      <c r="O36" s="12"/>
      <c r="P36" s="12"/>
      <c r="Q36" s="12"/>
      <c r="R36" s="12"/>
      <c r="S36" s="289"/>
      <c r="T36" s="289"/>
      <c r="U36" s="168"/>
      <c r="V36" s="168"/>
      <c r="W36" s="168"/>
      <c r="X36" s="51"/>
      <c r="Y36" s="51"/>
      <c r="Z36" s="51"/>
    </row>
    <row r="37" spans="1:26">
      <c r="A37" s="30" t="s">
        <v>344</v>
      </c>
      <c r="B37" s="22" t="s">
        <v>397</v>
      </c>
      <c r="C37" s="221">
        <f>Balance_Sheet!B17/Balance_Sheet!B40</f>
        <v>5.1763255240443895</v>
      </c>
      <c r="D37" s="221">
        <f>Balance_Sheet!C17/Balance_Sheet!C40</f>
        <v>5.1021265068400377</v>
      </c>
      <c r="E37" s="221">
        <f>Balance_Sheet!D17/Balance_Sheet!D40</f>
        <v>6.0925110132158586</v>
      </c>
      <c r="F37" s="221">
        <f>Balance_Sheet!E17/Balance_Sheet!E40</f>
        <v>6.0857347670250892</v>
      </c>
      <c r="G37" s="221">
        <f>Balance_Sheet!F17/Balance_Sheet!F40</f>
        <v>7.3800460475825016</v>
      </c>
      <c r="H37" s="12"/>
      <c r="I37" s="221">
        <f>Ind_bal!B16/Ind_bal!B34</f>
        <v>2.6523832520055644</v>
      </c>
      <c r="J37" s="221">
        <f>Ind_bal!C16/Ind_bal!C34</f>
        <v>2.3983129610993954</v>
      </c>
      <c r="K37" s="221">
        <f>Ind_bal!D16/Ind_bal!D34</f>
        <v>2.2789768684384635</v>
      </c>
      <c r="L37" s="221">
        <f>Ind_bal!E16/Ind_bal!E34</f>
        <v>2.3047184378614611</v>
      </c>
      <c r="M37" s="221">
        <f>Ind_bal!F16/Ind_bal!F34</f>
        <v>2.2944304911557616</v>
      </c>
      <c r="N37" s="355" t="s">
        <v>1072</v>
      </c>
      <c r="O37" s="12"/>
      <c r="P37" s="12"/>
      <c r="Q37" s="12"/>
      <c r="R37" s="12"/>
      <c r="S37" s="289"/>
      <c r="T37" s="289"/>
      <c r="U37" s="168"/>
      <c r="V37" s="168"/>
      <c r="W37" s="168"/>
      <c r="X37" s="51"/>
      <c r="Y37" s="51"/>
      <c r="Z37" s="51"/>
    </row>
    <row r="38" spans="1:26">
      <c r="A38" s="30" t="s">
        <v>330</v>
      </c>
      <c r="B38" s="22"/>
      <c r="C38" s="221">
        <f>PRODUCT(C33:C37)</f>
        <v>0.87494735609231578</v>
      </c>
      <c r="D38" s="221">
        <f>PRODUCT(D33:D37)</f>
        <v>1.0630976092065798</v>
      </c>
      <c r="E38" s="221">
        <f>PRODUCT(E33:E37)</f>
        <v>1.4032052945529834</v>
      </c>
      <c r="F38" s="221">
        <f>PRODUCT(F33:F37)</f>
        <v>1.3925551309642257</v>
      </c>
      <c r="G38" s="221">
        <f>PRODUCT(G33:G37)</f>
        <v>1.7637478656469079</v>
      </c>
      <c r="H38" s="12"/>
      <c r="I38" s="221">
        <f>PRODUCT(I33:I37)</f>
        <v>0.19207314897260716</v>
      </c>
      <c r="J38" s="221">
        <f>PRODUCT(J33:J37)</f>
        <v>0.25718800068008862</v>
      </c>
      <c r="K38" s="221">
        <f>PRODUCT(K33:K37)</f>
        <v>0.30895843839033477</v>
      </c>
      <c r="L38" s="221">
        <f>PRODUCT(L33:L37)</f>
        <v>0.30034010176365883</v>
      </c>
      <c r="M38" s="221">
        <f>PRODUCT(M33:M37)</f>
        <v>0.34829508484958643</v>
      </c>
      <c r="N38" s="355"/>
      <c r="O38" s="12"/>
      <c r="P38" s="12"/>
      <c r="Q38" s="12"/>
      <c r="R38" s="12"/>
      <c r="S38" s="289"/>
      <c r="T38" s="289"/>
      <c r="U38" s="168"/>
      <c r="V38" s="168"/>
      <c r="W38" s="168"/>
      <c r="X38" s="51"/>
      <c r="Y38" s="51"/>
      <c r="Z38" s="51"/>
    </row>
    <row r="39" spans="1:26">
      <c r="A39" s="30"/>
      <c r="B39" s="22"/>
      <c r="C39" s="221"/>
      <c r="D39" s="221"/>
      <c r="E39" s="221"/>
      <c r="F39" s="221"/>
      <c r="G39" s="221"/>
      <c r="H39" s="12"/>
      <c r="I39" s="221"/>
      <c r="J39" s="221"/>
      <c r="K39" s="221"/>
      <c r="L39" s="221"/>
      <c r="M39" s="221"/>
      <c r="N39" s="355"/>
      <c r="O39" s="12"/>
      <c r="P39" s="12"/>
      <c r="Q39" s="12"/>
      <c r="R39" s="12"/>
      <c r="S39" s="289"/>
      <c r="T39" s="289"/>
      <c r="U39" s="168"/>
      <c r="V39" s="168"/>
      <c r="W39" s="168"/>
      <c r="X39" s="51"/>
      <c r="Y39" s="51"/>
      <c r="Z39" s="51"/>
    </row>
    <row r="40" spans="1:26">
      <c r="A40" s="30" t="s">
        <v>349</v>
      </c>
      <c r="B40" s="22"/>
      <c r="C40" s="221"/>
      <c r="D40" s="221"/>
      <c r="E40" s="221"/>
      <c r="F40" s="221"/>
      <c r="G40" s="221"/>
      <c r="H40" s="12"/>
      <c r="I40" s="221"/>
      <c r="J40" s="221"/>
      <c r="K40" s="221"/>
      <c r="L40" s="221"/>
      <c r="M40" s="221"/>
      <c r="N40" s="355"/>
      <c r="O40" s="12"/>
      <c r="P40" s="12"/>
      <c r="Q40" s="12"/>
      <c r="R40" s="12"/>
      <c r="S40" s="289"/>
      <c r="T40" s="289"/>
      <c r="U40" s="168"/>
      <c r="V40" s="168"/>
      <c r="W40" s="168"/>
      <c r="X40" s="51"/>
      <c r="Y40" s="51"/>
      <c r="Z40" s="51"/>
    </row>
    <row r="41" spans="1:26">
      <c r="A41" s="30" t="s">
        <v>493</v>
      </c>
      <c r="B41" s="22" t="s">
        <v>346</v>
      </c>
      <c r="C41" s="221">
        <f>'Profit Loss'!B11/'Profit Loss'!B4</f>
        <v>0.52813541598588332</v>
      </c>
      <c r="D41" s="221">
        <f>'Profit Loss'!C11/'Profit Loss'!C4</f>
        <v>0.53389112476170308</v>
      </c>
      <c r="E41" s="221">
        <f>'Profit Loss'!D11/'Profit Loss'!D4</f>
        <v>0.55151324369294419</v>
      </c>
      <c r="F41" s="221">
        <f>'Profit Loss'!E11/'Profit Loss'!E4</f>
        <v>0.55813212208144081</v>
      </c>
      <c r="G41" s="221">
        <f>'Profit Loss'!F11/'Profit Loss'!F4</f>
        <v>0.55320055383959954</v>
      </c>
      <c r="H41" s="12"/>
      <c r="I41" s="221">
        <f>'Ind_P&amp;L'!B10/'Ind_P&amp;L'!B3</f>
        <v>0.32045952686871743</v>
      </c>
      <c r="J41" s="221">
        <f>'Ind_P&amp;L'!C10/'Ind_P&amp;L'!C3</f>
        <v>0.36421756663715943</v>
      </c>
      <c r="K41" s="221">
        <f>'Ind_P&amp;L'!D10/'Ind_P&amp;L'!D3</f>
        <v>0.39368807899715919</v>
      </c>
      <c r="L41" s="221">
        <f>'Ind_P&amp;L'!E10/'Ind_P&amp;L'!E3</f>
        <v>0.40252728726628195</v>
      </c>
      <c r="M41" s="221">
        <f>'Ind_P&amp;L'!F10/'Ind_P&amp;L'!F3</f>
        <v>0.41526132592212839</v>
      </c>
      <c r="N41" s="355" t="s">
        <v>1064</v>
      </c>
      <c r="O41" s="12"/>
      <c r="P41" s="12"/>
      <c r="Q41" s="12"/>
      <c r="R41" s="12"/>
      <c r="S41" s="289"/>
      <c r="T41" s="289"/>
      <c r="U41" s="168"/>
      <c r="V41" s="168"/>
      <c r="W41" s="168"/>
      <c r="X41" s="51"/>
      <c r="Y41" s="51"/>
      <c r="Z41" s="51"/>
    </row>
    <row r="42" spans="1:26">
      <c r="A42" s="30" t="s">
        <v>347</v>
      </c>
      <c r="B42" s="22" t="s">
        <v>507</v>
      </c>
      <c r="C42" s="221">
        <f>(Balance_Sheet!B27+Balance_Sheet!B24)/((Balance_Sheet!B27+Balance_Sheet!B24)+Balance_Sheet!B40)</f>
        <v>0.66137787056367436</v>
      </c>
      <c r="D42" s="221">
        <f>(Balance_Sheet!C27+Balance_Sheet!C24)/((Balance_Sheet!C27+Balance_Sheet!C24)+Balance_Sheet!C40)</f>
        <v>0.65311971433940985</v>
      </c>
      <c r="E42" s="221">
        <f>(Balance_Sheet!D27+Balance_Sheet!D24)/((Balance_Sheet!D27+Balance_Sheet!D24)+Balance_Sheet!D40)</f>
        <v>0.68811030963246478</v>
      </c>
      <c r="F42" s="221">
        <f>(Balance_Sheet!E27+Balance_Sheet!E24)/((Balance_Sheet!E27+Balance_Sheet!E24)+Balance_Sheet!E40)</f>
        <v>0.69213453389830504</v>
      </c>
      <c r="G42" s="221">
        <f>(Balance_Sheet!F27+Balance_Sheet!F24)/((Balance_Sheet!F27+Balance_Sheet!F24)+Balance_Sheet!F40)</f>
        <v>0.73667192110262314</v>
      </c>
      <c r="H42" s="12"/>
      <c r="I42" s="221">
        <f>(Ind_bal!B24+Ind_bal!B21)/((Ind_bal!B24+Ind_bal!B21)+Ind_bal!B34)</f>
        <v>0.39224198352899947</v>
      </c>
      <c r="J42" s="221">
        <f>(Ind_bal!C24+Ind_bal!C21)/((Ind_bal!C24+Ind_bal!C21)+Ind_bal!C34)</f>
        <v>0.38950346506176847</v>
      </c>
      <c r="K42" s="221">
        <f>(Ind_bal!D24+Ind_bal!D21)/((Ind_bal!D24+Ind_bal!D21)+Ind_bal!D34)</f>
        <v>0.39756490088138857</v>
      </c>
      <c r="L42" s="221">
        <f>(Ind_bal!E24+Ind_bal!E21)/((Ind_bal!E24+Ind_bal!E21)+Ind_bal!E34)</f>
        <v>0.38681625066383429</v>
      </c>
      <c r="M42" s="221">
        <f>(Ind_bal!F24+Ind_bal!F21)/((Ind_bal!F24+Ind_bal!F21)+Ind_bal!F34)</f>
        <v>0.40298163153493471</v>
      </c>
      <c r="N42" s="355" t="s">
        <v>1065</v>
      </c>
      <c r="O42" s="12"/>
      <c r="P42" s="12"/>
      <c r="Q42" s="12"/>
      <c r="R42" s="12"/>
      <c r="S42" s="289"/>
      <c r="T42" s="289"/>
      <c r="U42" s="168"/>
      <c r="V42" s="168"/>
      <c r="W42" s="168"/>
      <c r="X42" s="51"/>
      <c r="Y42" s="51"/>
      <c r="Z42" s="51"/>
    </row>
    <row r="43" spans="1:26">
      <c r="A43" s="30" t="s">
        <v>348</v>
      </c>
      <c r="B43" s="22" t="s">
        <v>510</v>
      </c>
      <c r="C43" s="221">
        <f>(Balance_Sheet!B27+Balance_Sheet!B24)/'Profit Loss'!B25</f>
        <v>1.4631104953238656</v>
      </c>
      <c r="D43" s="221">
        <f>(Balance_Sheet!C27+Balance_Sheet!C24)/'Profit Loss'!C25</f>
        <v>1.2861769059955588</v>
      </c>
      <c r="E43" s="221">
        <f>(Balance_Sheet!D27+Balance_Sheet!D24)/'Profit Loss'!D25</f>
        <v>1.0775318887352083</v>
      </c>
      <c r="F43" s="221">
        <f>(Balance_Sheet!E27+Balance_Sheet!E24)/'Profit Loss'!E25</f>
        <v>1.0590261362868914</v>
      </c>
      <c r="G43" s="221">
        <f>(Balance_Sheet!F27+Balance_Sheet!F24)/'Profit Loss'!F25</f>
        <v>1.1060137144244189</v>
      </c>
      <c r="H43" s="12"/>
      <c r="I43" s="221">
        <f>(Ind_bal!B24+Ind_bal!B21)/'Ind_P&amp;L'!B22</f>
        <v>1.9603082514175625</v>
      </c>
      <c r="J43" s="221">
        <f>(Ind_bal!C24+Ind_bal!C21)/'Ind_P&amp;L'!C22</f>
        <v>1.5836130777185586</v>
      </c>
      <c r="K43" s="221">
        <f>(Ind_bal!D24+Ind_bal!D21)/'Ind_P&amp;L'!D22</f>
        <v>1.3939721548359878</v>
      </c>
      <c r="L43" s="221">
        <f>(Ind_bal!E24+Ind_bal!E21)/'Ind_P&amp;L'!E22</f>
        <v>1.3365162910293709</v>
      </c>
      <c r="M43" s="221">
        <f>(Ind_bal!F24+Ind_bal!F21)/'Ind_P&amp;L'!F22</f>
        <v>1.30405706642889</v>
      </c>
      <c r="N43" s="355" t="s">
        <v>1066</v>
      </c>
      <c r="O43" s="12"/>
      <c r="P43" s="12"/>
      <c r="Q43" s="12"/>
      <c r="R43" s="12"/>
      <c r="S43" s="289"/>
      <c r="T43" s="289"/>
      <c r="U43" s="168"/>
      <c r="V43" s="168"/>
      <c r="W43" s="168"/>
      <c r="X43" s="51"/>
      <c r="Y43" s="51"/>
      <c r="Z43" s="51"/>
    </row>
    <row r="44" spans="1:26">
      <c r="A44" s="30" t="s">
        <v>508</v>
      </c>
      <c r="B44" s="22" t="s">
        <v>509</v>
      </c>
      <c r="C44" s="221">
        <f>'Cash Flow'!B25/(Balance_Sheet!B27+Balance_Sheet!B24)</f>
        <v>0.57007575757575757</v>
      </c>
      <c r="D44" s="221">
        <f>'Cash Flow'!C25/(Balance_Sheet!C27+Balance_Sheet!C24)</f>
        <v>0.68074239263362346</v>
      </c>
      <c r="E44" s="221">
        <f>'Cash Flow'!D25/(Balance_Sheet!D27+Balance_Sheet!D24)</f>
        <v>0.79833131284318615</v>
      </c>
      <c r="F44" s="221">
        <f>'Cash Flow'!E25/(Balance_Sheet!E27+Balance_Sheet!E24)</f>
        <v>0.76398188891014607</v>
      </c>
      <c r="G44" s="221">
        <f>'Cash Flow'!F25/(Balance_Sheet!F27+Balance_Sheet!F24)</f>
        <v>0.81092944145725887</v>
      </c>
      <c r="H44" s="12"/>
      <c r="I44" s="221">
        <f>Ind_Cashflow!B11/(Ind_bal!B24+Ind_bal!B21)</f>
        <v>0.49547134832088091</v>
      </c>
      <c r="J44" s="221">
        <f>Ind_Cashflow!C11/(Ind_bal!C24+Ind_bal!C21)</f>
        <v>0.63454158210934519</v>
      </c>
      <c r="K44" s="221">
        <f>Ind_Cashflow!D11/(Ind_bal!D24+Ind_bal!D21)</f>
        <v>0.7159651943630001</v>
      </c>
      <c r="L44" s="221">
        <f>Ind_Cashflow!E11/(Ind_bal!E24+Ind_bal!E21)</f>
        <v>0.75539457877575356</v>
      </c>
      <c r="M44" s="221">
        <f>Ind_Cashflow!F11/(Ind_bal!F24+Ind_bal!F21)</f>
        <v>0.77645000993838198</v>
      </c>
      <c r="N44" s="355" t="s">
        <v>1067</v>
      </c>
      <c r="O44" s="12"/>
      <c r="P44" s="12"/>
      <c r="Q44" s="12"/>
      <c r="R44" s="12"/>
      <c r="S44" s="289"/>
      <c r="T44" s="289"/>
      <c r="U44" s="168"/>
      <c r="V44" s="168"/>
      <c r="W44" s="168"/>
      <c r="X44" s="51"/>
      <c r="Y44" s="51"/>
      <c r="Z44" s="51"/>
    </row>
    <row r="45" spans="1:26">
      <c r="A45" s="30" t="s">
        <v>350</v>
      </c>
      <c r="B45" s="22"/>
      <c r="C45" s="221"/>
      <c r="D45" s="221"/>
      <c r="E45" s="221"/>
      <c r="F45" s="221"/>
      <c r="G45" s="221"/>
      <c r="H45" s="12"/>
      <c r="I45" s="221"/>
      <c r="J45" s="221"/>
      <c r="K45" s="221"/>
      <c r="L45" s="221"/>
      <c r="M45" s="221"/>
      <c r="N45" s="355"/>
      <c r="O45" s="12"/>
      <c r="P45" s="12"/>
      <c r="Q45" s="12"/>
      <c r="R45" s="12"/>
      <c r="S45" s="289"/>
      <c r="T45" s="289"/>
      <c r="U45" s="168"/>
      <c r="V45" s="168"/>
      <c r="W45" s="168"/>
      <c r="X45" s="51"/>
      <c r="Y45" s="51"/>
      <c r="Z45" s="51"/>
    </row>
    <row r="46" spans="1:26">
      <c r="A46" s="30"/>
      <c r="B46" s="22" t="s">
        <v>398</v>
      </c>
      <c r="C46" s="221">
        <f>'Profit Loss'!B25/ABS('Profit Loss'!B15)</f>
        <v>22.792105263157893</v>
      </c>
      <c r="D46" s="221">
        <f>'Profit Loss'!C25/ABS('Profit Loss'!C15)</f>
        <v>25.076566125290022</v>
      </c>
      <c r="E46" s="221">
        <f>'Profit Loss'!D25/ABS('Profit Loss'!D15)</f>
        <v>27.630573248407643</v>
      </c>
      <c r="F46" s="221">
        <f>'Profit Loss'!E25/ABS('Profit Loss'!E15)</f>
        <v>25.751304347826085</v>
      </c>
      <c r="G46" s="221">
        <f>'Profit Loss'!F25/ABS('Profit Loss'!F15)</f>
        <v>25.509287925696594</v>
      </c>
      <c r="H46" s="12"/>
      <c r="I46" s="221">
        <f>Table39[[#This Row],[Column3]]</f>
        <v>22.792105263157893</v>
      </c>
      <c r="J46" s="221">
        <f>Table39[[#This Row],[Column4]]</f>
        <v>25.076566125290022</v>
      </c>
      <c r="K46" s="221">
        <f>Table39[[#This Row],[Column5]]</f>
        <v>27.630573248407643</v>
      </c>
      <c r="L46" s="221">
        <f>Table39[[#This Row],[Column6]]</f>
        <v>25.751304347826085</v>
      </c>
      <c r="M46" s="221">
        <f>Table39[[#This Row],[Column7]]</f>
        <v>25.509287925696594</v>
      </c>
      <c r="N46" s="161" t="s">
        <v>1062</v>
      </c>
      <c r="O46" s="12"/>
      <c r="P46" s="12"/>
      <c r="Q46" s="12"/>
      <c r="R46" s="12"/>
      <c r="S46" s="289"/>
      <c r="T46" s="289"/>
      <c r="U46" s="168"/>
      <c r="V46" s="168"/>
      <c r="W46" s="168"/>
      <c r="X46" s="51"/>
      <c r="Y46" s="51"/>
      <c r="Z46" s="51"/>
    </row>
    <row r="47" spans="1:26">
      <c r="A47" s="30"/>
      <c r="B47" s="22" t="s">
        <v>399</v>
      </c>
      <c r="C47" s="221">
        <f>'Profit Loss'!B11/ABS('Profit Loss'!B15)</f>
        <v>21.265789473684212</v>
      </c>
      <c r="D47" s="221">
        <f>'Profit Loss'!C11/ABS('Profit Loss'!C15)</f>
        <v>23.392111368909514</v>
      </c>
      <c r="E47" s="221">
        <f>'Profit Loss'!D11/ABS('Profit Loss'!D15)</f>
        <v>26.038216560509554</v>
      </c>
      <c r="F47" s="221">
        <f>'Profit Loss'!E11/ABS('Profit Loss'!E15)</f>
        <v>24.361739130434781</v>
      </c>
      <c r="G47" s="221">
        <f>'Profit Loss'!F11/ABS('Profit Loss'!F15)</f>
        <v>24.120743034055728</v>
      </c>
      <c r="H47" s="12"/>
      <c r="I47" s="221">
        <f>'Ind_P&amp;L'!B10/ABS('Ind_P&amp;L'!B14)</f>
        <v>11.680440771349863</v>
      </c>
      <c r="J47" s="221">
        <f>'Ind_P&amp;L'!C10/ABS('Ind_P&amp;L'!C14)</f>
        <v>14.433130328867236</v>
      </c>
      <c r="K47" s="221">
        <f>'Ind_P&amp;L'!D10/ABS('Ind_P&amp;L'!D14)</f>
        <v>16.921021795172251</v>
      </c>
      <c r="L47" s="221">
        <f>'Ind_P&amp;L'!E10/ABS('Ind_P&amp;L'!E14)</f>
        <v>16.666174609869252</v>
      </c>
      <c r="M47" s="221">
        <f>'Ind_P&amp;L'!F10/ABS('Ind_P&amp;L'!F14)</f>
        <v>18.310529446757883</v>
      </c>
      <c r="N47" s="355" t="s">
        <v>1063</v>
      </c>
      <c r="O47" s="12"/>
      <c r="P47" s="12"/>
      <c r="Q47" s="12"/>
      <c r="R47" s="12"/>
      <c r="S47" s="289"/>
      <c r="T47" s="289"/>
      <c r="U47" s="168"/>
      <c r="V47" s="168"/>
      <c r="W47" s="168"/>
      <c r="X47" s="51"/>
      <c r="Y47" s="51"/>
      <c r="Z47" s="51"/>
    </row>
    <row r="48" spans="1:26">
      <c r="A48" s="30"/>
      <c r="B48" s="22"/>
      <c r="C48" s="221"/>
      <c r="D48" s="221"/>
      <c r="E48" s="221"/>
      <c r="F48" s="221"/>
      <c r="G48" s="221"/>
      <c r="H48" s="12"/>
      <c r="I48" s="221"/>
      <c r="J48" s="221"/>
      <c r="K48" s="221"/>
      <c r="L48" s="221"/>
      <c r="M48" s="221"/>
      <c r="N48" s="355"/>
      <c r="O48" s="12"/>
      <c r="P48" s="12"/>
      <c r="Q48" s="12"/>
      <c r="R48" s="12"/>
      <c r="S48" s="289"/>
      <c r="T48" s="289"/>
      <c r="U48" s="168"/>
      <c r="V48" s="168"/>
      <c r="W48" s="168"/>
      <c r="X48" s="51"/>
      <c r="Y48" s="51"/>
      <c r="Z48" s="51"/>
    </row>
    <row r="49" spans="1:26">
      <c r="A49" s="30" t="s">
        <v>400</v>
      </c>
      <c r="B49" s="22"/>
      <c r="C49" s="221"/>
      <c r="D49" s="221"/>
      <c r="E49" s="221"/>
      <c r="F49" s="221"/>
      <c r="G49" s="221"/>
      <c r="H49" s="12"/>
      <c r="I49" s="221"/>
      <c r="J49" s="221"/>
      <c r="K49" s="221"/>
      <c r="L49" s="221"/>
      <c r="M49" s="221"/>
      <c r="N49" s="355"/>
      <c r="O49" s="12"/>
      <c r="P49" s="12"/>
      <c r="Q49" s="12"/>
      <c r="R49" s="12"/>
      <c r="S49" s="289"/>
      <c r="T49" s="289"/>
      <c r="U49" s="168"/>
      <c r="V49" s="168"/>
      <c r="W49" s="168"/>
      <c r="X49" s="51"/>
      <c r="Y49" s="51"/>
      <c r="Z49" s="51"/>
    </row>
    <row r="50" spans="1:26">
      <c r="A50" s="30" t="s">
        <v>351</v>
      </c>
      <c r="B50" s="22">
        <v>450</v>
      </c>
      <c r="C50" s="221"/>
      <c r="D50" s="221"/>
      <c r="E50" s="221"/>
      <c r="F50" s="221"/>
      <c r="G50" s="221"/>
      <c r="H50" s="12"/>
      <c r="I50" s="221"/>
      <c r="J50" s="221"/>
      <c r="K50" s="221"/>
      <c r="L50" s="221"/>
      <c r="M50" s="221"/>
      <c r="N50" s="355"/>
      <c r="O50" s="12"/>
      <c r="P50" s="12"/>
      <c r="Q50" s="12"/>
      <c r="R50" s="12"/>
      <c r="S50" s="289"/>
      <c r="T50" s="289"/>
      <c r="U50" s="168"/>
      <c r="V50" s="168"/>
      <c r="W50" s="168"/>
      <c r="X50" s="51"/>
      <c r="Y50" s="51"/>
      <c r="Z50" s="51"/>
    </row>
    <row r="51" spans="1:26">
      <c r="A51" s="30" t="s">
        <v>209</v>
      </c>
      <c r="B51" s="22"/>
      <c r="C51" s="221">
        <f>B50*'Profit Loss'!B22</f>
        <v>450900</v>
      </c>
      <c r="D51" s="221">
        <f>B50*'Profit Loss'!C22</f>
        <v>444600</v>
      </c>
      <c r="E51" s="221">
        <f>B50*'Profit Loss'!D22</f>
        <v>435600</v>
      </c>
      <c r="F51" s="221">
        <f>B50*'Profit Loss'!E22</f>
        <v>424800</v>
      </c>
      <c r="G51" s="221">
        <f>B50*'Profit Loss'!F22</f>
        <v>416250</v>
      </c>
      <c r="H51" s="290"/>
      <c r="I51" s="221">
        <f>B50*'Ind_P&amp;L'!B22</f>
        <v>20554650</v>
      </c>
      <c r="J51" s="221">
        <f>B50*'Ind_P&amp;L'!C22</f>
        <v>28284750</v>
      </c>
      <c r="K51" s="221">
        <f>B50*'Ind_P&amp;L'!D22</f>
        <v>34131600</v>
      </c>
      <c r="L51" s="221">
        <f>B50*'Ind_P&amp;L'!E22</f>
        <v>37276650</v>
      </c>
      <c r="M51" s="221">
        <f>B50*'Ind_P&amp;L'!F22</f>
        <v>43402050</v>
      </c>
      <c r="N51" s="355"/>
      <c r="O51" s="12"/>
      <c r="P51" s="12"/>
      <c r="Q51" s="12"/>
      <c r="R51" s="12"/>
      <c r="S51" s="289"/>
      <c r="T51" s="289"/>
      <c r="U51" s="168"/>
      <c r="V51" s="168"/>
      <c r="W51" s="168"/>
      <c r="X51" s="51"/>
      <c r="Y51" s="51"/>
      <c r="Z51" s="51"/>
    </row>
    <row r="52" spans="1:26">
      <c r="A52" s="30" t="s">
        <v>214</v>
      </c>
      <c r="B52" s="22" t="s">
        <v>401</v>
      </c>
      <c r="C52" s="221">
        <f>B50/'Profit Loss'!B23</f>
        <v>70.643642072213495</v>
      </c>
      <c r="D52" s="221">
        <f>B50/'Profit Loss'!C23</f>
        <v>51.369863013698634</v>
      </c>
      <c r="E52" s="221">
        <f>B50/'Profit Loss'!D23</f>
        <v>44.031311154598825</v>
      </c>
      <c r="F52" s="221">
        <f>B50/'Profit Loss'!E23</f>
        <v>38.038884192730343</v>
      </c>
      <c r="G52" s="221">
        <f>B50/'Profit Loss'!F23</f>
        <v>32.39740820734341</v>
      </c>
      <c r="H52" s="12"/>
      <c r="I52" s="221">
        <f>B50/'Ind_P&amp;L'!B21</f>
        <v>109.75609756097562</v>
      </c>
      <c r="J52" s="221">
        <f>B50/'Ind_P&amp;L'!C21</f>
        <v>75</v>
      </c>
      <c r="K52" s="221">
        <f>B50/'Ind_P&amp;L'!D21</f>
        <v>62.5</v>
      </c>
      <c r="L52" s="221">
        <f>B50/'Ind_P&amp;L'!E21</f>
        <v>54.21686746987951</v>
      </c>
      <c r="M52" s="221">
        <f>B50/'Ind_P&amp;L'!F21</f>
        <v>45.918367346938773</v>
      </c>
      <c r="N52" s="355" t="s">
        <v>1059</v>
      </c>
      <c r="O52" s="12"/>
      <c r="P52" s="12"/>
      <c r="Q52" s="12"/>
      <c r="R52" s="12"/>
      <c r="S52" s="289"/>
      <c r="T52" s="289"/>
      <c r="U52" s="168"/>
      <c r="V52" s="168"/>
      <c r="W52" s="168"/>
      <c r="X52" s="51"/>
      <c r="Y52" s="51"/>
      <c r="Z52" s="51"/>
    </row>
    <row r="53" spans="1:26">
      <c r="A53" s="30" t="s">
        <v>511</v>
      </c>
      <c r="B53" s="22" t="s">
        <v>506</v>
      </c>
      <c r="C53" s="221">
        <f>C51/Balance_Sheet!B40</f>
        <v>69.497533908754619</v>
      </c>
      <c r="D53" s="221">
        <f>D51/Balance_Sheet!C40</f>
        <v>60.219422998780985</v>
      </c>
      <c r="E53" s="221">
        <f>E51/Balance_Sheet!D40</f>
        <v>68.53366897419761</v>
      </c>
      <c r="F53" s="221">
        <f>F51/Balance_Sheet!E40</f>
        <v>60.903225806451616</v>
      </c>
      <c r="G53" s="221">
        <f>G51/Balance_Sheet!F40</f>
        <v>63.891020721412126</v>
      </c>
      <c r="H53" s="12"/>
      <c r="I53" s="221">
        <f>I51/Ind_bal!B34</f>
        <v>148.15336711378919</v>
      </c>
      <c r="J53" s="221">
        <f>J51/Ind_bal!C34</f>
        <v>181.29739188400967</v>
      </c>
      <c r="K53" s="221">
        <f>K51/Ind_bal!D34</f>
        <v>213.03756226047662</v>
      </c>
      <c r="L53" s="221">
        <f>L51/Ind_bal!E34</f>
        <v>212.39893335156663</v>
      </c>
      <c r="M53" s="221">
        <f>M51/Ind_bal!F34</f>
        <v>232.92358964451313</v>
      </c>
      <c r="N53" s="355" t="s">
        <v>1060</v>
      </c>
      <c r="O53" s="12"/>
      <c r="P53" s="12"/>
      <c r="Q53" s="12"/>
      <c r="R53" s="12"/>
      <c r="S53" s="289"/>
      <c r="T53" s="289"/>
      <c r="U53" s="168"/>
      <c r="V53" s="168"/>
      <c r="W53" s="168"/>
      <c r="X53" s="51"/>
      <c r="Y53" s="51"/>
      <c r="Z53" s="51"/>
    </row>
    <row r="54" spans="1:26">
      <c r="A54" s="30" t="s">
        <v>352</v>
      </c>
      <c r="B54" s="22" t="s">
        <v>223</v>
      </c>
      <c r="C54" s="221">
        <f>C51/'Profit Loss'!B4</f>
        <v>29.468662178942552</v>
      </c>
      <c r="D54" s="221">
        <f>D51/'Profit Loss'!C4</f>
        <v>23.543740732895571</v>
      </c>
      <c r="E54" s="221">
        <f>E51/'Profit Loss'!D4</f>
        <v>19.588973332733733</v>
      </c>
      <c r="F54" s="221">
        <f>F51/'Profit Loss'!E4</f>
        <v>16.925651446330384</v>
      </c>
      <c r="G54" s="221">
        <f>G51/'Profit Loss'!F4</f>
        <v>14.77793162211098</v>
      </c>
      <c r="H54" s="12"/>
      <c r="I54" s="221">
        <f>I51/'Ind_P&amp;L'!B3</f>
        <v>155.35220315924721</v>
      </c>
      <c r="J54" s="221">
        <f>J51/'Ind_P&amp;L'!C3</f>
        <v>173.87595898495132</v>
      </c>
      <c r="K54" s="221">
        <f>K51/'Ind_P&amp;L'!D3</f>
        <v>186.10570395694634</v>
      </c>
      <c r="L54" s="221">
        <f>L51/'Ind_P&amp;L'!E3</f>
        <v>189.86054589812414</v>
      </c>
      <c r="M54" s="221">
        <f>M51/'Ind_P&amp;L'!F3</f>
        <v>195.18294163676103</v>
      </c>
      <c r="N54" s="355" t="s">
        <v>1061</v>
      </c>
      <c r="O54" s="12"/>
      <c r="P54" s="12"/>
      <c r="Q54" s="12"/>
      <c r="R54" s="12"/>
      <c r="S54" s="289"/>
      <c r="T54" s="289"/>
      <c r="U54" s="168"/>
      <c r="V54" s="168"/>
      <c r="W54" s="168"/>
      <c r="X54" s="51"/>
      <c r="Y54" s="51"/>
      <c r="Z54" s="51"/>
    </row>
    <row r="55" spans="1:26">
      <c r="A55" s="30" t="s">
        <v>211</v>
      </c>
      <c r="B55" s="22"/>
      <c r="C55" s="221"/>
      <c r="D55" s="221"/>
      <c r="E55" s="221"/>
      <c r="F55" s="221"/>
      <c r="G55" s="221"/>
      <c r="H55" s="12"/>
      <c r="I55" s="221"/>
      <c r="J55" s="221"/>
      <c r="K55" s="221"/>
      <c r="L55" s="221"/>
      <c r="M55" s="221"/>
      <c r="N55" s="355"/>
      <c r="O55" s="12"/>
      <c r="P55" s="12"/>
      <c r="Q55" s="12"/>
      <c r="R55" s="12"/>
      <c r="S55" s="289"/>
      <c r="T55" s="289"/>
      <c r="U55" s="168"/>
      <c r="V55" s="168"/>
      <c r="W55" s="168"/>
      <c r="X55" s="51"/>
      <c r="Y55" s="51"/>
      <c r="Z55" s="51"/>
    </row>
    <row r="56" spans="1:26">
      <c r="A56" s="30" t="s">
        <v>353</v>
      </c>
      <c r="B56" s="22"/>
      <c r="C56" s="221">
        <f>Balance_Sheet!B27+Balance_Sheet!B24</f>
        <v>12672</v>
      </c>
      <c r="D56" s="221">
        <f>Balance_Sheet!C27+Balance_Sheet!C24</f>
        <v>13901</v>
      </c>
      <c r="E56" s="221">
        <f>Balance_Sheet!D27+Balance_Sheet!D24</f>
        <v>14023</v>
      </c>
      <c r="F56" s="221">
        <f>Balance_Sheet!E27+Balance_Sheet!E24</f>
        <v>15681</v>
      </c>
      <c r="G56" s="221">
        <f>Balance_Sheet!F27+Balance_Sheet!F24</f>
        <v>18226</v>
      </c>
      <c r="H56" s="12"/>
      <c r="I56" s="221">
        <f>Ind_bal!B24+Ind_bal!B21</f>
        <v>89541</v>
      </c>
      <c r="J56" s="221">
        <f>Ind_bal!C24+Ind_bal!C21</f>
        <v>99538</v>
      </c>
      <c r="K56" s="221">
        <f>Ind_bal!D24+Ind_bal!D21</f>
        <v>105730</v>
      </c>
      <c r="L56" s="221">
        <f>Ind_bal!E24+Ind_bal!E21</f>
        <v>110713</v>
      </c>
      <c r="M56" s="221">
        <f>Ind_bal!F24+Ind_bal!F21</f>
        <v>125775</v>
      </c>
      <c r="N56" s="355"/>
      <c r="O56" s="12"/>
      <c r="P56" s="12"/>
      <c r="Q56" s="12"/>
      <c r="R56" s="12"/>
      <c r="S56" s="289"/>
      <c r="T56" s="289"/>
      <c r="U56" s="168"/>
      <c r="V56" s="168"/>
      <c r="W56" s="168"/>
      <c r="X56" s="51"/>
      <c r="Y56" s="51"/>
      <c r="Z56" s="51"/>
    </row>
    <row r="57" spans="1:26">
      <c r="A57" s="30" t="s">
        <v>354</v>
      </c>
      <c r="B57" s="22"/>
      <c r="C57" s="221">
        <f>C51</f>
        <v>450900</v>
      </c>
      <c r="D57" s="221">
        <f>D51</f>
        <v>444600</v>
      </c>
      <c r="E57" s="221">
        <f>E51</f>
        <v>435600</v>
      </c>
      <c r="F57" s="221">
        <f>F51</f>
        <v>424800</v>
      </c>
      <c r="G57" s="221">
        <f>G51</f>
        <v>416250</v>
      </c>
      <c r="H57" s="12"/>
      <c r="I57" s="221">
        <f>I51</f>
        <v>20554650</v>
      </c>
      <c r="J57" s="221">
        <f>J51</f>
        <v>28284750</v>
      </c>
      <c r="K57" s="221">
        <f>K51</f>
        <v>34131600</v>
      </c>
      <c r="L57" s="221">
        <f>L51</f>
        <v>37276650</v>
      </c>
      <c r="M57" s="221">
        <f>M51</f>
        <v>43402050</v>
      </c>
      <c r="N57" s="355"/>
      <c r="O57" s="12"/>
      <c r="P57" s="12"/>
      <c r="Q57" s="12"/>
      <c r="R57" s="12"/>
      <c r="S57" s="289"/>
      <c r="T57" s="289"/>
      <c r="U57" s="168"/>
      <c r="V57" s="168"/>
      <c r="W57" s="168"/>
      <c r="X57" s="51"/>
      <c r="Y57" s="51"/>
      <c r="Z57" s="51"/>
    </row>
    <row r="58" spans="1:26">
      <c r="A58" s="30" t="s">
        <v>355</v>
      </c>
      <c r="B58" s="22"/>
      <c r="C58" s="221">
        <f>Balance_Sheet!B4</f>
        <v>10113</v>
      </c>
      <c r="D58" s="221">
        <f>Balance_Sheet!C4</f>
        <v>7421</v>
      </c>
      <c r="E58" s="221">
        <f>Balance_Sheet!D4</f>
        <v>7008</v>
      </c>
      <c r="F58" s="221">
        <f>Balance_Sheet!E4</f>
        <v>8588</v>
      </c>
      <c r="G58" s="221">
        <f>Balance_Sheet!F4</f>
        <v>8442</v>
      </c>
      <c r="H58" s="12"/>
      <c r="I58" s="221">
        <f>Ind_bal!B4</f>
        <v>69864</v>
      </c>
      <c r="J58" s="221">
        <f>Ind_bal!C4</f>
        <v>93017</v>
      </c>
      <c r="K58" s="221">
        <f>Ind_bal!D4</f>
        <v>120397</v>
      </c>
      <c r="L58" s="221">
        <f>Ind_bal!E4</f>
        <v>146313</v>
      </c>
      <c r="M58" s="221">
        <f>Ind_bal!F4</f>
        <v>178016</v>
      </c>
      <c r="N58" s="355"/>
      <c r="O58" s="12"/>
      <c r="P58" s="12"/>
      <c r="Q58" s="12"/>
      <c r="R58" s="12"/>
      <c r="S58" s="289"/>
      <c r="T58" s="289"/>
      <c r="U58" s="168"/>
      <c r="V58" s="168"/>
      <c r="W58" s="168"/>
      <c r="X58" s="51"/>
      <c r="Y58" s="51"/>
      <c r="Z58" s="51"/>
    </row>
    <row r="59" spans="1:26">
      <c r="A59" s="30" t="s">
        <v>33</v>
      </c>
      <c r="B59" s="22"/>
      <c r="C59" s="221">
        <f>Balance_Sheet!B6</f>
        <v>483</v>
      </c>
      <c r="D59" s="221">
        <f>Balance_Sheet!C6</f>
        <v>473</v>
      </c>
      <c r="E59" s="221">
        <f>Balance_Sheet!D6</f>
        <v>400</v>
      </c>
      <c r="F59" s="221">
        <f>Balance_Sheet!E6</f>
        <v>1845</v>
      </c>
      <c r="G59" s="221">
        <f>Balance_Sheet!F6</f>
        <v>1874</v>
      </c>
      <c r="H59" s="12"/>
      <c r="I59" s="221">
        <f>Ind_bal!B6</f>
        <v>30499</v>
      </c>
      <c r="J59" s="221">
        <f>Ind_bal!C6</f>
        <v>15353</v>
      </c>
      <c r="K59" s="221">
        <f>Ind_bal!D6</f>
        <v>9476</v>
      </c>
      <c r="L59" s="221">
        <f>Ind_bal!E6</f>
        <v>12801</v>
      </c>
      <c r="M59" s="221">
        <f>Ind_bal!F6</f>
        <v>12833</v>
      </c>
      <c r="N59" s="355"/>
      <c r="O59" s="12"/>
      <c r="P59" s="12"/>
      <c r="Q59" s="12"/>
      <c r="R59" s="12"/>
      <c r="S59" s="289"/>
      <c r="T59" s="289"/>
      <c r="U59" s="168"/>
      <c r="V59" s="168"/>
      <c r="W59" s="168"/>
      <c r="X59" s="51"/>
      <c r="Y59" s="51"/>
      <c r="Z59" s="51"/>
    </row>
    <row r="60" spans="1:26">
      <c r="A60" s="30" t="s">
        <v>402</v>
      </c>
      <c r="B60" s="22"/>
      <c r="C60" s="221">
        <f>C51+C56-C58</f>
        <v>453459</v>
      </c>
      <c r="D60" s="221">
        <f>D51+D56-D58</f>
        <v>451080</v>
      </c>
      <c r="E60" s="221">
        <f>E51+E56-E58</f>
        <v>442615</v>
      </c>
      <c r="F60" s="221">
        <f>F51+F56-F58</f>
        <v>431893</v>
      </c>
      <c r="G60" s="221">
        <f>G51+G56-G58</f>
        <v>426034</v>
      </c>
      <c r="H60" s="12"/>
      <c r="I60" s="221">
        <f>I51+I56-I58</f>
        <v>20574327</v>
      </c>
      <c r="J60" s="221">
        <f>J51+J56-J58</f>
        <v>28291271</v>
      </c>
      <c r="K60" s="221">
        <f>K51+K56-K58</f>
        <v>34116933</v>
      </c>
      <c r="L60" s="221">
        <f>L51+L56-L58</f>
        <v>37241050</v>
      </c>
      <c r="M60" s="221">
        <f>M51+M56-M58</f>
        <v>43349809</v>
      </c>
      <c r="N60" s="355"/>
      <c r="O60" s="12"/>
      <c r="P60" s="12"/>
      <c r="Q60" s="12"/>
      <c r="R60" s="12"/>
      <c r="S60" s="289"/>
      <c r="T60" s="289"/>
      <c r="U60" s="168"/>
      <c r="V60" s="168"/>
      <c r="W60" s="168"/>
      <c r="X60" s="51"/>
      <c r="Y60" s="51"/>
      <c r="Z60" s="51"/>
    </row>
    <row r="61" spans="1:26">
      <c r="A61" s="30" t="s">
        <v>403</v>
      </c>
      <c r="B61" s="22"/>
      <c r="C61" s="221">
        <f>C60/'Profit Loss'!B25</f>
        <v>52.356425355039832</v>
      </c>
      <c r="D61" s="221">
        <f>D60/'Profit Loss'!C25</f>
        <v>41.73575129533679</v>
      </c>
      <c r="E61" s="221">
        <f>E60/'Profit Loss'!D25</f>
        <v>34.010680805286611</v>
      </c>
      <c r="F61" s="221">
        <f>F60/'Profit Loss'!E25</f>
        <v>29.168163706355102</v>
      </c>
      <c r="G61" s="221">
        <f>G60/'Profit Loss'!F25</f>
        <v>25.853146428788154</v>
      </c>
      <c r="H61" s="12"/>
      <c r="I61" s="221">
        <f>I60/Ind_bal!B22</f>
        <v>1224.0066036052115</v>
      </c>
      <c r="J61" s="221">
        <f>J60/Ind_bal!C22</f>
        <v>1534.150588362887</v>
      </c>
      <c r="K61" s="221">
        <f>K60/Ind_bal!D22</f>
        <v>1809.0531311310249</v>
      </c>
      <c r="L61" s="221">
        <f>L60/Ind_bal!E22</f>
        <v>1853.34179357022</v>
      </c>
      <c r="M61" s="221">
        <f>M60/Ind_bal!F22</f>
        <v>1886.1684288387069</v>
      </c>
      <c r="N61" s="355" t="s">
        <v>1057</v>
      </c>
      <c r="O61" s="12"/>
      <c r="P61" s="12"/>
      <c r="Q61" s="12"/>
      <c r="R61" s="12"/>
      <c r="S61" s="289"/>
      <c r="T61" s="289"/>
      <c r="U61" s="168"/>
      <c r="V61" s="168"/>
      <c r="W61" s="168"/>
      <c r="X61" s="51"/>
      <c r="Y61" s="51"/>
      <c r="Z61" s="51"/>
    </row>
    <row r="62" spans="1:26">
      <c r="A62" s="30" t="s">
        <v>220</v>
      </c>
      <c r="B62" s="22"/>
      <c r="C62" s="221">
        <f>C60/'Profit Loss'!B11</f>
        <v>56.114218537309739</v>
      </c>
      <c r="D62" s="221">
        <f>D60/'Profit Loss'!C11</f>
        <v>44.741122793096608</v>
      </c>
      <c r="E62" s="221">
        <f>E60/'Profit Loss'!D11</f>
        <v>36.090590345727335</v>
      </c>
      <c r="F62" s="221">
        <f>F60/'Profit Loss'!E11</f>
        <v>30.831881781838948</v>
      </c>
      <c r="G62" s="221">
        <f>G60/'Profit Loss'!F11</f>
        <v>27.341419586702607</v>
      </c>
      <c r="H62" s="12"/>
      <c r="I62" s="221">
        <f>I60/Ind_bal!B10</f>
        <v>123.09784130479005</v>
      </c>
      <c r="J62" s="221">
        <f>J60/Ind_bal!C10</f>
        <v>182.55141730708428</v>
      </c>
      <c r="K62" s="221">
        <f>K60/Ind_bal!D10</f>
        <v>228.90510855854646</v>
      </c>
      <c r="L62" s="221">
        <f>L60/Ind_bal!E10</f>
        <v>212.62739298988851</v>
      </c>
      <c r="M62" s="221">
        <f>M60/Ind_bal!F10</f>
        <v>247.17083086256443</v>
      </c>
      <c r="N62" s="355" t="s">
        <v>1058</v>
      </c>
      <c r="O62" s="12"/>
      <c r="P62" s="12"/>
      <c r="Q62" s="12"/>
      <c r="R62" s="12"/>
      <c r="S62" s="289"/>
      <c r="T62" s="289"/>
      <c r="U62" s="168"/>
      <c r="V62" s="168"/>
      <c r="W62" s="168"/>
      <c r="X62" s="51"/>
      <c r="Y62" s="51"/>
      <c r="Z62" s="51"/>
    </row>
    <row r="63" spans="1:26">
      <c r="A63" s="30" t="s">
        <v>387</v>
      </c>
      <c r="B63" s="22"/>
      <c r="C63" s="221"/>
      <c r="D63" s="221"/>
      <c r="E63" s="221"/>
      <c r="F63" s="221"/>
      <c r="G63" s="221"/>
      <c r="H63" s="12"/>
      <c r="I63" s="221"/>
      <c r="J63" s="221"/>
      <c r="K63" s="221"/>
      <c r="L63" s="221"/>
      <c r="M63" s="221"/>
      <c r="N63" s="355"/>
      <c r="O63" s="12"/>
      <c r="P63" s="12"/>
      <c r="Q63" s="12"/>
      <c r="R63" s="12"/>
      <c r="S63" s="289"/>
      <c r="T63" s="289"/>
      <c r="U63" s="168"/>
      <c r="V63" s="168"/>
      <c r="W63" s="168"/>
      <c r="X63" s="51"/>
      <c r="Y63" s="51"/>
      <c r="Z63" s="51"/>
    </row>
    <row r="64" spans="1:26">
      <c r="A64" s="30" t="s">
        <v>388</v>
      </c>
      <c r="B64" s="22" t="s">
        <v>505</v>
      </c>
      <c r="C64" s="221">
        <f>(Balance_Sheet!B27+Balance_Sheet!B24)/Balance_Sheet!B40</f>
        <v>1.9531442663378544</v>
      </c>
      <c r="D64" s="221">
        <f>(Balance_Sheet!C27+Balance_Sheet!C24)/Balance_Sheet!C40</f>
        <v>1.8828389543545985</v>
      </c>
      <c r="E64" s="221">
        <f>(Balance_Sheet!D27+Balance_Sheet!D24)/Balance_Sheet!D40</f>
        <v>2.2062617998741345</v>
      </c>
      <c r="F64" s="221">
        <f>(Balance_Sheet!E27+Balance_Sheet!E24)/Balance_Sheet!E40</f>
        <v>2.2481720430107526</v>
      </c>
      <c r="G64" s="221">
        <f>(Balance_Sheet!F27+Balance_Sheet!F24)/Balance_Sheet!F40</f>
        <v>2.797544128933231</v>
      </c>
      <c r="H64" s="12"/>
      <c r="I64" s="221">
        <f>(Ind_bal!B24+Ind_bal!B21)/Ind_bal!B34</f>
        <v>0.64539170672990287</v>
      </c>
      <c r="J64" s="221">
        <f>(Ind_bal!C24+Ind_bal!C21)/Ind_bal!C34</f>
        <v>0.63801093498618699</v>
      </c>
      <c r="K64" s="221">
        <f>(Ind_bal!D24+Ind_bal!D21)/Ind_bal!D34</f>
        <v>0.65992984383387221</v>
      </c>
      <c r="L64" s="221">
        <f>(Ind_bal!E24+Ind_bal!E21)/Ind_bal!E34</f>
        <v>0.63083252138140089</v>
      </c>
      <c r="M64" s="221">
        <f>(Ind_bal!F24+Ind_bal!F21)/Ind_bal!F34</f>
        <v>0.67499034003091185</v>
      </c>
      <c r="N64" s="355"/>
      <c r="O64" s="12"/>
      <c r="P64" s="12"/>
      <c r="Q64" s="12"/>
      <c r="R64" s="12"/>
      <c r="S64" s="289"/>
      <c r="T64" s="289"/>
      <c r="U64" s="168"/>
      <c r="V64" s="168"/>
      <c r="W64" s="168"/>
      <c r="X64" s="51"/>
      <c r="Y64" s="51"/>
      <c r="Z64" s="51"/>
    </row>
    <row r="65" spans="1:26">
      <c r="A65" s="30" t="s">
        <v>390</v>
      </c>
      <c r="B65" s="22" t="s">
        <v>391</v>
      </c>
      <c r="C65" s="221">
        <f>'Profit Loss'!B11/ABS('Profit Loss'!B15)</f>
        <v>21.265789473684212</v>
      </c>
      <c r="D65" s="221">
        <f>'Profit Loss'!C11/ABS('Profit Loss'!C15)</f>
        <v>23.392111368909514</v>
      </c>
      <c r="E65" s="221">
        <f>'Profit Loss'!D11/ABS('Profit Loss'!D15)</f>
        <v>26.038216560509554</v>
      </c>
      <c r="F65" s="221">
        <f>'Profit Loss'!E11/ABS('Profit Loss'!E15)</f>
        <v>24.361739130434781</v>
      </c>
      <c r="G65" s="221">
        <f>'Profit Loss'!F11/ABS('Profit Loss'!F15)</f>
        <v>24.120743034055728</v>
      </c>
      <c r="H65" s="12"/>
      <c r="I65" s="221">
        <f>'Ind_P&amp;L'!B10/ABS('Ind_P&amp;L'!B14)</f>
        <v>11.680440771349863</v>
      </c>
      <c r="J65" s="221">
        <f>'Ind_P&amp;L'!C10/ABS('Ind_P&amp;L'!C14)</f>
        <v>14.433130328867236</v>
      </c>
      <c r="K65" s="221">
        <f>'Ind_P&amp;L'!D10/ABS('Ind_P&amp;L'!D14)</f>
        <v>16.921021795172251</v>
      </c>
      <c r="L65" s="221">
        <f>'Ind_P&amp;L'!E10/ABS('Ind_P&amp;L'!E14)</f>
        <v>16.666174609869252</v>
      </c>
      <c r="M65" s="221">
        <f>'Ind_P&amp;L'!F10/ABS('Ind_P&amp;L'!F14)</f>
        <v>18.310529446757883</v>
      </c>
      <c r="N65" s="355"/>
      <c r="O65" s="12"/>
      <c r="P65" s="12"/>
      <c r="Q65" s="12"/>
      <c r="R65" s="12"/>
      <c r="S65" s="289"/>
      <c r="T65" s="289"/>
      <c r="U65" s="168"/>
      <c r="V65" s="168"/>
      <c r="W65" s="168"/>
      <c r="X65" s="51"/>
      <c r="Y65" s="51"/>
      <c r="Z65" s="51"/>
    </row>
    <row r="66" spans="1:26">
      <c r="A66" s="30" t="s">
        <v>337</v>
      </c>
      <c r="B66" s="22" t="s">
        <v>392</v>
      </c>
      <c r="C66" s="221">
        <f>(Balance_Sheet!B27+Balance_Sheet!B24)/((Balance_Sheet!B27+Balance_Sheet!B24)+Balance_Sheet!B40)</f>
        <v>0.66137787056367436</v>
      </c>
      <c r="D66" s="221">
        <f>(Balance_Sheet!C27+Balance_Sheet!C24)/((Balance_Sheet!C27+Balance_Sheet!C24)+Balance_Sheet!C40)</f>
        <v>0.65311971433940985</v>
      </c>
      <c r="E66" s="221">
        <f>(Balance_Sheet!D27+Balance_Sheet!D24)/((Balance_Sheet!D27+Balance_Sheet!D24)+Balance_Sheet!D40)</f>
        <v>0.68811030963246478</v>
      </c>
      <c r="F66" s="221">
        <f>(Balance_Sheet!E27+Balance_Sheet!E24)/((Balance_Sheet!E27+Balance_Sheet!E24)+Balance_Sheet!E40)</f>
        <v>0.69213453389830504</v>
      </c>
      <c r="G66" s="221">
        <f>(Balance_Sheet!F27+Balance_Sheet!F24)/((Balance_Sheet!F27+Balance_Sheet!F24)+Balance_Sheet!F40)</f>
        <v>0.73667192110262314</v>
      </c>
      <c r="H66" s="12"/>
      <c r="I66" s="221">
        <f>(Ind_bal!B24+Ind_bal!B21)/((Ind_bal!B24+Ind_bal!B21)+Ind_bal!B34)</f>
        <v>0.39224198352899947</v>
      </c>
      <c r="J66" s="221">
        <f>(Ind_bal!C24+Ind_bal!C21)/((Ind_bal!C24+Ind_bal!C21)+Ind_bal!C34)</f>
        <v>0.38950346506176847</v>
      </c>
      <c r="K66" s="221">
        <f>(Ind_bal!D24+Ind_bal!D21)/((Ind_bal!D24+Ind_bal!D21)+Ind_bal!D34)</f>
        <v>0.39756490088138857</v>
      </c>
      <c r="L66" s="221">
        <f>(Ind_bal!E24+Ind_bal!E21)/((Ind_bal!E24+Ind_bal!E21)+Ind_bal!E34)</f>
        <v>0.38681625066383429</v>
      </c>
      <c r="M66" s="221">
        <f>(Ind_bal!F24+Ind_bal!F21)/((Ind_bal!F24+Ind_bal!F21)+Ind_bal!F34)</f>
        <v>0.40298163153493471</v>
      </c>
      <c r="N66" s="355"/>
      <c r="O66" s="12"/>
      <c r="P66" s="12"/>
      <c r="Q66" s="12"/>
      <c r="R66" s="12"/>
      <c r="S66" s="289"/>
      <c r="T66" s="289"/>
      <c r="U66" s="168"/>
      <c r="V66" s="168"/>
      <c r="W66" s="168"/>
      <c r="X66" s="51"/>
      <c r="Y66" s="51"/>
      <c r="Z66" s="51"/>
    </row>
    <row r="67" spans="1:26">
      <c r="A67" s="30" t="s">
        <v>340</v>
      </c>
      <c r="B67" s="22" t="s">
        <v>404</v>
      </c>
      <c r="C67" s="221">
        <f>'Profit Loss'!B20/'Profit Loss'!B11</f>
        <v>0.79334240811780721</v>
      </c>
      <c r="D67" s="221">
        <f>'Profit Loss'!C20/'Profit Loss'!C11</f>
        <v>0.86163459631025585</v>
      </c>
      <c r="E67" s="221">
        <f>'Profit Loss'!D20/'Profit Loss'!D11</f>
        <v>0.80968688845401171</v>
      </c>
      <c r="F67" s="221">
        <f>'Profit Loss'!E20/'Profit Loss'!E11</f>
        <v>0.79918617932609937</v>
      </c>
      <c r="G67" s="221">
        <f>'Profit Loss'!F20/'Profit Loss'!F11</f>
        <v>0.82620972917468871</v>
      </c>
      <c r="H67" s="12"/>
      <c r="I67" s="221">
        <f>'Ind_P&amp;L'!B19/'Ind_P&amp;L'!B10</f>
        <v>0.7846933962264151</v>
      </c>
      <c r="J67" s="221">
        <f>'Ind_P&amp;L'!C19/'Ind_P&amp;L'!C10</f>
        <v>0.81388401296246282</v>
      </c>
      <c r="K67" s="221">
        <f>'Ind_P&amp;L'!D19/'Ind_P&amp;L'!D10</f>
        <v>0.80540705243622057</v>
      </c>
      <c r="L67" s="221">
        <f>'Ind_P&amp;L'!E19/'Ind_P&amp;L'!E10</f>
        <v>0.80098948513874302</v>
      </c>
      <c r="M67" s="221">
        <f>'Ind_P&amp;L'!F19/'Ind_P&amp;L'!F10</f>
        <v>0.82447476716482559</v>
      </c>
      <c r="N67" s="355"/>
      <c r="O67" s="12"/>
      <c r="P67" s="12"/>
      <c r="Q67" s="12"/>
      <c r="R67" s="12"/>
      <c r="S67" s="289"/>
      <c r="T67" s="289"/>
      <c r="U67" s="168"/>
      <c r="V67" s="168"/>
      <c r="W67" s="168"/>
      <c r="X67" s="51"/>
      <c r="Y67" s="51"/>
      <c r="Z67" s="51"/>
    </row>
    <row r="68" spans="1:26">
      <c r="A68" s="30"/>
      <c r="B68" s="22"/>
      <c r="C68" s="221"/>
      <c r="D68" s="221"/>
      <c r="E68" s="221"/>
      <c r="F68" s="221"/>
      <c r="G68" s="221"/>
      <c r="H68" s="12"/>
      <c r="I68" s="221"/>
      <c r="J68" s="221"/>
      <c r="K68" s="221"/>
      <c r="L68" s="221"/>
      <c r="M68" s="221"/>
      <c r="N68" s="355"/>
      <c r="O68" s="12"/>
      <c r="P68" s="12"/>
      <c r="Q68" s="12"/>
      <c r="R68" s="12"/>
      <c r="S68" s="289"/>
      <c r="T68" s="289"/>
      <c r="U68" s="168"/>
      <c r="V68" s="168"/>
      <c r="W68" s="168"/>
      <c r="X68" s="51"/>
      <c r="Y68" s="51"/>
      <c r="Z68" s="51"/>
    </row>
    <row r="69" spans="1:26">
      <c r="A69" s="30" t="s">
        <v>358</v>
      </c>
      <c r="B69" s="22"/>
      <c r="C69" s="221"/>
      <c r="D69" s="221"/>
      <c r="E69" s="221"/>
      <c r="F69" s="221"/>
      <c r="G69" s="221"/>
      <c r="H69" s="12"/>
      <c r="I69" s="221"/>
      <c r="J69" s="221"/>
      <c r="K69" s="221"/>
      <c r="L69" s="221"/>
      <c r="M69" s="221"/>
      <c r="N69" s="355"/>
      <c r="O69" s="12"/>
      <c r="P69" s="12"/>
      <c r="Q69" s="12"/>
      <c r="R69" s="12"/>
      <c r="S69" s="289"/>
      <c r="T69" s="289"/>
      <c r="U69" s="168"/>
      <c r="V69" s="168"/>
      <c r="W69" s="168"/>
      <c r="X69" s="51"/>
      <c r="Y69" s="51"/>
      <c r="Z69" s="51"/>
    </row>
    <row r="70" spans="1:26">
      <c r="A70" s="30" t="s">
        <v>356</v>
      </c>
      <c r="B70" s="22" t="s">
        <v>405</v>
      </c>
      <c r="C70" s="221">
        <f>Balance_Sheet!B11/Balance_Sheet!B26</f>
        <v>1.6133198278045076</v>
      </c>
      <c r="D70" s="221">
        <f>Balance_Sheet!C11/Balance_Sheet!C26</f>
        <v>1.2877222306640328</v>
      </c>
      <c r="E70" s="221">
        <f>Balance_Sheet!D11/Balance_Sheet!D26</f>
        <v>1.1718297932397148</v>
      </c>
      <c r="F70" s="221">
        <f>Balance_Sheet!E11/Balance_Sheet!E26</f>
        <v>1.1658263649778653</v>
      </c>
      <c r="G70" s="221">
        <f>Balance_Sheet!F11/Balance_Sheet!F26</f>
        <v>1.0262226847034339</v>
      </c>
      <c r="H70" s="12"/>
      <c r="I70" s="221">
        <f>Ind_bal!B10/Ind_bal!B23</f>
        <v>2.2456031923040749</v>
      </c>
      <c r="J70" s="221">
        <f>Ind_bal!C10/Ind_bal!C23</f>
        <v>1.8379843214459375</v>
      </c>
      <c r="K70" s="221">
        <f>Ind_bal!D10/Ind_bal!D23</f>
        <v>1.6707844763805124</v>
      </c>
      <c r="L70" s="221">
        <f>Ind_bal!E10/Ind_bal!E23</f>
        <v>1.7726890883880044</v>
      </c>
      <c r="M70" s="221">
        <f>Ind_bal!F10/Ind_bal!F23</f>
        <v>1.600043790825822</v>
      </c>
      <c r="N70" s="355" t="s">
        <v>1056</v>
      </c>
      <c r="O70" s="12"/>
      <c r="P70" s="12"/>
      <c r="Q70" s="12"/>
      <c r="R70" s="12"/>
      <c r="S70" s="289"/>
      <c r="T70" s="289"/>
      <c r="U70" s="168"/>
      <c r="V70" s="168"/>
      <c r="W70" s="168"/>
      <c r="X70" s="51"/>
      <c r="Y70" s="51"/>
      <c r="Z70" s="51"/>
    </row>
    <row r="71" spans="1:26">
      <c r="A71" s="30" t="s">
        <v>406</v>
      </c>
      <c r="B71" s="22" t="s">
        <v>407</v>
      </c>
      <c r="C71" s="221">
        <f>(Balance_Sheet!B11-Balance_Sheet!B10)/Balance_Sheet!B26</f>
        <v>1.4543766354351313</v>
      </c>
      <c r="D71" s="221">
        <f>(Balance_Sheet!C11-Balance_Sheet!C10)/Balance_Sheet!C26</f>
        <v>1.1151800638200882</v>
      </c>
      <c r="E71" s="221">
        <f>(Balance_Sheet!D11-Balance_Sheet!D10)/Balance_Sheet!D26</f>
        <v>1.0062804318678993</v>
      </c>
      <c r="F71" s="221">
        <f>(Balance_Sheet!E11-Balance_Sheet!E10)/Balance_Sheet!E26</f>
        <v>1.0052877520905066</v>
      </c>
      <c r="G71" s="221">
        <f>(Balance_Sheet!F11-Balance_Sheet!F10)/Balance_Sheet!F26</f>
        <v>0.87055150884495314</v>
      </c>
      <c r="H71" s="12"/>
      <c r="I71" s="221">
        <f>(Ind_bal!B10-Ind_bal!B9)/Ind_bal!B23</f>
        <v>2.0965080815273618</v>
      </c>
      <c r="J71" s="221">
        <f>(Ind_bal!C10-Ind_bal!C9)/Ind_bal!C23</f>
        <v>1.6889313203429832</v>
      </c>
      <c r="K71" s="221">
        <f>(Ind_bal!D10-Ind_bal!D9)/Ind_bal!D23</f>
        <v>1.5303118624307781</v>
      </c>
      <c r="L71" s="221">
        <f>(Ind_bal!E10-Ind_bal!E9)/Ind_bal!E23</f>
        <v>1.6350616884102709</v>
      </c>
      <c r="M71" s="221">
        <f>(Ind_bal!F10-Ind_bal!F9)/Ind_bal!F23</f>
        <v>1.4597306864211947</v>
      </c>
      <c r="N71" s="355" t="s">
        <v>1055</v>
      </c>
      <c r="O71" s="12"/>
      <c r="P71" s="12"/>
      <c r="Q71" s="12"/>
      <c r="R71" s="12"/>
      <c r="S71" s="289"/>
      <c r="T71" s="289"/>
      <c r="U71" s="168"/>
      <c r="V71" s="168"/>
      <c r="W71" s="168"/>
      <c r="X71" s="51"/>
      <c r="Y71" s="51"/>
      <c r="Z71" s="51"/>
    </row>
    <row r="72" spans="1:26">
      <c r="A72" s="30" t="s">
        <v>357</v>
      </c>
      <c r="B72" s="22" t="s">
        <v>408</v>
      </c>
      <c r="C72" s="221">
        <f>Balance_Sheet!B4/Balance_Sheet!B26</f>
        <v>0.85363383134970883</v>
      </c>
      <c r="D72" s="221">
        <f>Balance_Sheet!C4/Balance_Sheet!C26</f>
        <v>0.56382008813250262</v>
      </c>
      <c r="E72" s="221">
        <f>Balance_Sheet!D4/Balance_Sheet!D26</f>
        <v>0.49453108460941358</v>
      </c>
      <c r="F72" s="221">
        <f>Balance_Sheet!E4/Balance_Sheet!E26</f>
        <v>0.5280373831775701</v>
      </c>
      <c r="G72" s="221">
        <f>Balance_Sheet!F4/Balance_Sheet!F26</f>
        <v>0.43922996878251819</v>
      </c>
      <c r="H72" s="12"/>
      <c r="I72" s="221">
        <f>Ind_bal!B4/Ind_bal!B23</f>
        <v>0.93866638004003811</v>
      </c>
      <c r="J72" s="221">
        <f>Ind_bal!C4/Ind_bal!C23</f>
        <v>1.1031558723419395</v>
      </c>
      <c r="K72" s="221">
        <f>Ind_bal!D4/Ind_bal!D23</f>
        <v>1.3496513687420129</v>
      </c>
      <c r="L72" s="221">
        <f>Ind_bal!E4/Ind_bal!E23</f>
        <v>1.4808558444581643</v>
      </c>
      <c r="M72" s="221">
        <f>Ind_bal!F4/Ind_bal!F23</f>
        <v>1.6240557603182133</v>
      </c>
      <c r="N72" s="355" t="s">
        <v>1054</v>
      </c>
      <c r="O72" s="12"/>
      <c r="P72" s="12"/>
      <c r="Q72" s="12"/>
      <c r="R72" s="12"/>
      <c r="S72" s="289"/>
      <c r="T72" s="289"/>
      <c r="U72" s="168"/>
      <c r="V72" s="168"/>
      <c r="W72" s="168"/>
      <c r="X72" s="51"/>
      <c r="Y72" s="51"/>
      <c r="Z72" s="51"/>
    </row>
    <row r="73" spans="1:26">
      <c r="A73" s="30" t="s">
        <v>409</v>
      </c>
      <c r="B73" s="22" t="s">
        <v>410</v>
      </c>
      <c r="C73" s="221">
        <f>'Cash Flow'!B25/(Balance_Sheet!B27+Balance_Sheet!B24)</f>
        <v>0.57007575757575757</v>
      </c>
      <c r="D73" s="221">
        <f>'Cash Flow'!C25/(Balance_Sheet!C27+Balance_Sheet!C24)</f>
        <v>0.68074239263362346</v>
      </c>
      <c r="E73" s="221">
        <f>'Cash Flow'!D25/(Balance_Sheet!D27+Balance_Sheet!D24)</f>
        <v>0.79833131284318615</v>
      </c>
      <c r="F73" s="221">
        <f>'Cash Flow'!E25/(Balance_Sheet!E27+Balance_Sheet!E24)</f>
        <v>0.76398188891014607</v>
      </c>
      <c r="G73" s="221">
        <f>'Cash Flow'!F25/(Balance_Sheet!F27+Balance_Sheet!F24)</f>
        <v>0.81092944145725887</v>
      </c>
      <c r="H73" s="12"/>
      <c r="I73" s="221">
        <f>Ind_Cashflow!B11/(Ind_bal!B24+Ind_bal!B21)</f>
        <v>0.49547134832088091</v>
      </c>
      <c r="J73" s="221">
        <f>Ind_Cashflow!C11/(Ind_bal!C24+Ind_bal!C21)</f>
        <v>0.63454158210934519</v>
      </c>
      <c r="K73" s="221">
        <f>Ind_Cashflow!D11/(Ind_bal!D24+Ind_bal!D21)</f>
        <v>0.7159651943630001</v>
      </c>
      <c r="L73" s="221">
        <f>Ind_Cashflow!E11/(Ind_bal!E24+Ind_bal!E21)</f>
        <v>0.75539457877575356</v>
      </c>
      <c r="M73" s="221">
        <f>Ind_Cashflow!F11/(Ind_bal!F24+Ind_bal!F21)</f>
        <v>0.77645000993838198</v>
      </c>
      <c r="N73" s="355" t="s">
        <v>1053</v>
      </c>
      <c r="O73" s="12"/>
      <c r="P73" s="12"/>
      <c r="Q73" s="12"/>
      <c r="R73" s="12"/>
      <c r="S73" s="289"/>
      <c r="T73" s="289"/>
      <c r="U73" s="168"/>
      <c r="V73" s="168"/>
      <c r="W73" s="168"/>
      <c r="X73" s="51"/>
      <c r="Y73" s="51"/>
      <c r="Z73" s="51"/>
    </row>
    <row r="74" spans="1:26">
      <c r="A74" s="12"/>
      <c r="B74" s="12"/>
      <c r="C74" s="12"/>
      <c r="D74" s="12"/>
      <c r="E74" s="12"/>
      <c r="F74" s="12"/>
      <c r="G74" s="12"/>
      <c r="H74" s="12"/>
      <c r="I74" s="12"/>
      <c r="J74" s="12"/>
      <c r="K74" s="12"/>
      <c r="L74" s="12"/>
      <c r="M74" s="12"/>
      <c r="N74" s="12"/>
      <c r="O74" s="12"/>
      <c r="P74" s="12"/>
      <c r="Q74" s="12"/>
      <c r="R74" s="12"/>
      <c r="S74" s="289"/>
      <c r="T74" s="289"/>
      <c r="U74" s="168"/>
      <c r="V74" s="168"/>
      <c r="W74" s="168"/>
      <c r="X74" s="51"/>
      <c r="Y74" s="51"/>
      <c r="Z74" s="51"/>
    </row>
    <row r="75" spans="1:26">
      <c r="A75" s="12"/>
      <c r="B75" s="12"/>
      <c r="C75" s="12"/>
      <c r="D75" s="12"/>
      <c r="E75" s="12"/>
      <c r="F75" s="12"/>
      <c r="G75" s="12"/>
      <c r="H75" s="12"/>
      <c r="I75" s="12"/>
      <c r="J75" s="12"/>
      <c r="K75" s="12"/>
      <c r="L75" s="12"/>
      <c r="M75" s="12"/>
      <c r="N75" s="12"/>
      <c r="O75" s="12"/>
      <c r="P75" s="12"/>
      <c r="Q75" s="12"/>
      <c r="R75" s="12"/>
      <c r="S75" s="289"/>
      <c r="T75" s="289"/>
      <c r="U75" s="168"/>
      <c r="V75" s="168"/>
      <c r="W75" s="168"/>
      <c r="X75" s="51"/>
      <c r="Y75" s="51"/>
      <c r="Z75" s="51"/>
    </row>
    <row r="76" spans="1:26">
      <c r="A76" s="12"/>
      <c r="B76" s="12"/>
      <c r="C76" s="12"/>
      <c r="D76" s="12"/>
      <c r="E76" s="12"/>
      <c r="F76" s="12"/>
      <c r="G76" s="12"/>
      <c r="H76" s="12"/>
      <c r="I76" s="12"/>
      <c r="J76" s="12"/>
      <c r="K76" s="12"/>
      <c r="L76" s="12"/>
      <c r="M76" s="12"/>
      <c r="N76" s="12"/>
      <c r="O76" s="12"/>
      <c r="P76" s="12"/>
      <c r="Q76" s="12"/>
      <c r="R76" s="12"/>
      <c r="S76" s="289"/>
      <c r="T76" s="289"/>
      <c r="U76" s="168"/>
      <c r="V76" s="168"/>
      <c r="W76" s="168"/>
      <c r="X76" s="51"/>
      <c r="Y76" s="51"/>
      <c r="Z76" s="51"/>
    </row>
    <row r="77" spans="1:26">
      <c r="A77" s="12"/>
      <c r="B77" s="12"/>
      <c r="C77" s="12"/>
      <c r="D77" s="12"/>
      <c r="E77" s="12"/>
      <c r="F77" s="12"/>
      <c r="G77" s="12"/>
      <c r="H77" s="12"/>
      <c r="I77" s="12"/>
      <c r="J77" s="12"/>
      <c r="K77" s="12"/>
      <c r="L77" s="12"/>
      <c r="M77" s="12"/>
      <c r="N77" s="12"/>
      <c r="O77" s="12"/>
      <c r="P77" s="12"/>
      <c r="Q77" s="12"/>
      <c r="R77" s="12"/>
      <c r="S77" s="289"/>
      <c r="T77" s="289"/>
      <c r="U77" s="168"/>
      <c r="V77" s="168"/>
      <c r="W77" s="168"/>
      <c r="X77" s="51"/>
      <c r="Y77" s="51"/>
      <c r="Z77" s="51"/>
    </row>
    <row r="78" spans="1:26" ht="14.5" thickBot="1">
      <c r="A78" s="12"/>
      <c r="B78" s="189" t="s">
        <v>331</v>
      </c>
      <c r="C78" s="190" t="s">
        <v>119</v>
      </c>
      <c r="D78" s="190" t="s">
        <v>120</v>
      </c>
      <c r="E78" s="190" t="s">
        <v>121</v>
      </c>
      <c r="F78" s="190" t="s">
        <v>122</v>
      </c>
      <c r="G78" s="190" t="s">
        <v>123</v>
      </c>
      <c r="H78" s="12"/>
      <c r="I78" s="22" t="s">
        <v>1544</v>
      </c>
      <c r="J78" s="12"/>
      <c r="K78" s="12"/>
      <c r="L78" s="12"/>
      <c r="M78" s="12"/>
      <c r="N78" s="12"/>
      <c r="O78" s="12"/>
      <c r="P78" s="12"/>
      <c r="Q78" s="12"/>
      <c r="R78" s="12"/>
      <c r="S78" s="289"/>
      <c r="T78" s="289"/>
      <c r="U78" s="168"/>
      <c r="V78" s="168"/>
      <c r="W78" s="168"/>
      <c r="X78" s="51"/>
      <c r="Y78" s="51"/>
      <c r="Z78" s="51"/>
    </row>
    <row r="79" spans="1:26" ht="14.5" thickTop="1">
      <c r="A79" s="12"/>
      <c r="B79" s="356" t="s">
        <v>247</v>
      </c>
      <c r="C79" s="570">
        <f>VLOOKUP($B$78,$A$3:$G$73,3,FALSE)</f>
        <v>0.41899222273054049</v>
      </c>
      <c r="D79" s="570">
        <f>VLOOKUP($B$78,$A$3:$G$73,4,FALSE)</f>
        <v>0.46001906375767848</v>
      </c>
      <c r="E79" s="570">
        <f>VLOOKUP($B$78,$A$3:$G$75,5,FALSE)</f>
        <v>0.44655304222691911</v>
      </c>
      <c r="F79" s="570">
        <f>VLOOKUP($B$78,$A$3:$G$73,6,FALSE)</f>
        <v>0.44605147820543467</v>
      </c>
      <c r="G79" s="570">
        <f>VLOOKUP($B$78,$A$3:$G$73,7,FALSE)</f>
        <v>0.45705967976710332</v>
      </c>
      <c r="H79" s="12"/>
      <c r="I79" s="22" t="s">
        <v>491</v>
      </c>
      <c r="J79" s="22" t="s">
        <v>1543</v>
      </c>
      <c r="K79" s="137" t="s">
        <v>1745</v>
      </c>
      <c r="L79" s="12"/>
      <c r="M79" s="12"/>
      <c r="N79" s="12"/>
      <c r="O79" s="12"/>
      <c r="P79" s="12"/>
      <c r="Q79" s="12"/>
      <c r="R79" s="12"/>
      <c r="S79" s="289"/>
      <c r="T79" s="289"/>
      <c r="U79" s="168"/>
      <c r="V79" s="168"/>
      <c r="W79" s="168"/>
      <c r="X79" s="51"/>
      <c r="Y79" s="51"/>
      <c r="Z79" s="51"/>
    </row>
    <row r="80" spans="1:26">
      <c r="A80" s="281"/>
      <c r="B80" s="357" t="s">
        <v>246</v>
      </c>
      <c r="C80" s="571">
        <f>VLOOKUP($B$78,$A$3:$M$73,9,FALSE)</f>
        <v>0.25146247449172399</v>
      </c>
      <c r="D80" s="571">
        <f>VLOOKUP($B$78,$A$3:$M$73,10,FALSE)</f>
        <v>0.29643085472607456</v>
      </c>
      <c r="E80" s="571">
        <f>VLOOKUP($B$78,$A$3:$M$73,11,FALSE)</f>
        <v>0.31707915528437997</v>
      </c>
      <c r="F80" s="571">
        <f>VLOOKUP($B$78,$A$3:$M$73,12,FALSE)</f>
        <v>0.3224201245817141</v>
      </c>
      <c r="G80" s="571">
        <f>VLOOKUP($B$78,$A$3:$M$73,13,FALSE)</f>
        <v>0.34237248500220357</v>
      </c>
      <c r="H80" s="281"/>
      <c r="I80" s="89" t="s">
        <v>492</v>
      </c>
      <c r="J80" s="278">
        <v>0.13</v>
      </c>
      <c r="K80" s="137" t="s">
        <v>330</v>
      </c>
      <c r="L80" s="281"/>
      <c r="M80" s="281"/>
      <c r="N80" s="12"/>
      <c r="O80" s="12"/>
      <c r="P80" s="12"/>
      <c r="Q80" s="12"/>
      <c r="R80" s="12"/>
      <c r="S80" s="289"/>
      <c r="T80" s="289"/>
      <c r="U80" s="168"/>
      <c r="V80" s="168"/>
      <c r="W80" s="168"/>
      <c r="X80" s="51"/>
      <c r="Y80" s="51"/>
      <c r="Z80" s="51"/>
    </row>
    <row r="81" spans="1:26">
      <c r="A81" s="12"/>
      <c r="B81" s="191"/>
      <c r="C81" s="191"/>
      <c r="D81" s="191"/>
      <c r="E81" s="191"/>
      <c r="F81" s="191"/>
      <c r="G81" s="191"/>
      <c r="H81" s="12"/>
      <c r="I81" s="30" t="s">
        <v>200</v>
      </c>
      <c r="J81" s="26">
        <v>0.15</v>
      </c>
      <c r="K81" s="137" t="s">
        <v>459</v>
      </c>
      <c r="L81" s="12"/>
      <c r="M81" s="12"/>
      <c r="N81" s="12"/>
      <c r="O81" s="12"/>
      <c r="P81" s="12"/>
      <c r="Q81" s="12"/>
      <c r="R81" s="12"/>
      <c r="S81" s="289"/>
      <c r="T81" s="289"/>
      <c r="U81" s="168"/>
      <c r="V81" s="168"/>
      <c r="W81" s="168"/>
      <c r="X81" s="51"/>
      <c r="Y81" s="51"/>
      <c r="Z81" s="51"/>
    </row>
    <row r="82" spans="1:26">
      <c r="A82" s="12"/>
      <c r="B82" s="191"/>
      <c r="C82" s="191"/>
      <c r="D82" s="191"/>
      <c r="E82" s="191"/>
      <c r="F82" s="191"/>
      <c r="G82" s="191"/>
      <c r="H82" s="12"/>
      <c r="I82" s="30" t="s">
        <v>278</v>
      </c>
      <c r="J82" s="26">
        <v>0.21</v>
      </c>
      <c r="K82" s="137" t="s">
        <v>143</v>
      </c>
      <c r="L82" s="12"/>
      <c r="M82" s="12"/>
      <c r="N82" s="12"/>
      <c r="O82" s="12"/>
      <c r="P82" s="12"/>
      <c r="Q82" s="12"/>
      <c r="R82" s="12"/>
      <c r="S82" s="289"/>
      <c r="T82" s="289"/>
      <c r="U82" s="168"/>
      <c r="V82" s="168"/>
      <c r="W82" s="168"/>
      <c r="X82" s="51"/>
      <c r="Y82" s="51"/>
      <c r="Z82" s="51"/>
    </row>
    <row r="83" spans="1:26">
      <c r="A83" s="12"/>
      <c r="B83" s="191"/>
      <c r="C83" s="191"/>
      <c r="D83" s="191"/>
      <c r="E83" s="191"/>
      <c r="F83" s="191"/>
      <c r="G83" s="191"/>
      <c r="H83" s="12"/>
      <c r="I83" s="12"/>
      <c r="J83" s="12"/>
      <c r="K83" s="201"/>
      <c r="L83" s="12"/>
      <c r="M83" s="12"/>
      <c r="N83" s="12"/>
      <c r="O83" s="12"/>
      <c r="P83" s="12"/>
      <c r="Q83" s="12"/>
      <c r="R83" s="12"/>
      <c r="S83" s="289"/>
      <c r="T83" s="289"/>
      <c r="U83" s="168"/>
      <c r="V83" s="168"/>
      <c r="W83" s="168"/>
      <c r="X83" s="51"/>
      <c r="Y83" s="51"/>
      <c r="Z83" s="51"/>
    </row>
    <row r="84" spans="1:26">
      <c r="A84" s="12"/>
      <c r="B84" s="191"/>
      <c r="C84" s="191"/>
      <c r="D84" s="191"/>
      <c r="E84" s="191"/>
      <c r="F84" s="191"/>
      <c r="G84" s="191"/>
      <c r="H84" s="12"/>
      <c r="I84" s="22" t="s">
        <v>832</v>
      </c>
      <c r="J84" s="22"/>
      <c r="K84" s="12"/>
      <c r="L84" s="12"/>
      <c r="M84" s="12"/>
      <c r="N84" s="12"/>
      <c r="O84" s="12"/>
      <c r="P84" s="12"/>
      <c r="Q84" s="12"/>
      <c r="R84" s="12"/>
      <c r="S84" s="289"/>
      <c r="T84" s="289"/>
      <c r="U84" s="168"/>
      <c r="V84" s="168"/>
      <c r="W84" s="168"/>
      <c r="X84" s="51"/>
      <c r="Y84" s="51"/>
      <c r="Z84" s="51"/>
    </row>
    <row r="85" spans="1:26">
      <c r="A85" s="12"/>
      <c r="B85" s="191"/>
      <c r="C85" s="191"/>
      <c r="D85" s="191"/>
      <c r="E85" s="191"/>
      <c r="F85" s="191"/>
      <c r="G85" s="191"/>
      <c r="H85" s="12"/>
      <c r="I85" s="22" t="s">
        <v>1547</v>
      </c>
      <c r="J85" s="22"/>
      <c r="K85" s="201"/>
      <c r="L85" s="12"/>
      <c r="M85" s="12"/>
      <c r="N85" s="12"/>
      <c r="O85" s="12"/>
      <c r="P85" s="12"/>
      <c r="Q85" s="12"/>
      <c r="R85" s="12"/>
      <c r="S85" s="289"/>
      <c r="T85" s="289"/>
      <c r="U85" s="168"/>
      <c r="V85" s="168"/>
      <c r="W85" s="168"/>
      <c r="X85" s="51"/>
      <c r="Y85" s="51"/>
      <c r="Z85" s="51"/>
    </row>
    <row r="86" spans="1:26">
      <c r="A86" s="12"/>
      <c r="B86" s="191"/>
      <c r="C86" s="191"/>
      <c r="D86" s="191"/>
      <c r="E86" s="191"/>
      <c r="F86" s="191"/>
      <c r="G86" s="191"/>
      <c r="H86" s="12"/>
      <c r="I86" s="30" t="s">
        <v>1548</v>
      </c>
      <c r="J86" s="30"/>
      <c r="K86" s="12"/>
      <c r="L86" s="12"/>
      <c r="M86" s="12"/>
      <c r="N86" s="12"/>
      <c r="O86" s="12"/>
      <c r="P86" s="12"/>
      <c r="Q86" s="12"/>
      <c r="R86" s="12"/>
      <c r="S86" s="289"/>
      <c r="T86" s="289"/>
      <c r="U86" s="168"/>
      <c r="V86" s="168"/>
      <c r="W86" s="168"/>
      <c r="X86" s="51"/>
      <c r="Y86" s="51"/>
      <c r="Z86" s="51"/>
    </row>
    <row r="87" spans="1:26">
      <c r="A87" s="12"/>
      <c r="B87" s="191"/>
      <c r="C87" s="191"/>
      <c r="D87" s="191"/>
      <c r="E87" s="191"/>
      <c r="F87" s="191"/>
      <c r="G87" s="191"/>
      <c r="H87" s="12"/>
      <c r="I87" s="319" t="s">
        <v>1545</v>
      </c>
      <c r="J87" s="319" t="s">
        <v>1546</v>
      </c>
      <c r="K87" s="12"/>
      <c r="L87" s="12"/>
      <c r="M87" s="12"/>
      <c r="N87" s="12"/>
      <c r="O87" s="12"/>
      <c r="P87" s="12"/>
      <c r="Q87" s="12"/>
      <c r="R87" s="12"/>
      <c r="S87" s="289"/>
      <c r="T87" s="289"/>
      <c r="U87" s="168"/>
      <c r="V87" s="168"/>
      <c r="W87" s="168"/>
      <c r="X87" s="51"/>
      <c r="Y87" s="51"/>
      <c r="Z87" s="51"/>
    </row>
    <row r="88" spans="1:26">
      <c r="A88" s="127"/>
      <c r="B88" s="13"/>
      <c r="C88" s="13"/>
      <c r="D88" s="13"/>
      <c r="E88" s="13"/>
      <c r="F88" s="13"/>
      <c r="G88" s="13"/>
      <c r="H88" s="127"/>
      <c r="I88" s="30" t="s">
        <v>1549</v>
      </c>
      <c r="J88" s="30"/>
      <c r="K88" s="127"/>
      <c r="L88" s="127"/>
      <c r="M88" s="12"/>
      <c r="N88" s="12"/>
      <c r="O88" s="12"/>
      <c r="P88" s="12"/>
      <c r="Q88" s="12"/>
      <c r="R88" s="12"/>
      <c r="S88" s="289"/>
      <c r="T88" s="289"/>
      <c r="U88" s="168"/>
      <c r="V88" s="168"/>
      <c r="W88" s="168"/>
      <c r="X88" s="51"/>
      <c r="Y88" s="51"/>
      <c r="Z88" s="51"/>
    </row>
    <row r="89" spans="1:26">
      <c r="A89" s="12"/>
      <c r="B89" s="191"/>
      <c r="C89" s="191"/>
      <c r="D89" s="191"/>
      <c r="E89" s="191"/>
      <c r="F89" s="191"/>
      <c r="G89" s="191"/>
      <c r="H89" s="12"/>
      <c r="I89" s="30" t="s">
        <v>1736</v>
      </c>
      <c r="J89" s="30"/>
      <c r="K89" s="12"/>
      <c r="L89" s="12"/>
      <c r="M89" s="12"/>
      <c r="N89" s="12"/>
      <c r="O89" s="12"/>
      <c r="P89" s="12"/>
      <c r="Q89" s="12"/>
      <c r="R89" s="12"/>
      <c r="S89" s="289"/>
      <c r="T89" s="289"/>
      <c r="U89" s="168"/>
      <c r="V89" s="168"/>
      <c r="W89" s="168"/>
      <c r="X89" s="51"/>
      <c r="Y89" s="51"/>
      <c r="Z89" s="51"/>
    </row>
    <row r="90" spans="1:26">
      <c r="A90" s="12"/>
      <c r="B90" s="191"/>
      <c r="C90" s="191"/>
      <c r="D90" s="191"/>
      <c r="E90" s="191"/>
      <c r="F90" s="191"/>
      <c r="G90" s="191"/>
      <c r="H90" s="12"/>
      <c r="I90" s="201"/>
      <c r="J90" s="201"/>
      <c r="K90" s="12"/>
      <c r="L90" s="12"/>
      <c r="M90" s="12"/>
      <c r="N90" s="12"/>
      <c r="O90" s="12"/>
      <c r="P90" s="12"/>
      <c r="Q90" s="12"/>
      <c r="R90" s="12"/>
      <c r="S90" s="289"/>
      <c r="T90" s="289"/>
      <c r="U90" s="168"/>
      <c r="V90" s="168"/>
      <c r="W90" s="168"/>
      <c r="X90" s="51"/>
      <c r="Y90" s="51"/>
      <c r="Z90" s="51"/>
    </row>
    <row r="91" spans="1:26">
      <c r="A91" s="12"/>
      <c r="B91" s="191"/>
      <c r="C91" s="191"/>
      <c r="D91" s="191"/>
      <c r="E91" s="191"/>
      <c r="F91" s="191"/>
      <c r="G91" s="191"/>
      <c r="H91" s="12"/>
      <c r="I91" s="12"/>
      <c r="J91" s="12"/>
      <c r="K91" s="12"/>
      <c r="L91" s="12"/>
      <c r="M91" s="12"/>
      <c r="N91" s="12"/>
      <c r="O91" s="12"/>
      <c r="P91" s="12"/>
      <c r="Q91" s="12"/>
      <c r="R91" s="12"/>
      <c r="S91" s="289"/>
      <c r="T91" s="289"/>
      <c r="U91" s="168"/>
      <c r="V91" s="168"/>
      <c r="W91" s="168"/>
      <c r="X91" s="51"/>
      <c r="Y91" s="51"/>
      <c r="Z91" s="51"/>
    </row>
    <row r="92" spans="1:26">
      <c r="A92" s="12"/>
      <c r="B92" s="191"/>
      <c r="C92" s="191"/>
      <c r="D92" s="191"/>
      <c r="E92" s="191"/>
      <c r="F92" s="191"/>
      <c r="G92" s="191"/>
      <c r="H92" s="12"/>
      <c r="I92" s="12"/>
      <c r="J92" s="12"/>
      <c r="K92" s="12"/>
      <c r="L92" s="12"/>
      <c r="M92" s="12"/>
      <c r="N92" s="12"/>
      <c r="O92" s="12"/>
      <c r="P92" s="12"/>
      <c r="Q92" s="12"/>
      <c r="R92" s="12"/>
      <c r="S92" s="289"/>
      <c r="T92" s="289"/>
      <c r="U92" s="168"/>
      <c r="V92" s="168"/>
      <c r="W92" s="168"/>
      <c r="X92" s="51"/>
      <c r="Y92" s="51"/>
      <c r="Z92" s="51"/>
    </row>
    <row r="93" spans="1:26">
      <c r="A93" s="12"/>
      <c r="B93" s="191"/>
      <c r="C93" s="191"/>
      <c r="D93" s="191"/>
      <c r="E93" s="191"/>
      <c r="F93" s="191"/>
      <c r="G93" s="191"/>
      <c r="H93" s="12"/>
      <c r="I93" s="12"/>
      <c r="J93" s="12"/>
      <c r="K93" s="12"/>
      <c r="L93" s="12"/>
      <c r="M93" s="12"/>
      <c r="N93" s="12"/>
      <c r="O93" s="12"/>
      <c r="P93" s="12"/>
      <c r="Q93" s="12"/>
      <c r="R93" s="12"/>
      <c r="S93" s="289"/>
      <c r="T93" s="289"/>
      <c r="U93" s="168"/>
      <c r="V93" s="168"/>
      <c r="W93" s="168"/>
      <c r="X93" s="51"/>
      <c r="Y93" s="51"/>
      <c r="Z93" s="51"/>
    </row>
    <row r="94" spans="1:26">
      <c r="A94" s="127"/>
      <c r="B94" s="13"/>
      <c r="C94" s="13"/>
      <c r="D94" s="13"/>
      <c r="E94" s="13"/>
      <c r="F94" s="13"/>
      <c r="G94" s="13"/>
      <c r="H94" s="127"/>
      <c r="I94" s="127"/>
      <c r="J94" s="127"/>
      <c r="K94" s="127"/>
      <c r="L94" s="12"/>
      <c r="M94" s="12"/>
      <c r="N94" s="12"/>
      <c r="O94" s="12"/>
      <c r="P94" s="12"/>
      <c r="Q94" s="12"/>
      <c r="R94" s="12"/>
      <c r="S94" s="289"/>
      <c r="T94" s="289"/>
      <c r="U94" s="168"/>
      <c r="V94" s="168"/>
      <c r="W94" s="168"/>
      <c r="X94" s="51"/>
      <c r="Y94" s="51"/>
      <c r="Z94" s="51"/>
    </row>
    <row r="95" spans="1:26">
      <c r="A95" s="12"/>
      <c r="B95" s="191"/>
      <c r="C95" s="191"/>
      <c r="D95" s="191"/>
      <c r="E95" s="191"/>
      <c r="F95" s="191"/>
      <c r="G95" s="191"/>
      <c r="H95" s="12"/>
      <c r="I95" s="12"/>
      <c r="J95" s="12"/>
      <c r="K95" s="12"/>
      <c r="L95" s="12"/>
      <c r="M95" s="12"/>
      <c r="N95" s="12"/>
      <c r="O95" s="12"/>
      <c r="P95" s="12"/>
      <c r="Q95" s="12"/>
      <c r="R95" s="12"/>
      <c r="S95" s="289"/>
      <c r="T95" s="289"/>
      <c r="U95" s="168"/>
      <c r="V95" s="168"/>
      <c r="W95" s="168"/>
      <c r="X95" s="51"/>
      <c r="Y95" s="51"/>
      <c r="Z95" s="51"/>
    </row>
    <row r="96" spans="1:26">
      <c r="A96" s="12"/>
      <c r="B96" s="12"/>
      <c r="C96" s="12"/>
      <c r="D96" s="12"/>
      <c r="E96" s="12"/>
      <c r="F96" s="12"/>
      <c r="G96" s="12"/>
      <c r="H96" s="12"/>
      <c r="I96" s="12"/>
      <c r="J96" s="12"/>
      <c r="K96" s="12"/>
      <c r="L96" s="12"/>
      <c r="M96" s="12"/>
      <c r="N96" s="12"/>
      <c r="O96" s="12"/>
      <c r="P96" s="12"/>
      <c r="Q96" s="12"/>
      <c r="R96" s="12"/>
      <c r="S96" s="289"/>
      <c r="T96" s="289"/>
      <c r="U96" s="168"/>
      <c r="V96" s="168"/>
      <c r="W96" s="168"/>
      <c r="X96" s="51"/>
      <c r="Y96" s="51"/>
      <c r="Z96" s="51"/>
    </row>
    <row r="97" spans="1:27">
      <c r="A97" s="137" t="s">
        <v>1744</v>
      </c>
      <c r="B97" s="137"/>
      <c r="C97" s="12"/>
      <c r="D97" s="12"/>
      <c r="E97" s="12"/>
      <c r="F97" s="12"/>
      <c r="G97" s="12"/>
      <c r="H97" s="12"/>
      <c r="I97" s="12"/>
      <c r="J97" s="12"/>
      <c r="K97" s="12"/>
      <c r="L97" s="12"/>
      <c r="M97" s="12"/>
      <c r="N97" s="12"/>
      <c r="O97" s="12"/>
      <c r="P97" s="12"/>
      <c r="Q97" s="12"/>
      <c r="R97" s="12"/>
      <c r="S97" s="289"/>
      <c r="T97" s="289"/>
      <c r="U97" s="168"/>
      <c r="V97" s="168"/>
      <c r="W97" s="168"/>
      <c r="X97" s="51"/>
      <c r="Y97" s="51"/>
      <c r="Z97" s="51"/>
    </row>
    <row r="98" spans="1:27">
      <c r="A98" s="12"/>
      <c r="B98" s="12"/>
      <c r="C98" s="12"/>
      <c r="D98" s="12"/>
      <c r="E98" s="12"/>
      <c r="F98" s="12"/>
      <c r="G98" s="12"/>
      <c r="H98" s="12"/>
      <c r="I98" s="12"/>
      <c r="J98" s="12"/>
      <c r="K98" s="12"/>
      <c r="L98" s="12"/>
      <c r="M98" s="12"/>
      <c r="N98" s="12"/>
      <c r="O98" s="12"/>
      <c r="P98" s="12"/>
      <c r="Q98" s="12"/>
      <c r="R98" s="12"/>
      <c r="S98" s="289"/>
      <c r="T98" s="289"/>
      <c r="U98" s="168"/>
      <c r="V98" s="168"/>
      <c r="W98" s="168"/>
      <c r="X98" s="51"/>
      <c r="Y98" s="51"/>
      <c r="Z98" s="51"/>
    </row>
    <row r="99" spans="1:27">
      <c r="A99" s="137" t="s">
        <v>2186</v>
      </c>
      <c r="B99" s="137"/>
      <c r="C99" s="137"/>
      <c r="D99" s="137"/>
      <c r="E99" s="137"/>
      <c r="F99" s="12"/>
      <c r="G99" s="12"/>
      <c r="H99" s="12"/>
      <c r="I99" s="12"/>
      <c r="J99" s="12"/>
      <c r="K99" s="12"/>
      <c r="L99" s="12"/>
      <c r="M99" s="12"/>
      <c r="N99" s="12"/>
      <c r="O99" s="12"/>
      <c r="P99" s="12"/>
      <c r="Q99" s="12"/>
      <c r="R99" s="12"/>
      <c r="S99" s="289"/>
      <c r="T99" s="289"/>
      <c r="U99" s="168"/>
      <c r="V99" s="168"/>
      <c r="W99" s="168"/>
      <c r="X99" s="51"/>
      <c r="Y99" s="51"/>
      <c r="Z99" s="51"/>
    </row>
    <row r="100" spans="1:27">
      <c r="A100" s="12"/>
      <c r="B100" s="12"/>
      <c r="C100" s="12"/>
      <c r="D100" s="12"/>
      <c r="E100" s="12"/>
      <c r="F100" s="12"/>
      <c r="G100" s="12"/>
      <c r="H100" s="12"/>
      <c r="I100" s="12"/>
      <c r="J100" s="12"/>
      <c r="K100" s="12"/>
      <c r="L100" s="12"/>
      <c r="M100" s="12"/>
      <c r="N100" s="12"/>
      <c r="O100" s="12"/>
      <c r="P100" s="12"/>
      <c r="Q100" s="12"/>
      <c r="R100" s="12"/>
      <c r="S100" s="289"/>
      <c r="T100" s="289"/>
      <c r="U100" s="168"/>
      <c r="V100" s="168"/>
      <c r="W100" s="168"/>
      <c r="X100" s="51"/>
      <c r="Y100" s="51"/>
      <c r="Z100" s="51"/>
    </row>
    <row r="101" spans="1:27">
      <c r="A101" s="137" t="s">
        <v>2187</v>
      </c>
      <c r="B101" s="390"/>
      <c r="C101" s="137"/>
      <c r="D101" s="137"/>
      <c r="E101" s="12"/>
      <c r="F101" s="12"/>
      <c r="G101" s="12"/>
      <c r="H101" s="12"/>
      <c r="I101" s="12"/>
      <c r="J101" s="12"/>
      <c r="K101" s="12"/>
      <c r="L101" s="12"/>
      <c r="M101" s="12"/>
      <c r="N101" s="12"/>
      <c r="O101" s="12"/>
      <c r="P101" s="12"/>
      <c r="Q101" s="12"/>
      <c r="R101" s="12"/>
      <c r="S101" s="289"/>
      <c r="T101" s="289"/>
      <c r="U101" s="168"/>
      <c r="V101" s="168"/>
      <c r="W101" s="168"/>
      <c r="X101" s="51"/>
      <c r="Y101" s="51"/>
      <c r="Z101" s="51"/>
    </row>
    <row r="102" spans="1:27">
      <c r="A102" s="12"/>
      <c r="B102" s="12"/>
      <c r="C102" s="12"/>
      <c r="D102" s="12"/>
      <c r="E102" s="12"/>
      <c r="F102" s="12"/>
      <c r="G102" s="12"/>
      <c r="H102" s="12"/>
      <c r="I102" s="12"/>
      <c r="J102" s="12"/>
      <c r="K102" s="12"/>
      <c r="L102" s="12"/>
      <c r="M102" s="12"/>
      <c r="N102" s="12"/>
      <c r="O102" s="12"/>
      <c r="P102" s="12"/>
      <c r="Q102" s="12"/>
      <c r="R102" s="12"/>
      <c r="S102" s="289"/>
      <c r="T102" s="289"/>
      <c r="U102" s="168"/>
      <c r="V102" s="168"/>
      <c r="W102" s="168"/>
      <c r="X102" s="51"/>
      <c r="Y102" s="51"/>
      <c r="Z102" s="51"/>
    </row>
    <row r="103" spans="1:27">
      <c r="A103" s="137" t="s">
        <v>2188</v>
      </c>
      <c r="B103" s="137"/>
      <c r="C103" s="12"/>
      <c r="D103" s="12"/>
      <c r="E103" s="12"/>
      <c r="F103" s="12"/>
      <c r="G103" s="12"/>
      <c r="H103" s="12"/>
      <c r="I103" s="12"/>
      <c r="J103" s="12"/>
      <c r="K103" s="12"/>
      <c r="L103" s="12"/>
      <c r="M103" s="12"/>
      <c r="N103" s="12"/>
      <c r="O103" s="12"/>
      <c r="P103" s="12"/>
      <c r="Q103" s="12"/>
      <c r="R103" s="12"/>
      <c r="S103" s="289"/>
      <c r="T103" s="289"/>
      <c r="U103" s="168"/>
      <c r="V103" s="168"/>
      <c r="W103" s="168"/>
      <c r="X103" s="51"/>
      <c r="Y103" s="51"/>
      <c r="Z103" s="51"/>
    </row>
    <row r="104" spans="1:27">
      <c r="A104" s="12"/>
      <c r="B104" s="12"/>
      <c r="C104" s="12"/>
      <c r="D104" s="12"/>
      <c r="E104" s="12"/>
      <c r="F104" s="12"/>
      <c r="G104" s="12"/>
      <c r="H104" s="12"/>
      <c r="I104" s="12"/>
      <c r="J104" s="12"/>
      <c r="K104" s="12"/>
      <c r="L104" s="12"/>
      <c r="M104" s="12"/>
      <c r="N104" s="465"/>
      <c r="O104" s="465"/>
      <c r="P104" s="465"/>
      <c r="Q104" s="465"/>
      <c r="R104" s="465"/>
      <c r="S104" s="289"/>
      <c r="T104" s="289"/>
      <c r="U104" s="168"/>
      <c r="V104" s="168"/>
      <c r="W104" s="168"/>
      <c r="X104" s="51"/>
      <c r="Y104" s="51"/>
      <c r="Z104" s="51"/>
    </row>
    <row r="105" spans="1:27">
      <c r="A105" s="137" t="s">
        <v>2350</v>
      </c>
      <c r="B105" s="137"/>
      <c r="C105" s="12"/>
      <c r="D105" s="12"/>
      <c r="E105" s="12"/>
      <c r="F105" s="12"/>
      <c r="G105" s="12"/>
      <c r="H105" s="12"/>
      <c r="I105" s="12"/>
      <c r="J105" s="12"/>
      <c r="K105" s="12"/>
      <c r="L105" s="12"/>
      <c r="M105" s="12"/>
      <c r="N105" s="465"/>
      <c r="O105" s="465"/>
      <c r="P105" s="465"/>
      <c r="Q105" s="465"/>
      <c r="R105" s="465"/>
      <c r="S105" s="289"/>
      <c r="T105" s="289"/>
      <c r="U105" s="168"/>
      <c r="V105" s="168"/>
      <c r="W105" s="168"/>
      <c r="X105" s="51"/>
      <c r="Y105" s="51"/>
      <c r="Z105" s="51"/>
    </row>
    <row r="106" spans="1:27">
      <c r="A106" s="12"/>
      <c r="B106" s="12"/>
      <c r="C106" s="12"/>
      <c r="D106" s="12"/>
      <c r="E106" s="12"/>
      <c r="F106" s="12"/>
      <c r="G106" s="12"/>
      <c r="H106" s="12"/>
      <c r="I106" s="12"/>
      <c r="J106" s="12"/>
      <c r="K106" s="12"/>
      <c r="L106" s="12"/>
      <c r="M106" s="12"/>
      <c r="N106" s="465"/>
      <c r="O106" s="465"/>
      <c r="P106" s="465"/>
      <c r="Q106" s="465"/>
      <c r="R106" s="465"/>
      <c r="S106" s="289"/>
      <c r="T106" s="289"/>
      <c r="U106" s="168"/>
      <c r="V106" s="168"/>
      <c r="W106" s="168"/>
      <c r="X106" s="51"/>
      <c r="Y106" s="51"/>
      <c r="Z106" s="51"/>
    </row>
    <row r="107" spans="1:27">
      <c r="A107" s="12"/>
      <c r="B107" s="12"/>
      <c r="C107" s="12"/>
      <c r="D107" s="12"/>
      <c r="E107" s="12"/>
      <c r="F107" s="12"/>
      <c r="G107" s="12"/>
      <c r="H107" s="12"/>
      <c r="I107" s="12"/>
      <c r="J107" s="12"/>
      <c r="K107" s="12"/>
      <c r="L107" s="12"/>
      <c r="M107" s="12"/>
      <c r="N107" s="465"/>
      <c r="O107" s="465"/>
      <c r="P107" s="465"/>
      <c r="Q107" s="465"/>
      <c r="R107" s="465"/>
      <c r="S107" s="289"/>
      <c r="T107" s="289"/>
      <c r="U107" s="168"/>
      <c r="V107" s="168"/>
      <c r="W107" s="168"/>
      <c r="X107" s="51"/>
      <c r="Y107" s="51"/>
      <c r="Z107" s="51"/>
    </row>
    <row r="108" spans="1:27">
      <c r="A108" s="12"/>
      <c r="B108" s="12"/>
      <c r="C108" s="12"/>
      <c r="D108" s="12"/>
      <c r="E108" s="12"/>
      <c r="F108" s="12"/>
      <c r="G108" s="12"/>
      <c r="H108" s="12"/>
      <c r="I108" s="12"/>
      <c r="J108" s="12"/>
      <c r="K108" s="12"/>
      <c r="L108" s="12"/>
      <c r="M108" s="12"/>
      <c r="N108" s="465"/>
      <c r="O108" s="465"/>
      <c r="P108" s="465"/>
      <c r="Q108" s="465"/>
      <c r="R108" s="465"/>
      <c r="S108" s="289"/>
      <c r="T108" s="289"/>
      <c r="U108" s="168"/>
      <c r="V108" s="168"/>
      <c r="W108" s="168"/>
      <c r="X108" s="51"/>
      <c r="Y108" s="51"/>
      <c r="Z108" s="51"/>
    </row>
    <row r="109" spans="1:27">
      <c r="A109" s="125"/>
      <c r="B109" s="125"/>
      <c r="C109" s="125"/>
      <c r="D109" s="125"/>
      <c r="E109" s="125"/>
      <c r="F109" s="125"/>
      <c r="G109" s="125"/>
      <c r="H109" s="125"/>
      <c r="I109" s="125"/>
      <c r="J109" s="125"/>
      <c r="K109" s="125"/>
      <c r="L109" s="125"/>
      <c r="M109" s="125"/>
      <c r="N109" s="176"/>
      <c r="O109" s="176"/>
      <c r="P109" s="176"/>
      <c r="Q109" s="176"/>
      <c r="R109" s="176"/>
      <c r="S109" s="168"/>
      <c r="T109" s="168"/>
      <c r="U109" s="168"/>
      <c r="V109" s="168"/>
      <c r="W109" s="168"/>
      <c r="X109" s="51"/>
      <c r="Y109" s="51"/>
      <c r="Z109" s="51"/>
    </row>
    <row r="110" spans="1:27">
      <c r="A110" s="125"/>
      <c r="B110" s="125"/>
      <c r="C110" s="125"/>
      <c r="D110" s="125"/>
      <c r="E110" s="125"/>
      <c r="F110" s="125"/>
      <c r="G110" s="125"/>
      <c r="H110" s="125"/>
      <c r="I110" s="125"/>
      <c r="J110" s="125"/>
      <c r="K110" s="125"/>
      <c r="L110" s="125"/>
      <c r="M110" s="125"/>
      <c r="N110" s="176"/>
      <c r="O110" s="176"/>
      <c r="P110" s="176"/>
      <c r="Q110" s="176"/>
      <c r="R110" s="176"/>
      <c r="S110" s="168"/>
      <c r="T110" s="168"/>
      <c r="U110" s="168"/>
      <c r="V110" s="168"/>
      <c r="W110" s="168"/>
      <c r="X110" s="51"/>
      <c r="Y110" s="51"/>
      <c r="Z110" s="51"/>
    </row>
    <row r="111" spans="1:27">
      <c r="A111" s="57"/>
      <c r="B111" s="57"/>
      <c r="C111" s="57"/>
      <c r="D111" s="57"/>
      <c r="E111" s="57"/>
      <c r="F111" s="57"/>
      <c r="G111" s="57"/>
      <c r="H111" s="57"/>
      <c r="I111" s="57"/>
      <c r="J111" s="57"/>
      <c r="K111" s="57"/>
      <c r="L111" s="57"/>
      <c r="M111" s="57"/>
      <c r="N111" s="57"/>
      <c r="O111" s="57"/>
      <c r="P111" s="57"/>
      <c r="Q111" s="57"/>
      <c r="R111" s="57"/>
      <c r="S111" s="52"/>
      <c r="T111" s="52"/>
      <c r="U111" s="52"/>
      <c r="V111" s="52"/>
      <c r="W111" s="52"/>
      <c r="X111" s="52"/>
      <c r="Y111" s="52"/>
      <c r="Z111" s="52"/>
      <c r="AA111" s="52"/>
    </row>
    <row r="112" spans="1:27">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spans="1:27">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spans="1:27">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spans="1:27">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spans="1:27">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spans="1:2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spans="1:27">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spans="1:27">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spans="1:27">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spans="1:27">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spans="1:27">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spans="1:27">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spans="1:27">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spans="1:27">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spans="1:27">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spans="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spans="1:27">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spans="1:27">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spans="1:27">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spans="1:27">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spans="1:27">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spans="1:27">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spans="1:27">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spans="1:27">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spans="1:27">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spans="1:2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spans="1:27">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spans="1:27">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spans="1:27">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spans="1:27">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spans="1:27">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spans="1:27">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spans="1:27">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spans="1:27">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spans="1:27">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spans="1:2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spans="1:27">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spans="1:27">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spans="1:27">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spans="1:27">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spans="1:27">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spans="1:27">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spans="1:27">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spans="1:27">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spans="1:27">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spans="1:2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spans="1:27">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spans="1:27">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spans="1:27">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sheetData>
  <phoneticPr fontId="2" type="noConversion"/>
  <dataValidations count="1">
    <dataValidation type="list" allowBlank="1" showInputMessage="1" showErrorMessage="1" sqref="B78" xr:uid="{E7D9E9DD-B974-4A1B-8A6C-42499EDBE6AA}">
      <formula1>$A$7:$A$78</formula1>
    </dataValidation>
  </dataValidations>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B701E-4F19-41CC-954F-D761559A4F96}">
  <dimension ref="A1:Z352"/>
  <sheetViews>
    <sheetView zoomScale="70" zoomScaleNormal="70" workbookViewId="0"/>
  </sheetViews>
  <sheetFormatPr defaultRowHeight="14"/>
  <cols>
    <col min="1" max="1" width="90.75" customWidth="1"/>
    <col min="2" max="2" width="17" customWidth="1"/>
    <col min="3" max="3" width="16.75" customWidth="1"/>
    <col min="4" max="4" width="17.25" customWidth="1"/>
    <col min="5" max="5" width="17" customWidth="1"/>
    <col min="6" max="6" width="17.83203125" customWidth="1"/>
    <col min="7" max="7" width="10.4140625" customWidth="1"/>
    <col min="8" max="8" width="9.58203125" customWidth="1"/>
    <col min="9" max="9" width="130.25" customWidth="1"/>
    <col min="10" max="10" width="16.58203125" customWidth="1"/>
    <col min="11" max="11" width="19.4140625" customWidth="1"/>
    <col min="12" max="12" width="17.58203125" customWidth="1"/>
    <col min="13" max="13" width="16.25" customWidth="1"/>
    <col min="14" max="14" width="14.83203125" customWidth="1"/>
  </cols>
  <sheetData>
    <row r="1" spans="1:26">
      <c r="A1" s="89" t="s">
        <v>420</v>
      </c>
      <c r="B1" s="305" t="s">
        <v>421</v>
      </c>
      <c r="C1" s="305" t="s">
        <v>748</v>
      </c>
      <c r="D1" s="305" t="s">
        <v>749</v>
      </c>
      <c r="E1" s="305" t="s">
        <v>750</v>
      </c>
      <c r="F1" s="305" t="s">
        <v>751</v>
      </c>
      <c r="G1" s="281" t="s">
        <v>752</v>
      </c>
      <c r="H1" s="281" t="s">
        <v>753</v>
      </c>
      <c r="I1" s="89" t="s">
        <v>754</v>
      </c>
      <c r="J1" s="305" t="s">
        <v>755</v>
      </c>
      <c r="K1" s="305" t="s">
        <v>756</v>
      </c>
      <c r="L1" s="305" t="s">
        <v>757</v>
      </c>
      <c r="M1" s="305" t="s">
        <v>758</v>
      </c>
      <c r="N1" s="305" t="s">
        <v>759</v>
      </c>
      <c r="O1" s="303"/>
      <c r="P1" s="303"/>
      <c r="Q1" s="303"/>
      <c r="R1" s="303"/>
      <c r="S1" s="52"/>
      <c r="T1" s="52"/>
      <c r="U1" s="52"/>
      <c r="V1" s="52"/>
      <c r="W1" s="52"/>
      <c r="X1" s="52"/>
      <c r="Y1" s="52"/>
      <c r="Z1" s="52"/>
    </row>
    <row r="2" spans="1:26">
      <c r="A2" s="192" t="s">
        <v>116</v>
      </c>
      <c r="B2" s="305"/>
      <c r="C2" s="305"/>
      <c r="D2" s="305"/>
      <c r="E2" s="305"/>
      <c r="F2" s="305"/>
      <c r="G2" s="281"/>
      <c r="H2" s="281"/>
      <c r="I2" s="192" t="s">
        <v>116</v>
      </c>
      <c r="J2" s="305"/>
      <c r="K2" s="305" t="s">
        <v>520</v>
      </c>
      <c r="L2" s="305"/>
      <c r="M2" s="305"/>
      <c r="N2" s="305"/>
      <c r="O2" s="303"/>
      <c r="P2" s="303"/>
      <c r="Q2" s="303"/>
      <c r="R2" s="303"/>
      <c r="S2" s="52"/>
      <c r="T2" s="52"/>
      <c r="U2" s="52"/>
      <c r="V2" s="52"/>
      <c r="W2" s="52"/>
      <c r="X2" s="52"/>
      <c r="Y2" s="52"/>
      <c r="Z2" s="52"/>
    </row>
    <row r="3" spans="1:26">
      <c r="A3" s="192" t="s">
        <v>0</v>
      </c>
      <c r="B3" s="305" t="s">
        <v>513</v>
      </c>
      <c r="C3" s="305" t="s">
        <v>514</v>
      </c>
      <c r="D3" s="305" t="s">
        <v>515</v>
      </c>
      <c r="E3" s="305" t="s">
        <v>516</v>
      </c>
      <c r="F3" s="305" t="s">
        <v>518</v>
      </c>
      <c r="G3" s="281"/>
      <c r="H3" s="281"/>
      <c r="I3" s="192" t="s">
        <v>29</v>
      </c>
      <c r="J3" s="305" t="s">
        <v>1</v>
      </c>
      <c r="K3" s="305" t="s">
        <v>24</v>
      </c>
      <c r="L3" s="305" t="s">
        <v>25</v>
      </c>
      <c r="M3" s="305" t="s">
        <v>27</v>
      </c>
      <c r="N3" s="305" t="s">
        <v>28</v>
      </c>
      <c r="O3" s="303"/>
      <c r="P3" s="303"/>
      <c r="Q3" s="303"/>
      <c r="R3" s="303"/>
      <c r="S3" s="52"/>
      <c r="T3" s="52"/>
      <c r="U3" s="52"/>
      <c r="V3" s="52"/>
      <c r="W3" s="52"/>
      <c r="X3" s="52"/>
      <c r="Y3" s="52"/>
      <c r="Z3" s="52"/>
    </row>
    <row r="4" spans="1:26">
      <c r="A4" s="89"/>
      <c r="B4" s="305" t="s">
        <v>1</v>
      </c>
      <c r="C4" s="305" t="s">
        <v>24</v>
      </c>
      <c r="D4" s="305" t="s">
        <v>25</v>
      </c>
      <c r="E4" s="305" t="s">
        <v>27</v>
      </c>
      <c r="F4" s="305" t="s">
        <v>28</v>
      </c>
      <c r="G4" s="281"/>
      <c r="H4" s="281"/>
      <c r="I4" s="89"/>
      <c r="J4" s="305"/>
      <c r="K4" s="305"/>
      <c r="L4" s="305"/>
      <c r="M4" s="305"/>
      <c r="N4" s="305"/>
      <c r="O4" s="303"/>
      <c r="P4" s="303"/>
      <c r="Q4" s="303"/>
      <c r="R4" s="303"/>
      <c r="S4" s="52"/>
      <c r="T4" s="52"/>
      <c r="U4" s="52"/>
      <c r="V4" s="52"/>
      <c r="W4" s="52"/>
      <c r="X4" s="52"/>
      <c r="Y4" s="52"/>
      <c r="Z4" s="52"/>
    </row>
    <row r="5" spans="1:26">
      <c r="A5" s="89" t="s">
        <v>2</v>
      </c>
      <c r="B5" s="305"/>
      <c r="C5" s="305"/>
      <c r="D5" s="305" t="s">
        <v>26</v>
      </c>
      <c r="E5" s="305" t="s">
        <v>26</v>
      </c>
      <c r="F5" s="305" t="s">
        <v>26</v>
      </c>
      <c r="G5" s="281"/>
      <c r="H5" s="281"/>
      <c r="I5" s="89" t="s">
        <v>30</v>
      </c>
      <c r="J5" s="305"/>
      <c r="K5" s="305"/>
      <c r="L5" s="305" t="s">
        <v>26</v>
      </c>
      <c r="M5" s="305" t="s">
        <v>26</v>
      </c>
      <c r="N5" s="305" t="s">
        <v>26</v>
      </c>
      <c r="O5" s="303"/>
      <c r="P5" s="303"/>
      <c r="Q5" s="303"/>
      <c r="R5" s="303"/>
      <c r="S5" s="52"/>
      <c r="T5" s="52"/>
      <c r="U5" s="52"/>
      <c r="V5" s="52"/>
      <c r="W5" s="52"/>
      <c r="X5" s="52"/>
      <c r="Y5" s="52"/>
      <c r="Z5" s="52"/>
    </row>
    <row r="6" spans="1:26">
      <c r="A6" s="89" t="s">
        <v>3</v>
      </c>
      <c r="B6" s="305">
        <v>15301</v>
      </c>
      <c r="C6" s="305">
        <v>18884</v>
      </c>
      <c r="D6" s="305">
        <v>22237</v>
      </c>
      <c r="E6" s="305">
        <v>25098</v>
      </c>
      <c r="F6" s="305">
        <v>28167</v>
      </c>
      <c r="G6" s="281"/>
      <c r="H6" s="281"/>
      <c r="I6" s="89" t="s">
        <v>31</v>
      </c>
      <c r="J6" s="305">
        <v>10113</v>
      </c>
      <c r="K6" s="305">
        <v>7421</v>
      </c>
      <c r="L6" s="305">
        <v>7008</v>
      </c>
      <c r="M6" s="305">
        <v>8588</v>
      </c>
      <c r="N6" s="305">
        <v>8442</v>
      </c>
      <c r="O6" s="303"/>
      <c r="P6" s="303"/>
      <c r="Q6" s="303"/>
      <c r="R6" s="303"/>
      <c r="S6" s="52"/>
      <c r="T6" s="52"/>
      <c r="U6" s="52"/>
      <c r="V6" s="52"/>
      <c r="W6" s="52"/>
      <c r="X6" s="52"/>
      <c r="Y6" s="52"/>
      <c r="Z6" s="52"/>
    </row>
    <row r="7" spans="1:26">
      <c r="A7" s="89" t="s">
        <v>4</v>
      </c>
      <c r="B7" s="305"/>
      <c r="C7" s="305"/>
      <c r="D7" s="305" t="s">
        <v>26</v>
      </c>
      <c r="E7" s="305" t="s">
        <v>26</v>
      </c>
      <c r="F7" s="305" t="s">
        <v>26</v>
      </c>
      <c r="G7" s="281"/>
      <c r="H7" s="281"/>
      <c r="I7" s="89" t="s">
        <v>32</v>
      </c>
      <c r="J7" s="305">
        <v>586</v>
      </c>
      <c r="K7" s="305">
        <v>586</v>
      </c>
      <c r="L7" s="305">
        <v>589</v>
      </c>
      <c r="M7" s="305">
        <v>32</v>
      </c>
      <c r="N7" s="305">
        <v>492</v>
      </c>
      <c r="O7" s="303"/>
      <c r="P7" s="303"/>
      <c r="Q7" s="303"/>
      <c r="R7" s="303"/>
      <c r="S7" s="52"/>
      <c r="T7" s="52"/>
      <c r="U7" s="52"/>
      <c r="V7" s="52"/>
      <c r="W7" s="52"/>
      <c r="X7" s="52"/>
      <c r="Y7" s="52"/>
      <c r="Z7" s="52"/>
    </row>
    <row r="8" spans="1:26">
      <c r="A8" s="89" t="s">
        <v>5</v>
      </c>
      <c r="B8" s="305">
        <v>5910</v>
      </c>
      <c r="C8" s="305">
        <v>7087</v>
      </c>
      <c r="D8" s="305">
        <v>8078</v>
      </c>
      <c r="E8" s="305">
        <v>8927</v>
      </c>
      <c r="F8" s="305">
        <v>10193</v>
      </c>
      <c r="G8" s="281"/>
      <c r="H8" s="281"/>
      <c r="I8" s="89" t="s">
        <v>33</v>
      </c>
      <c r="J8" s="305">
        <v>483</v>
      </c>
      <c r="K8" s="305">
        <v>473</v>
      </c>
      <c r="L8" s="305">
        <v>400</v>
      </c>
      <c r="M8" s="305">
        <v>1845</v>
      </c>
      <c r="N8" s="305">
        <v>1874</v>
      </c>
      <c r="O8" s="303"/>
      <c r="P8" s="303"/>
      <c r="Q8" s="303"/>
      <c r="R8" s="303"/>
      <c r="S8" s="52"/>
      <c r="T8" s="52"/>
      <c r="U8" s="52"/>
      <c r="V8" s="52"/>
      <c r="W8" s="52"/>
      <c r="X8" s="52"/>
      <c r="Y8" s="52"/>
      <c r="Z8" s="52"/>
    </row>
    <row r="9" spans="1:26">
      <c r="A9" s="89" t="s">
        <v>6</v>
      </c>
      <c r="B9" s="305">
        <v>657</v>
      </c>
      <c r="C9" s="305">
        <v>895</v>
      </c>
      <c r="D9" s="305">
        <v>789</v>
      </c>
      <c r="E9" s="305">
        <v>825</v>
      </c>
      <c r="F9" s="305">
        <v>815</v>
      </c>
      <c r="G9" s="281"/>
      <c r="H9" s="281"/>
      <c r="I9" s="89" t="s">
        <v>34</v>
      </c>
      <c r="J9" s="305">
        <v>2646</v>
      </c>
      <c r="K9" s="305">
        <v>3006</v>
      </c>
      <c r="L9" s="305">
        <v>3425</v>
      </c>
      <c r="M9" s="305">
        <v>592</v>
      </c>
      <c r="N9" s="305">
        <v>330</v>
      </c>
      <c r="O9" s="303"/>
      <c r="P9" s="303"/>
      <c r="Q9" s="303"/>
      <c r="R9" s="303"/>
      <c r="S9" s="52"/>
      <c r="T9" s="52"/>
      <c r="U9" s="52"/>
      <c r="V9" s="52"/>
      <c r="W9" s="52"/>
      <c r="X9" s="52"/>
      <c r="Y9" s="52"/>
      <c r="Z9" s="52"/>
    </row>
    <row r="10" spans="1:26">
      <c r="A10" s="89" t="s">
        <v>7</v>
      </c>
      <c r="B10" s="305">
        <v>580</v>
      </c>
      <c r="C10" s="305">
        <v>726</v>
      </c>
      <c r="D10" s="305">
        <v>750</v>
      </c>
      <c r="E10" s="305">
        <v>799</v>
      </c>
      <c r="F10" s="305">
        <v>897</v>
      </c>
      <c r="G10" s="281"/>
      <c r="H10" s="281"/>
      <c r="I10" s="89" t="s">
        <v>35</v>
      </c>
      <c r="J10" s="305">
        <v>1706</v>
      </c>
      <c r="K10" s="305">
        <v>1319</v>
      </c>
      <c r="L10" s="305">
        <v>1270</v>
      </c>
      <c r="M10" s="305">
        <v>4060</v>
      </c>
      <c r="N10" s="305">
        <v>3773</v>
      </c>
      <c r="O10" s="303"/>
      <c r="P10" s="303"/>
      <c r="Q10" s="303"/>
      <c r="R10" s="303"/>
      <c r="S10" s="52"/>
      <c r="T10" s="52"/>
      <c r="U10" s="52"/>
      <c r="V10" s="52"/>
      <c r="W10" s="52"/>
      <c r="X10" s="52"/>
      <c r="Y10" s="52"/>
      <c r="Z10" s="52"/>
    </row>
    <row r="11" spans="1:26">
      <c r="A11" s="89" t="s">
        <v>8</v>
      </c>
      <c r="B11" s="305">
        <v>73</v>
      </c>
      <c r="C11" s="305">
        <v>94</v>
      </c>
      <c r="D11" s="305">
        <v>356</v>
      </c>
      <c r="E11" s="305">
        <v>539</v>
      </c>
      <c r="F11" s="305">
        <v>680</v>
      </c>
      <c r="G11" s="281"/>
      <c r="H11" s="281"/>
      <c r="I11" s="89" t="s">
        <v>36</v>
      </c>
      <c r="J11" s="305">
        <v>1696</v>
      </c>
      <c r="K11" s="305">
        <v>1873</v>
      </c>
      <c r="L11" s="305">
        <v>1568</v>
      </c>
      <c r="M11" s="305">
        <v>1233</v>
      </c>
      <c r="N11" s="305">
        <v>1821</v>
      </c>
      <c r="O11" s="303"/>
      <c r="P11" s="303"/>
      <c r="Q11" s="303"/>
      <c r="R11" s="303"/>
      <c r="S11" s="52"/>
      <c r="T11" s="52"/>
      <c r="U11" s="52"/>
      <c r="V11" s="52"/>
      <c r="W11" s="52"/>
      <c r="X11" s="52"/>
      <c r="Y11" s="52"/>
      <c r="Z11" s="52"/>
    </row>
    <row r="12" spans="1:26">
      <c r="A12" s="89" t="s">
        <v>9</v>
      </c>
      <c r="B12" s="305">
        <v>7220</v>
      </c>
      <c r="C12" s="305">
        <v>8802</v>
      </c>
      <c r="D12" s="305">
        <v>9973</v>
      </c>
      <c r="E12" s="305">
        <v>11090</v>
      </c>
      <c r="F12" s="305">
        <v>12585</v>
      </c>
      <c r="G12" s="281"/>
      <c r="H12" s="281"/>
      <c r="I12" s="89" t="s">
        <v>37</v>
      </c>
      <c r="J12" s="305">
        <v>1883</v>
      </c>
      <c r="K12" s="305">
        <v>2271</v>
      </c>
      <c r="L12" s="305">
        <v>2346</v>
      </c>
      <c r="M12" s="305">
        <v>2611</v>
      </c>
      <c r="N12" s="305">
        <v>2992</v>
      </c>
      <c r="O12" s="303"/>
      <c r="P12" s="303"/>
      <c r="Q12" s="303"/>
      <c r="R12" s="303"/>
      <c r="S12" s="52"/>
      <c r="T12" s="52"/>
      <c r="U12" s="52"/>
      <c r="V12" s="52"/>
      <c r="W12" s="52"/>
      <c r="X12" s="52"/>
      <c r="Y12" s="52"/>
      <c r="Z12" s="52"/>
    </row>
    <row r="13" spans="1:26">
      <c r="A13" s="89" t="s">
        <v>10</v>
      </c>
      <c r="B13" s="305">
        <v>8081</v>
      </c>
      <c r="C13" s="305">
        <v>10082</v>
      </c>
      <c r="D13" s="305">
        <v>12264</v>
      </c>
      <c r="E13" s="305">
        <v>14008</v>
      </c>
      <c r="F13" s="305">
        <v>15582</v>
      </c>
      <c r="G13" s="281"/>
      <c r="H13" s="281"/>
      <c r="I13" s="89" t="s">
        <v>38</v>
      </c>
      <c r="J13" s="305">
        <v>19113</v>
      </c>
      <c r="K13" s="305">
        <v>16949</v>
      </c>
      <c r="L13" s="305">
        <v>16606</v>
      </c>
      <c r="M13" s="305">
        <v>18961</v>
      </c>
      <c r="N13" s="305">
        <v>19724</v>
      </c>
      <c r="O13" s="303"/>
      <c r="P13" s="303"/>
      <c r="Q13" s="303"/>
      <c r="R13" s="303"/>
      <c r="S13" s="52"/>
      <c r="T13" s="52"/>
      <c r="U13" s="52"/>
      <c r="V13" s="52"/>
      <c r="W13" s="52"/>
      <c r="X13" s="52"/>
      <c r="Y13" s="52"/>
      <c r="Z13" s="52"/>
    </row>
    <row r="14" spans="1:26">
      <c r="A14" s="89" t="s">
        <v>11</v>
      </c>
      <c r="B14" s="305"/>
      <c r="C14" s="305"/>
      <c r="D14" s="305" t="s">
        <v>26</v>
      </c>
      <c r="E14" s="305" t="s">
        <v>26</v>
      </c>
      <c r="F14" s="305" t="s">
        <v>26</v>
      </c>
      <c r="G14" s="281"/>
      <c r="H14" s="281"/>
      <c r="I14" s="89" t="s">
        <v>39</v>
      </c>
      <c r="J14" s="305">
        <v>1902</v>
      </c>
      <c r="K14" s="305">
        <v>1907</v>
      </c>
      <c r="L14" s="305">
        <v>2006</v>
      </c>
      <c r="M14" s="305">
        <v>2061</v>
      </c>
      <c r="N14" s="305">
        <v>2138</v>
      </c>
      <c r="O14" s="303"/>
      <c r="P14" s="303"/>
      <c r="Q14" s="303"/>
      <c r="R14" s="303"/>
      <c r="S14" s="52"/>
      <c r="T14" s="52"/>
      <c r="U14" s="52"/>
      <c r="V14" s="52"/>
      <c r="W14" s="52"/>
      <c r="X14" s="52"/>
      <c r="Y14" s="52"/>
      <c r="Z14" s="52"/>
    </row>
    <row r="15" spans="1:26">
      <c r="A15" s="89" t="s">
        <v>12</v>
      </c>
      <c r="B15" s="305">
        <v>24</v>
      </c>
      <c r="C15" s="305">
        <v>11</v>
      </c>
      <c r="D15" s="305">
        <v>61</v>
      </c>
      <c r="E15" s="305">
        <v>274</v>
      </c>
      <c r="F15" s="305">
        <v>327</v>
      </c>
      <c r="G15" s="281"/>
      <c r="H15" s="281"/>
      <c r="I15" s="89" t="s">
        <v>40</v>
      </c>
      <c r="J15" s="305">
        <v>491</v>
      </c>
      <c r="K15" s="305">
        <v>486</v>
      </c>
      <c r="L15" s="305">
        <v>1151</v>
      </c>
      <c r="M15" s="305">
        <v>1355</v>
      </c>
      <c r="N15" s="305">
        <v>1614</v>
      </c>
      <c r="O15" s="303"/>
      <c r="P15" s="303"/>
      <c r="Q15" s="303"/>
      <c r="R15" s="303"/>
      <c r="S15" s="52"/>
      <c r="T15" s="52"/>
      <c r="U15" s="52"/>
      <c r="V15" s="52"/>
      <c r="W15" s="52"/>
      <c r="X15" s="52"/>
      <c r="Y15" s="52"/>
      <c r="Z15" s="52"/>
    </row>
    <row r="16" spans="1:26">
      <c r="A16" s="89" t="s">
        <v>13</v>
      </c>
      <c r="B16" s="305">
        <v>30</v>
      </c>
      <c r="C16" s="305">
        <v>645</v>
      </c>
      <c r="D16" s="305">
        <v>-145</v>
      </c>
      <c r="E16" s="305">
        <v>-61</v>
      </c>
      <c r="F16" s="305">
        <v>-29</v>
      </c>
      <c r="G16" s="281"/>
      <c r="H16" s="281"/>
      <c r="I16" s="89" t="s">
        <v>41</v>
      </c>
      <c r="J16" s="305">
        <v>4960</v>
      </c>
      <c r="K16" s="305">
        <v>7662</v>
      </c>
      <c r="L16" s="305">
        <v>7522</v>
      </c>
      <c r="M16" s="305">
        <v>7660</v>
      </c>
      <c r="N16" s="305">
        <v>9193</v>
      </c>
      <c r="O16" s="303"/>
      <c r="P16" s="303"/>
      <c r="Q16" s="303"/>
      <c r="R16" s="303"/>
      <c r="S16" s="52"/>
      <c r="T16" s="52"/>
      <c r="U16" s="52"/>
      <c r="V16" s="52"/>
      <c r="W16" s="52"/>
      <c r="X16" s="52"/>
      <c r="Y16" s="52"/>
      <c r="Z16" s="52"/>
    </row>
    <row r="17" spans="1:26">
      <c r="A17" s="89" t="s">
        <v>14</v>
      </c>
      <c r="B17" s="305">
        <v>-380</v>
      </c>
      <c r="C17" s="305">
        <v>-431</v>
      </c>
      <c r="D17" s="305">
        <v>-471</v>
      </c>
      <c r="E17" s="305">
        <v>-575</v>
      </c>
      <c r="F17" s="305">
        <v>-646</v>
      </c>
      <c r="G17" s="301"/>
      <c r="H17" s="281"/>
      <c r="I17" s="89" t="s">
        <v>42</v>
      </c>
      <c r="J17" s="305">
        <v>1753</v>
      </c>
      <c r="K17" s="305">
        <v>3671</v>
      </c>
      <c r="L17" s="305">
        <v>3859</v>
      </c>
      <c r="M17" s="305">
        <v>4086</v>
      </c>
      <c r="N17" s="305">
        <v>5453</v>
      </c>
      <c r="O17" s="303"/>
      <c r="P17" s="303"/>
      <c r="Q17" s="303"/>
      <c r="R17" s="303"/>
      <c r="S17" s="52"/>
      <c r="T17" s="52"/>
      <c r="U17" s="52"/>
      <c r="V17" s="52"/>
      <c r="W17" s="52"/>
      <c r="X17" s="52"/>
      <c r="Y17" s="52"/>
      <c r="Z17" s="52"/>
    </row>
    <row r="18" spans="1:26">
      <c r="A18" s="89" t="s">
        <v>15</v>
      </c>
      <c r="B18" s="305">
        <v>5</v>
      </c>
      <c r="C18" s="305">
        <v>0</v>
      </c>
      <c r="D18" s="305">
        <v>23</v>
      </c>
      <c r="E18" s="305">
        <v>-7</v>
      </c>
      <c r="F18" s="305">
        <v>20</v>
      </c>
      <c r="G18" s="281"/>
      <c r="H18" s="281"/>
      <c r="I18" s="89" t="s">
        <v>43</v>
      </c>
      <c r="J18" s="305">
        <v>5365</v>
      </c>
      <c r="K18" s="305">
        <v>6994</v>
      </c>
      <c r="L18" s="305">
        <v>7580</v>
      </c>
      <c r="M18" s="305">
        <v>8325</v>
      </c>
      <c r="N18" s="305">
        <v>9959</v>
      </c>
      <c r="O18" s="303"/>
      <c r="P18" s="303"/>
      <c r="Q18" s="303"/>
      <c r="R18" s="303"/>
      <c r="S18" s="52"/>
      <c r="T18" s="52"/>
      <c r="U18" s="52"/>
      <c r="V18" s="52"/>
      <c r="W18" s="52"/>
      <c r="X18" s="52"/>
      <c r="Y18" s="52"/>
      <c r="Z18" s="52"/>
    </row>
    <row r="19" spans="1:26">
      <c r="A19" s="89" t="s">
        <v>16</v>
      </c>
      <c r="B19" s="305">
        <v>-321</v>
      </c>
      <c r="C19" s="305">
        <v>225</v>
      </c>
      <c r="D19" s="305">
        <v>-532</v>
      </c>
      <c r="E19" s="305">
        <v>-369</v>
      </c>
      <c r="F19" s="305">
        <v>-328</v>
      </c>
      <c r="G19" s="281"/>
      <c r="H19" s="281"/>
      <c r="I19" s="89" t="s">
        <v>44</v>
      </c>
      <c r="J19" s="305">
        <v>33584</v>
      </c>
      <c r="K19" s="305">
        <v>37669</v>
      </c>
      <c r="L19" s="305">
        <v>38724</v>
      </c>
      <c r="M19" s="305">
        <v>42448</v>
      </c>
      <c r="N19" s="305">
        <v>48081</v>
      </c>
      <c r="O19" s="303"/>
      <c r="P19" s="303"/>
      <c r="Q19" s="303"/>
      <c r="R19" s="303"/>
      <c r="S19" s="52"/>
      <c r="T19" s="52"/>
      <c r="U19" s="52"/>
      <c r="V19" s="52"/>
      <c r="W19" s="52"/>
      <c r="X19" s="52"/>
      <c r="Y19" s="52"/>
      <c r="Z19" s="52"/>
    </row>
    <row r="20" spans="1:26">
      <c r="A20" s="89" t="s">
        <v>17</v>
      </c>
      <c r="B20" s="305">
        <v>7760</v>
      </c>
      <c r="C20" s="305">
        <v>10307</v>
      </c>
      <c r="D20" s="305">
        <v>11732</v>
      </c>
      <c r="E20" s="305">
        <v>13639</v>
      </c>
      <c r="F20" s="305">
        <v>15254</v>
      </c>
      <c r="G20" s="281"/>
      <c r="H20" s="281"/>
      <c r="I20" s="89" t="s">
        <v>45</v>
      </c>
      <c r="J20" s="305"/>
      <c r="K20" s="305"/>
      <c r="L20" s="305" t="s">
        <v>26</v>
      </c>
      <c r="M20" s="305" t="s">
        <v>26</v>
      </c>
      <c r="N20" s="305" t="s">
        <v>26</v>
      </c>
      <c r="O20" s="303"/>
      <c r="P20" s="303"/>
      <c r="Q20" s="303"/>
      <c r="R20" s="303"/>
      <c r="S20" s="52"/>
      <c r="T20" s="52"/>
      <c r="U20" s="52"/>
      <c r="V20" s="52"/>
      <c r="W20" s="52"/>
      <c r="X20" s="52"/>
      <c r="Y20" s="52"/>
      <c r="Z20" s="52"/>
    </row>
    <row r="21" spans="1:26">
      <c r="A21" s="89" t="s">
        <v>18</v>
      </c>
      <c r="B21" s="305">
        <v>1349</v>
      </c>
      <c r="C21" s="305">
        <v>1620</v>
      </c>
      <c r="D21" s="305">
        <v>1802</v>
      </c>
      <c r="E21" s="305">
        <v>2444</v>
      </c>
      <c r="F21" s="305">
        <v>2380</v>
      </c>
      <c r="G21" s="281"/>
      <c r="H21" s="281"/>
      <c r="I21" s="89" t="s">
        <v>46</v>
      </c>
      <c r="J21" s="305">
        <v>527</v>
      </c>
      <c r="K21" s="305">
        <v>738</v>
      </c>
      <c r="L21" s="305">
        <v>926</v>
      </c>
      <c r="M21" s="305">
        <v>834</v>
      </c>
      <c r="N21" s="305">
        <v>929</v>
      </c>
      <c r="O21" s="303"/>
      <c r="P21" s="303"/>
      <c r="Q21" s="303"/>
      <c r="R21" s="303"/>
      <c r="S21" s="52"/>
      <c r="T21" s="52"/>
      <c r="U21" s="52"/>
      <c r="V21" s="52"/>
      <c r="W21" s="52"/>
      <c r="X21" s="52"/>
      <c r="Y21" s="52"/>
      <c r="Z21" s="52"/>
    </row>
    <row r="22" spans="1:26">
      <c r="A22" s="89" t="s">
        <v>19</v>
      </c>
      <c r="B22" s="305">
        <v>6411</v>
      </c>
      <c r="C22" s="305">
        <v>8687</v>
      </c>
      <c r="D22" s="305">
        <v>9930</v>
      </c>
      <c r="E22" s="305">
        <v>11195</v>
      </c>
      <c r="F22" s="305">
        <v>12874</v>
      </c>
      <c r="G22" s="281"/>
      <c r="H22" s="281"/>
      <c r="I22" s="89" t="s">
        <v>47</v>
      </c>
      <c r="J22" s="305">
        <v>1475</v>
      </c>
      <c r="K22" s="305">
        <v>913</v>
      </c>
      <c r="L22" s="305">
        <v>1111</v>
      </c>
      <c r="M22" s="305">
        <v>1399</v>
      </c>
      <c r="N22" s="305">
        <v>2316</v>
      </c>
      <c r="O22" s="303"/>
      <c r="P22" s="303"/>
      <c r="Q22" s="303"/>
      <c r="R22" s="303"/>
      <c r="S22" s="52"/>
      <c r="T22" s="52"/>
      <c r="U22" s="52"/>
      <c r="V22" s="52"/>
      <c r="W22" s="52"/>
      <c r="X22" s="52"/>
      <c r="Y22" s="52"/>
      <c r="Z22" s="52"/>
    </row>
    <row r="23" spans="1:26">
      <c r="A23" s="89" t="s">
        <v>20</v>
      </c>
      <c r="B23" s="305">
        <v>6.4</v>
      </c>
      <c r="C23" s="305">
        <v>8.7899999999999991</v>
      </c>
      <c r="D23" s="305">
        <v>10.26</v>
      </c>
      <c r="E23" s="305">
        <v>11.86</v>
      </c>
      <c r="F23" s="305">
        <v>13.91</v>
      </c>
      <c r="G23" s="281"/>
      <c r="H23" s="281"/>
      <c r="I23" s="89" t="s">
        <v>36</v>
      </c>
      <c r="J23" s="305">
        <v>1696</v>
      </c>
      <c r="K23" s="305">
        <v>1873</v>
      </c>
      <c r="L23" s="305">
        <v>1568</v>
      </c>
      <c r="M23" s="305">
        <v>1845</v>
      </c>
      <c r="N23" s="305">
        <v>1874</v>
      </c>
      <c r="O23" s="303"/>
      <c r="P23" s="303"/>
      <c r="Q23" s="303"/>
      <c r="R23" s="303"/>
      <c r="S23" s="52"/>
      <c r="T23" s="52"/>
      <c r="U23" s="52"/>
      <c r="V23" s="52"/>
      <c r="W23" s="52"/>
      <c r="X23" s="52"/>
      <c r="Y23" s="52"/>
      <c r="Z23" s="52"/>
    </row>
    <row r="24" spans="1:26">
      <c r="A24" s="89" t="s">
        <v>21</v>
      </c>
      <c r="B24" s="305">
        <v>1002</v>
      </c>
      <c r="C24" s="305">
        <v>988</v>
      </c>
      <c r="D24" s="305">
        <v>968</v>
      </c>
      <c r="E24" s="305">
        <v>944</v>
      </c>
      <c r="F24" s="305">
        <v>925</v>
      </c>
      <c r="G24" s="281"/>
      <c r="H24" s="281"/>
      <c r="I24" s="89" t="s">
        <v>48</v>
      </c>
      <c r="J24" s="305">
        <v>842</v>
      </c>
      <c r="K24" s="305">
        <v>840</v>
      </c>
      <c r="L24" s="305">
        <v>1094</v>
      </c>
      <c r="M24" s="305">
        <v>723</v>
      </c>
      <c r="N24" s="305">
        <v>930</v>
      </c>
      <c r="O24" s="303"/>
      <c r="P24" s="303"/>
      <c r="Q24" s="303"/>
      <c r="R24" s="303"/>
      <c r="S24" s="52"/>
      <c r="T24" s="52"/>
      <c r="U24" s="52"/>
      <c r="V24" s="52"/>
      <c r="W24" s="52"/>
      <c r="X24" s="52"/>
      <c r="Y24" s="52"/>
      <c r="Z24" s="52"/>
    </row>
    <row r="25" spans="1:26">
      <c r="A25" s="89" t="s">
        <v>22</v>
      </c>
      <c r="B25" s="305">
        <v>6.37</v>
      </c>
      <c r="C25" s="305">
        <v>8.76</v>
      </c>
      <c r="D25" s="305">
        <v>10.220000000000001</v>
      </c>
      <c r="E25" s="305">
        <v>11.83</v>
      </c>
      <c r="F25" s="305">
        <v>13.89</v>
      </c>
      <c r="G25" s="281"/>
      <c r="H25" s="281"/>
      <c r="I25" s="89" t="s">
        <v>49</v>
      </c>
      <c r="J25" s="305">
        <v>5430</v>
      </c>
      <c r="K25" s="305">
        <v>6642</v>
      </c>
      <c r="L25" s="305">
        <v>7801</v>
      </c>
      <c r="M25" s="305">
        <v>8517</v>
      </c>
      <c r="N25" s="305">
        <v>10393</v>
      </c>
      <c r="O25" s="303"/>
      <c r="P25" s="303"/>
      <c r="Q25" s="303"/>
      <c r="R25" s="303"/>
      <c r="S25" s="52"/>
      <c r="T25" s="52"/>
      <c r="U25" s="52"/>
      <c r="V25" s="52"/>
      <c r="W25" s="52"/>
      <c r="X25" s="52"/>
      <c r="Y25" s="52"/>
      <c r="Z25" s="52"/>
    </row>
    <row r="26" spans="1:26">
      <c r="A26" s="89" t="s">
        <v>23</v>
      </c>
      <c r="B26" s="305">
        <v>1006</v>
      </c>
      <c r="C26" s="305">
        <v>992</v>
      </c>
      <c r="D26" s="305">
        <v>971</v>
      </c>
      <c r="E26" s="305">
        <v>946</v>
      </c>
      <c r="F26" s="305">
        <v>927</v>
      </c>
      <c r="G26" s="281"/>
      <c r="H26" s="281"/>
      <c r="I26" s="89" t="s">
        <v>50</v>
      </c>
      <c r="J26" s="305">
        <v>649</v>
      </c>
      <c r="K26" s="305">
        <v>792</v>
      </c>
      <c r="L26" s="305">
        <v>274</v>
      </c>
      <c r="M26" s="305">
        <v>1337</v>
      </c>
      <c r="N26" s="305">
        <v>750</v>
      </c>
      <c r="O26" s="303"/>
      <c r="P26" s="303"/>
      <c r="Q26" s="303"/>
      <c r="R26" s="303"/>
      <c r="S26" s="52"/>
      <c r="T26" s="52"/>
      <c r="U26" s="52"/>
      <c r="V26" s="52"/>
      <c r="W26" s="52"/>
      <c r="X26" s="52"/>
      <c r="Y26" s="52"/>
      <c r="Z26" s="52"/>
    </row>
    <row r="27" spans="1:26">
      <c r="A27" s="89"/>
      <c r="B27" s="305"/>
      <c r="C27" s="305"/>
      <c r="D27" s="305"/>
      <c r="E27" s="305"/>
      <c r="F27" s="305"/>
      <c r="G27" s="281"/>
      <c r="H27" s="281"/>
      <c r="I27" s="89" t="s">
        <v>51</v>
      </c>
      <c r="J27" s="305">
        <v>1228</v>
      </c>
      <c r="K27" s="305">
        <v>1364</v>
      </c>
      <c r="L27" s="305">
        <v>1397</v>
      </c>
      <c r="M27" s="305">
        <v>1609</v>
      </c>
      <c r="N27" s="305">
        <v>2028</v>
      </c>
      <c r="O27" s="303"/>
      <c r="P27" s="303"/>
      <c r="Q27" s="303"/>
      <c r="R27" s="303"/>
      <c r="S27" s="52"/>
      <c r="T27" s="52"/>
      <c r="U27" s="52"/>
      <c r="V27" s="52"/>
      <c r="W27" s="52"/>
      <c r="X27" s="52"/>
      <c r="Y27" s="52"/>
      <c r="Z27" s="52"/>
    </row>
    <row r="28" spans="1:26">
      <c r="A28" s="89"/>
      <c r="B28" s="305"/>
      <c r="C28" s="305"/>
      <c r="D28" s="305"/>
      <c r="E28" s="305"/>
      <c r="F28" s="305"/>
      <c r="G28" s="281"/>
      <c r="H28" s="281"/>
      <c r="I28" s="89" t="s">
        <v>52</v>
      </c>
      <c r="J28" s="305">
        <v>11847</v>
      </c>
      <c r="K28" s="305">
        <v>13162</v>
      </c>
      <c r="L28" s="305">
        <v>14171</v>
      </c>
      <c r="M28" s="305">
        <v>16264</v>
      </c>
      <c r="N28" s="305">
        <v>19220</v>
      </c>
      <c r="O28" s="303"/>
      <c r="P28" s="303"/>
      <c r="Q28" s="303"/>
      <c r="R28" s="303"/>
      <c r="S28" s="52"/>
      <c r="T28" s="52"/>
      <c r="U28" s="52"/>
      <c r="V28" s="52"/>
      <c r="W28" s="52"/>
      <c r="X28" s="52"/>
      <c r="Y28" s="52"/>
      <c r="Z28" s="52"/>
    </row>
    <row r="29" spans="1:26">
      <c r="A29" s="202" t="s">
        <v>1425</v>
      </c>
      <c r="B29" s="305"/>
      <c r="C29" s="305"/>
      <c r="D29" s="305"/>
      <c r="E29" s="305"/>
      <c r="F29" s="305"/>
      <c r="G29" s="281"/>
      <c r="H29" s="281"/>
      <c r="I29" s="89" t="s">
        <v>53</v>
      </c>
      <c r="J29" s="305">
        <v>12023</v>
      </c>
      <c r="K29" s="305">
        <v>13109</v>
      </c>
      <c r="L29" s="305">
        <v>13749</v>
      </c>
      <c r="M29" s="305">
        <v>14344</v>
      </c>
      <c r="N29" s="305">
        <v>17476</v>
      </c>
      <c r="O29" s="303"/>
      <c r="P29" s="303"/>
      <c r="Q29" s="303"/>
      <c r="R29" s="303"/>
      <c r="S29" s="52"/>
      <c r="T29" s="52"/>
      <c r="U29" s="52"/>
      <c r="V29" s="52"/>
      <c r="W29" s="52"/>
      <c r="X29" s="52"/>
      <c r="Y29" s="52"/>
      <c r="Z29" s="52"/>
    </row>
    <row r="30" spans="1:26">
      <c r="A30" s="89"/>
      <c r="B30" s="305"/>
      <c r="C30" s="305"/>
      <c r="D30" s="305"/>
      <c r="E30" s="305"/>
      <c r="F30" s="305"/>
      <c r="G30" s="281"/>
      <c r="H30" s="281"/>
      <c r="I30" s="89" t="s">
        <v>40</v>
      </c>
      <c r="J30" s="305">
        <v>86</v>
      </c>
      <c r="K30" s="305">
        <v>395</v>
      </c>
      <c r="L30" s="305">
        <v>393</v>
      </c>
      <c r="M30" s="305">
        <v>369</v>
      </c>
      <c r="N30" s="305">
        <v>317</v>
      </c>
      <c r="O30" s="303"/>
      <c r="P30" s="303"/>
      <c r="Q30" s="303"/>
      <c r="R30" s="303"/>
      <c r="S30" s="52"/>
      <c r="T30" s="52"/>
      <c r="U30" s="52"/>
      <c r="V30" s="52"/>
      <c r="W30" s="52"/>
      <c r="X30" s="52"/>
      <c r="Y30" s="52"/>
      <c r="Z30" s="52"/>
    </row>
    <row r="31" spans="1:26">
      <c r="A31" s="89"/>
      <c r="B31" s="305"/>
      <c r="C31" s="305"/>
      <c r="D31" s="305"/>
      <c r="E31" s="305"/>
      <c r="F31" s="305"/>
      <c r="G31" s="281"/>
      <c r="H31" s="281"/>
      <c r="I31" s="89" t="s">
        <v>54</v>
      </c>
      <c r="J31" s="305">
        <v>3111</v>
      </c>
      <c r="K31" s="305">
        <v>3591</v>
      </c>
      <c r="L31" s="305">
        <v>4034</v>
      </c>
      <c r="M31" s="305">
        <v>4474</v>
      </c>
      <c r="N31" s="305">
        <v>4553</v>
      </c>
      <c r="O31" s="303"/>
      <c r="P31" s="303"/>
      <c r="Q31" s="303"/>
      <c r="R31" s="303"/>
      <c r="S31" s="52"/>
      <c r="T31" s="52"/>
      <c r="U31" s="52"/>
      <c r="V31" s="52"/>
      <c r="W31" s="52"/>
      <c r="X31" s="52"/>
      <c r="Y31" s="52"/>
      <c r="Z31" s="52"/>
    </row>
    <row r="32" spans="1:26">
      <c r="A32" s="89"/>
      <c r="B32" s="305"/>
      <c r="C32" s="305"/>
      <c r="D32" s="305"/>
      <c r="E32" s="305"/>
      <c r="F32" s="305"/>
      <c r="G32" s="281"/>
      <c r="H32" s="281"/>
      <c r="I32" s="89" t="s">
        <v>55</v>
      </c>
      <c r="J32" s="305">
        <v>27067</v>
      </c>
      <c r="K32" s="305">
        <v>30257</v>
      </c>
      <c r="L32" s="305">
        <v>32347</v>
      </c>
      <c r="M32" s="305">
        <v>35451</v>
      </c>
      <c r="N32" s="305">
        <v>41566</v>
      </c>
      <c r="O32" s="303"/>
      <c r="P32" s="303"/>
      <c r="Q32" s="303"/>
      <c r="R32" s="303"/>
      <c r="S32" s="52"/>
      <c r="T32" s="52"/>
      <c r="U32" s="52"/>
      <c r="V32" s="52"/>
      <c r="W32" s="52"/>
      <c r="X32" s="52"/>
      <c r="Y32" s="52"/>
      <c r="Z32" s="52"/>
    </row>
    <row r="33" spans="1:26">
      <c r="A33" s="89"/>
      <c r="B33" s="305"/>
      <c r="C33" s="305"/>
      <c r="D33" s="305"/>
      <c r="E33" s="305"/>
      <c r="F33" s="305"/>
      <c r="G33" s="281"/>
      <c r="H33" s="281"/>
      <c r="I33" s="89" t="s">
        <v>56</v>
      </c>
      <c r="J33" s="305" t="s">
        <v>70</v>
      </c>
      <c r="K33" s="305" t="s">
        <v>70</v>
      </c>
      <c r="L33" s="305" t="s">
        <v>70</v>
      </c>
      <c r="M33" s="305" t="s">
        <v>70</v>
      </c>
      <c r="N33" s="305" t="s">
        <v>70</v>
      </c>
      <c r="O33" s="303"/>
      <c r="P33" s="303"/>
      <c r="Q33" s="303"/>
      <c r="R33" s="303"/>
      <c r="S33" s="52"/>
      <c r="T33" s="52"/>
      <c r="U33" s="52"/>
      <c r="V33" s="52"/>
      <c r="W33" s="52"/>
      <c r="X33" s="52"/>
      <c r="Y33" s="52"/>
      <c r="Z33" s="52"/>
    </row>
    <row r="34" spans="1:26">
      <c r="A34" s="89"/>
      <c r="B34" s="305"/>
      <c r="C34" s="305"/>
      <c r="D34" s="305"/>
      <c r="E34" s="305"/>
      <c r="F34" s="305"/>
      <c r="G34" s="281"/>
      <c r="H34" s="281"/>
      <c r="I34" s="89" t="s">
        <v>57</v>
      </c>
      <c r="J34" s="305">
        <v>29</v>
      </c>
      <c r="K34" s="305">
        <v>29</v>
      </c>
      <c r="L34" s="305">
        <v>21</v>
      </c>
      <c r="M34" s="305">
        <v>22</v>
      </c>
      <c r="N34" s="305">
        <v>0</v>
      </c>
      <c r="O34" s="303"/>
      <c r="P34" s="303"/>
      <c r="Q34" s="303"/>
      <c r="R34" s="303"/>
      <c r="S34" s="52"/>
      <c r="T34" s="52"/>
      <c r="U34" s="52"/>
      <c r="V34" s="52"/>
      <c r="W34" s="52"/>
      <c r="X34" s="52"/>
      <c r="Y34" s="52"/>
      <c r="Z34" s="52"/>
    </row>
    <row r="35" spans="1:26">
      <c r="A35" s="89"/>
      <c r="B35" s="305"/>
      <c r="C35" s="305"/>
      <c r="D35" s="305"/>
      <c r="E35" s="305"/>
      <c r="F35" s="305"/>
      <c r="G35" s="281"/>
      <c r="H35" s="281"/>
      <c r="I35" s="89" t="s">
        <v>58</v>
      </c>
      <c r="J35" s="305"/>
      <c r="K35" s="305"/>
      <c r="L35" s="305" t="s">
        <v>26</v>
      </c>
      <c r="M35" s="305" t="s">
        <v>26</v>
      </c>
      <c r="N35" s="305" t="s">
        <v>26</v>
      </c>
      <c r="O35" s="303"/>
      <c r="P35" s="303"/>
      <c r="Q35" s="303"/>
      <c r="R35" s="303"/>
      <c r="S35" s="52"/>
      <c r="T35" s="52"/>
      <c r="U35" s="52"/>
      <c r="V35" s="52"/>
      <c r="W35" s="52"/>
      <c r="X35" s="52"/>
      <c r="Y35" s="52"/>
      <c r="Z35" s="52"/>
    </row>
    <row r="36" spans="1:26">
      <c r="A36" s="89"/>
      <c r="B36" s="305"/>
      <c r="C36" s="305"/>
      <c r="D36" s="305"/>
      <c r="E36" s="305"/>
      <c r="F36" s="305"/>
      <c r="G36" s="281"/>
      <c r="H36" s="281"/>
      <c r="I36" s="89" t="s">
        <v>59</v>
      </c>
      <c r="J36" s="305">
        <v>4982</v>
      </c>
      <c r="K36" s="305">
        <v>5061</v>
      </c>
      <c r="L36" s="305">
        <v>5298</v>
      </c>
      <c r="M36" s="305">
        <v>5893</v>
      </c>
      <c r="N36" s="305">
        <v>6442</v>
      </c>
      <c r="O36" s="303"/>
      <c r="P36" s="303"/>
      <c r="Q36" s="303"/>
      <c r="R36" s="303"/>
      <c r="S36" s="52"/>
      <c r="T36" s="52"/>
      <c r="U36" s="52"/>
      <c r="V36" s="52"/>
      <c r="W36" s="52"/>
      <c r="X36" s="52"/>
      <c r="Y36" s="52"/>
      <c r="Z36" s="52"/>
    </row>
    <row r="37" spans="1:26">
      <c r="A37" s="89"/>
      <c r="B37" s="305"/>
      <c r="C37" s="305"/>
      <c r="D37" s="305"/>
      <c r="E37" s="305"/>
      <c r="F37" s="305"/>
      <c r="G37" s="281"/>
      <c r="H37" s="281"/>
      <c r="I37" s="89" t="s">
        <v>60</v>
      </c>
      <c r="J37" s="305">
        <v>-36658</v>
      </c>
      <c r="K37" s="305">
        <v>-42588</v>
      </c>
      <c r="L37" s="305">
        <v>-51354</v>
      </c>
      <c r="M37" s="305">
        <v>-60429</v>
      </c>
      <c r="N37" s="305">
        <v>-71431</v>
      </c>
      <c r="O37" s="303"/>
      <c r="P37" s="303"/>
      <c r="Q37" s="303"/>
      <c r="R37" s="303"/>
      <c r="S37" s="52"/>
      <c r="T37" s="52"/>
      <c r="U37" s="52"/>
      <c r="V37" s="52"/>
      <c r="W37" s="52"/>
      <c r="X37" s="52"/>
      <c r="Y37" s="52"/>
      <c r="Z37" s="52"/>
    </row>
    <row r="38" spans="1:26">
      <c r="A38" s="89"/>
      <c r="B38" s="305"/>
      <c r="C38" s="305"/>
      <c r="D38" s="305"/>
      <c r="E38" s="305"/>
      <c r="F38" s="305"/>
      <c r="G38" s="281"/>
      <c r="H38" s="281"/>
      <c r="I38" s="89" t="s">
        <v>61</v>
      </c>
      <c r="J38" s="305">
        <v>38747</v>
      </c>
      <c r="K38" s="305">
        <v>45648</v>
      </c>
      <c r="L38" s="305">
        <v>53607</v>
      </c>
      <c r="M38" s="305">
        <v>62564</v>
      </c>
      <c r="N38" s="305">
        <v>72907</v>
      </c>
      <c r="O38" s="303"/>
      <c r="P38" s="303"/>
      <c r="Q38" s="303"/>
      <c r="R38" s="303"/>
      <c r="S38" s="52"/>
      <c r="T38" s="52"/>
      <c r="U38" s="52"/>
      <c r="V38" s="52"/>
      <c r="W38" s="52"/>
      <c r="X38" s="52"/>
      <c r="Y38" s="52"/>
      <c r="Z38" s="52"/>
    </row>
    <row r="39" spans="1:26">
      <c r="A39" s="89"/>
      <c r="B39" s="305"/>
      <c r="C39" s="305"/>
      <c r="D39" s="305"/>
      <c r="E39" s="305"/>
      <c r="F39" s="305"/>
      <c r="G39" s="281"/>
      <c r="H39" s="281"/>
      <c r="I39" s="89" t="s">
        <v>62</v>
      </c>
      <c r="J39" s="305">
        <v>-680</v>
      </c>
      <c r="K39" s="305">
        <v>-809</v>
      </c>
      <c r="L39" s="305">
        <v>-1253</v>
      </c>
      <c r="M39" s="305">
        <v>-1099</v>
      </c>
      <c r="N39" s="305">
        <v>-1433</v>
      </c>
      <c r="O39" s="303"/>
      <c r="P39" s="303"/>
      <c r="Q39" s="303"/>
      <c r="R39" s="303"/>
      <c r="S39" s="52"/>
      <c r="T39" s="52"/>
      <c r="U39" s="52"/>
      <c r="V39" s="52"/>
      <c r="W39" s="52"/>
      <c r="X39" s="52"/>
      <c r="Y39" s="52"/>
      <c r="Z39" s="52"/>
    </row>
    <row r="40" spans="1:26">
      <c r="A40" s="89"/>
      <c r="B40" s="305"/>
      <c r="C40" s="305"/>
      <c r="D40" s="305"/>
      <c r="E40" s="305"/>
      <c r="F40" s="305"/>
      <c r="G40" s="281"/>
      <c r="H40" s="281"/>
      <c r="I40" s="89" t="s">
        <v>63</v>
      </c>
      <c r="J40" s="305">
        <v>6391</v>
      </c>
      <c r="K40" s="305">
        <v>7312</v>
      </c>
      <c r="L40" s="305">
        <v>6298</v>
      </c>
      <c r="M40" s="305">
        <v>6929</v>
      </c>
      <c r="N40" s="305">
        <v>6485</v>
      </c>
      <c r="O40" s="303"/>
      <c r="P40" s="303"/>
      <c r="Q40" s="303"/>
      <c r="R40" s="303"/>
      <c r="S40" s="52"/>
      <c r="T40" s="52"/>
      <c r="U40" s="52"/>
      <c r="V40" s="52"/>
      <c r="W40" s="52"/>
      <c r="X40" s="52"/>
      <c r="Y40" s="52"/>
      <c r="Z40" s="52"/>
    </row>
    <row r="41" spans="1:26">
      <c r="A41" s="89"/>
      <c r="B41" s="305"/>
      <c r="C41" s="305"/>
      <c r="D41" s="305"/>
      <c r="E41" s="305"/>
      <c r="F41" s="305"/>
      <c r="G41" s="281"/>
      <c r="H41" s="281"/>
      <c r="I41" s="89" t="s">
        <v>64</v>
      </c>
      <c r="J41" s="305">
        <v>97</v>
      </c>
      <c r="K41" s="305">
        <v>71</v>
      </c>
      <c r="L41" s="305">
        <v>58</v>
      </c>
      <c r="M41" s="305">
        <v>46</v>
      </c>
      <c r="N41" s="305">
        <v>30</v>
      </c>
      <c r="O41" s="303"/>
      <c r="P41" s="303"/>
      <c r="Q41" s="303"/>
      <c r="R41" s="303"/>
      <c r="S41" s="52"/>
      <c r="T41" s="52"/>
      <c r="U41" s="52"/>
      <c r="V41" s="52"/>
      <c r="W41" s="52"/>
      <c r="X41" s="52"/>
      <c r="Y41" s="52"/>
      <c r="Z41" s="52"/>
    </row>
    <row r="42" spans="1:26">
      <c r="A42" s="89"/>
      <c r="B42" s="305"/>
      <c r="C42" s="305"/>
      <c r="D42" s="305"/>
      <c r="E42" s="305"/>
      <c r="F42" s="305"/>
      <c r="G42" s="281"/>
      <c r="H42" s="281"/>
      <c r="I42" s="89" t="s">
        <v>65</v>
      </c>
      <c r="J42" s="305">
        <v>6488</v>
      </c>
      <c r="K42" s="305">
        <v>7383</v>
      </c>
      <c r="L42" s="305">
        <v>6356</v>
      </c>
      <c r="M42" s="305">
        <v>6975</v>
      </c>
      <c r="N42" s="305">
        <v>6515</v>
      </c>
      <c r="O42" s="303"/>
      <c r="P42" s="303"/>
      <c r="Q42" s="303"/>
      <c r="R42" s="303"/>
      <c r="S42" s="52"/>
      <c r="T42" s="52"/>
      <c r="U42" s="52"/>
      <c r="V42" s="52"/>
      <c r="W42" s="52"/>
      <c r="X42" s="52"/>
      <c r="Y42" s="52"/>
      <c r="Z42" s="52"/>
    </row>
    <row r="43" spans="1:26">
      <c r="A43" s="89"/>
      <c r="B43" s="305"/>
      <c r="C43" s="305"/>
      <c r="D43" s="305"/>
      <c r="E43" s="305"/>
      <c r="F43" s="305"/>
      <c r="G43" s="281"/>
      <c r="H43" s="281"/>
      <c r="I43" s="89" t="s">
        <v>66</v>
      </c>
      <c r="J43" s="305">
        <v>33584</v>
      </c>
      <c r="K43" s="305">
        <v>37669</v>
      </c>
      <c r="L43" s="305">
        <v>38724</v>
      </c>
      <c r="M43" s="305">
        <v>42448</v>
      </c>
      <c r="N43" s="305">
        <v>48081</v>
      </c>
      <c r="O43" s="303"/>
      <c r="P43" s="303"/>
      <c r="Q43" s="303"/>
      <c r="R43" s="303"/>
      <c r="S43" s="52"/>
      <c r="T43" s="52"/>
      <c r="U43" s="52"/>
      <c r="V43" s="52"/>
      <c r="W43" s="52"/>
      <c r="X43" s="52"/>
      <c r="Y43" s="52"/>
      <c r="Z43" s="52"/>
    </row>
    <row r="44" spans="1:26">
      <c r="A44" s="89"/>
      <c r="B44" s="305"/>
      <c r="C44" s="305"/>
      <c r="D44" s="305"/>
      <c r="E44" s="305"/>
      <c r="F44" s="305"/>
      <c r="G44" s="281"/>
      <c r="H44" s="281"/>
      <c r="I44" s="89" t="s">
        <v>67</v>
      </c>
      <c r="J44" s="305"/>
      <c r="K44" s="305"/>
      <c r="L44" s="305" t="s">
        <v>26</v>
      </c>
      <c r="M44" s="305" t="s">
        <v>26</v>
      </c>
      <c r="N44" s="305" t="s">
        <v>26</v>
      </c>
      <c r="O44" s="303"/>
      <c r="P44" s="303"/>
      <c r="Q44" s="303"/>
      <c r="R44" s="303"/>
      <c r="S44" s="52"/>
      <c r="T44" s="52"/>
      <c r="U44" s="52"/>
      <c r="V44" s="52"/>
      <c r="W44" s="52"/>
      <c r="X44" s="52"/>
      <c r="Y44" s="52"/>
      <c r="Z44" s="52"/>
    </row>
    <row r="45" spans="1:26">
      <c r="A45" s="89"/>
      <c r="B45" s="305"/>
      <c r="C45" s="305"/>
      <c r="D45" s="305"/>
      <c r="E45" s="305"/>
      <c r="F45" s="305"/>
      <c r="G45" s="281"/>
      <c r="H45" s="281"/>
      <c r="I45" s="89" t="s">
        <v>58</v>
      </c>
      <c r="J45" s="305"/>
      <c r="K45" s="305"/>
      <c r="L45" s="305" t="s">
        <v>26</v>
      </c>
      <c r="M45" s="305" t="s">
        <v>26</v>
      </c>
      <c r="N45" s="305" t="s">
        <v>26</v>
      </c>
      <c r="O45" s="303"/>
      <c r="P45" s="303"/>
      <c r="Q45" s="303"/>
      <c r="R45" s="303"/>
      <c r="S45" s="52"/>
      <c r="T45" s="52"/>
      <c r="U45" s="52"/>
      <c r="V45" s="52"/>
      <c r="W45" s="52"/>
      <c r="X45" s="52"/>
      <c r="Y45" s="52"/>
      <c r="Z45" s="52"/>
    </row>
    <row r="46" spans="1:26">
      <c r="A46" s="89"/>
      <c r="B46" s="305"/>
      <c r="C46" s="305"/>
      <c r="D46" s="305"/>
      <c r="E46" s="305"/>
      <c r="F46" s="305"/>
      <c r="G46" s="281"/>
      <c r="H46" s="281"/>
      <c r="I46" s="89" t="s">
        <v>68</v>
      </c>
      <c r="J46" s="305">
        <v>0</v>
      </c>
      <c r="K46" s="305">
        <v>0</v>
      </c>
      <c r="L46" s="305">
        <v>0</v>
      </c>
      <c r="M46" s="305">
        <v>0</v>
      </c>
      <c r="N46" s="305">
        <v>0</v>
      </c>
      <c r="O46" s="303"/>
      <c r="P46" s="303"/>
      <c r="Q46" s="303"/>
      <c r="R46" s="303"/>
      <c r="S46" s="52"/>
      <c r="T46" s="52"/>
      <c r="U46" s="52"/>
      <c r="V46" s="52"/>
      <c r="W46" s="52"/>
      <c r="X46" s="52"/>
      <c r="Y46" s="52"/>
      <c r="Z46" s="52"/>
    </row>
    <row r="47" spans="1:26">
      <c r="A47" s="89"/>
      <c r="B47" s="305"/>
      <c r="C47" s="305"/>
      <c r="D47" s="305"/>
      <c r="E47" s="305"/>
      <c r="F47" s="305"/>
      <c r="G47" s="281"/>
      <c r="H47" s="281"/>
      <c r="I47" s="89" t="s">
        <v>69</v>
      </c>
      <c r="J47" s="305"/>
      <c r="K47" s="305"/>
      <c r="L47" s="305" t="s">
        <v>26</v>
      </c>
      <c r="M47" s="305" t="s">
        <v>26</v>
      </c>
      <c r="N47" s="305" t="s">
        <v>26</v>
      </c>
      <c r="O47" s="303"/>
      <c r="P47" s="303"/>
      <c r="Q47" s="303"/>
      <c r="R47" s="303"/>
      <c r="S47" s="52"/>
      <c r="T47" s="52"/>
      <c r="U47" s="52"/>
      <c r="V47" s="52"/>
      <c r="W47" s="52"/>
      <c r="X47" s="52"/>
      <c r="Y47" s="52"/>
      <c r="Z47" s="52"/>
    </row>
    <row r="48" spans="1:26">
      <c r="A48" s="89"/>
      <c r="B48" s="305"/>
      <c r="C48" s="305"/>
      <c r="D48" s="305"/>
      <c r="E48" s="305"/>
      <c r="F48" s="305"/>
      <c r="G48" s="281"/>
      <c r="H48" s="281"/>
      <c r="I48" s="89" t="s">
        <v>58</v>
      </c>
      <c r="J48" s="305"/>
      <c r="K48" s="305"/>
      <c r="L48" s="305" t="s">
        <v>26</v>
      </c>
      <c r="M48" s="305" t="s">
        <v>26</v>
      </c>
      <c r="N48" s="305" t="s">
        <v>26</v>
      </c>
      <c r="O48" s="303"/>
      <c r="P48" s="303"/>
      <c r="Q48" s="303"/>
      <c r="R48" s="303"/>
      <c r="S48" s="52"/>
      <c r="T48" s="52"/>
      <c r="U48" s="52"/>
      <c r="V48" s="52"/>
      <c r="W48" s="52"/>
      <c r="X48" s="52"/>
      <c r="Y48" s="52"/>
      <c r="Z48" s="52"/>
    </row>
    <row r="49" spans="1:26">
      <c r="A49" s="89"/>
      <c r="B49" s="305"/>
      <c r="C49" s="305"/>
      <c r="D49" s="305"/>
      <c r="E49" s="305"/>
      <c r="F49" s="305"/>
      <c r="G49" s="281"/>
      <c r="H49" s="281"/>
      <c r="I49" s="89" t="s">
        <v>68</v>
      </c>
      <c r="J49" s="305">
        <v>0</v>
      </c>
      <c r="K49" s="305">
        <v>0</v>
      </c>
      <c r="L49" s="305">
        <v>0</v>
      </c>
      <c r="M49" s="305">
        <v>0</v>
      </c>
      <c r="N49" s="305">
        <v>0</v>
      </c>
      <c r="O49" s="303"/>
      <c r="P49" s="303"/>
      <c r="Q49" s="303"/>
      <c r="R49" s="303"/>
      <c r="S49" s="52"/>
      <c r="T49" s="52"/>
      <c r="U49" s="52"/>
      <c r="V49" s="52"/>
      <c r="W49" s="52"/>
      <c r="X49" s="52"/>
      <c r="Y49" s="52"/>
      <c r="Z49" s="52"/>
    </row>
    <row r="50" spans="1:26">
      <c r="A50" s="89"/>
      <c r="B50" s="305"/>
      <c r="C50" s="305"/>
      <c r="D50" s="305"/>
      <c r="E50" s="305"/>
      <c r="F50" s="305"/>
      <c r="G50" s="281"/>
      <c r="H50" s="281"/>
      <c r="I50" s="202" t="s">
        <v>1425</v>
      </c>
      <c r="J50" s="305"/>
      <c r="K50" s="305"/>
      <c r="L50" s="305"/>
      <c r="M50" s="305"/>
      <c r="N50" s="305"/>
      <c r="O50" s="303"/>
      <c r="P50" s="303"/>
      <c r="Q50" s="303"/>
      <c r="R50" s="303"/>
      <c r="S50" s="52"/>
      <c r="T50" s="52"/>
      <c r="U50" s="52"/>
      <c r="V50" s="52"/>
      <c r="W50" s="52"/>
      <c r="X50" s="52"/>
      <c r="Y50" s="52"/>
      <c r="Z50" s="52"/>
    </row>
    <row r="51" spans="1:26">
      <c r="A51" s="192" t="s">
        <v>542</v>
      </c>
      <c r="B51" s="305"/>
      <c r="C51" s="305"/>
      <c r="D51" s="305"/>
      <c r="E51" s="305"/>
      <c r="F51" s="305"/>
      <c r="G51" s="281"/>
      <c r="H51" s="281"/>
      <c r="I51" s="192" t="s">
        <v>972</v>
      </c>
      <c r="J51" s="305"/>
      <c r="K51" s="305" t="s">
        <v>520</v>
      </c>
      <c r="L51" s="305"/>
      <c r="M51" s="305"/>
      <c r="N51" s="305"/>
      <c r="O51" s="303"/>
      <c r="P51" s="303"/>
      <c r="Q51" s="303"/>
      <c r="R51" s="303"/>
      <c r="S51" s="52"/>
      <c r="T51" s="52"/>
      <c r="U51" s="52"/>
      <c r="V51" s="52"/>
      <c r="W51" s="52"/>
      <c r="X51" s="52"/>
      <c r="Y51" s="52"/>
      <c r="Z51" s="52"/>
    </row>
    <row r="52" spans="1:26">
      <c r="A52" s="192" t="s">
        <v>519</v>
      </c>
      <c r="B52" s="305" t="s">
        <v>520</v>
      </c>
      <c r="C52" s="305"/>
      <c r="D52" s="305"/>
      <c r="E52" s="305"/>
      <c r="F52" s="305"/>
      <c r="G52" s="12"/>
      <c r="H52" s="281"/>
      <c r="I52" s="89" t="s">
        <v>721</v>
      </c>
      <c r="J52" s="305" t="s">
        <v>123</v>
      </c>
      <c r="K52" s="305" t="s">
        <v>122</v>
      </c>
      <c r="L52" s="305" t="s">
        <v>121</v>
      </c>
      <c r="M52" s="305" t="s">
        <v>120</v>
      </c>
      <c r="N52" s="305" t="s">
        <v>119</v>
      </c>
      <c r="O52" s="303"/>
      <c r="P52" s="303"/>
      <c r="Q52" s="303"/>
      <c r="R52" s="303"/>
      <c r="S52" s="52"/>
      <c r="T52" s="52"/>
      <c r="U52" s="52"/>
      <c r="V52" s="52"/>
      <c r="W52" s="52"/>
      <c r="X52" s="52"/>
      <c r="Y52" s="52"/>
      <c r="Z52" s="52"/>
    </row>
    <row r="53" spans="1:26">
      <c r="A53" s="89"/>
      <c r="B53" s="305" t="s">
        <v>521</v>
      </c>
      <c r="C53" s="305" t="s">
        <v>522</v>
      </c>
      <c r="D53" s="305" t="s">
        <v>523</v>
      </c>
      <c r="E53" s="305" t="s">
        <v>543</v>
      </c>
      <c r="F53" s="305" t="s">
        <v>544</v>
      </c>
      <c r="G53" s="12"/>
      <c r="H53" s="281"/>
      <c r="I53" s="89" t="s">
        <v>31</v>
      </c>
      <c r="J53" s="305">
        <v>16286</v>
      </c>
      <c r="K53" s="305">
        <v>15689</v>
      </c>
      <c r="L53" s="305">
        <v>15689</v>
      </c>
      <c r="M53" s="305">
        <v>16487</v>
      </c>
      <c r="N53" s="305">
        <v>16289</v>
      </c>
      <c r="O53" s="303"/>
      <c r="P53" s="303"/>
      <c r="Q53" s="303"/>
      <c r="R53" s="303"/>
      <c r="S53" s="52"/>
      <c r="T53" s="52"/>
      <c r="U53" s="52"/>
      <c r="V53" s="52"/>
      <c r="W53" s="52"/>
      <c r="X53" s="52"/>
      <c r="Y53" s="52"/>
      <c r="Z53" s="52"/>
    </row>
    <row r="54" spans="1:26">
      <c r="A54" s="89" t="s">
        <v>3</v>
      </c>
      <c r="B54" s="305">
        <v>35926</v>
      </c>
      <c r="C54" s="305">
        <v>32653</v>
      </c>
      <c r="D54" s="305">
        <v>29310</v>
      </c>
      <c r="E54" s="305">
        <v>24105</v>
      </c>
      <c r="F54" s="305">
        <v>21846</v>
      </c>
      <c r="G54" s="12"/>
      <c r="H54" s="281"/>
      <c r="I54" s="89" t="s">
        <v>545</v>
      </c>
      <c r="J54" s="305">
        <v>1764</v>
      </c>
      <c r="K54" s="305">
        <v>1449</v>
      </c>
      <c r="L54" s="305">
        <v>1449</v>
      </c>
      <c r="M54" s="305">
        <v>894</v>
      </c>
      <c r="N54" s="305">
        <v>901</v>
      </c>
      <c r="O54" s="303"/>
      <c r="P54" s="303"/>
      <c r="Q54" s="303"/>
      <c r="R54" s="303"/>
      <c r="S54" s="52"/>
      <c r="T54" s="52"/>
      <c r="U54" s="52"/>
      <c r="V54" s="52"/>
      <c r="W54" s="52"/>
      <c r="X54" s="52"/>
      <c r="Y54" s="52"/>
      <c r="Z54" s="52"/>
    </row>
    <row r="55" spans="1:26">
      <c r="A55" s="89" t="s">
        <v>4</v>
      </c>
      <c r="B55" s="305" t="s">
        <v>26</v>
      </c>
      <c r="C55" s="305" t="s">
        <v>26</v>
      </c>
      <c r="D55" s="305" t="s">
        <v>26</v>
      </c>
      <c r="E55" s="305"/>
      <c r="F55" s="305"/>
      <c r="G55" s="12"/>
      <c r="H55" s="281"/>
      <c r="I55" s="89" t="s">
        <v>546</v>
      </c>
      <c r="J55" s="305">
        <v>-64</v>
      </c>
      <c r="K55" s="305">
        <v>-106</v>
      </c>
      <c r="L55" s="305">
        <v>-106</v>
      </c>
      <c r="M55" s="305">
        <v>-1</v>
      </c>
      <c r="N55" s="305">
        <v>3</v>
      </c>
      <c r="O55" s="303"/>
      <c r="P55" s="303"/>
      <c r="Q55" s="303"/>
      <c r="R55" s="303"/>
      <c r="S55" s="52"/>
      <c r="T55" s="52"/>
      <c r="U55" s="52"/>
      <c r="V55" s="52"/>
      <c r="W55" s="52"/>
      <c r="X55" s="52"/>
      <c r="Y55" s="52"/>
      <c r="Z55" s="52"/>
    </row>
    <row r="56" spans="1:26">
      <c r="A56" s="89" t="s">
        <v>524</v>
      </c>
      <c r="B56" s="305">
        <v>6264</v>
      </c>
      <c r="C56" s="305">
        <v>5831</v>
      </c>
      <c r="D56" s="305">
        <v>4990</v>
      </c>
      <c r="E56" s="305">
        <v>4240</v>
      </c>
      <c r="F56" s="305">
        <v>3785</v>
      </c>
      <c r="G56" s="12"/>
      <c r="H56" s="281"/>
      <c r="I56" s="89" t="s">
        <v>547</v>
      </c>
      <c r="J56" s="305">
        <v>2183</v>
      </c>
      <c r="K56" s="305">
        <v>1932</v>
      </c>
      <c r="L56" s="305">
        <v>1932</v>
      </c>
      <c r="M56" s="305">
        <v>1758</v>
      </c>
      <c r="N56" s="305">
        <v>1264</v>
      </c>
      <c r="O56" s="303"/>
      <c r="P56" s="303"/>
      <c r="Q56" s="303"/>
      <c r="R56" s="303"/>
      <c r="S56" s="52"/>
      <c r="T56" s="52"/>
      <c r="U56" s="52"/>
      <c r="V56" s="52"/>
      <c r="W56" s="52"/>
      <c r="X56" s="52"/>
      <c r="Y56" s="52"/>
      <c r="Z56" s="52"/>
    </row>
    <row r="57" spans="1:26">
      <c r="A57" s="89" t="s">
        <v>525</v>
      </c>
      <c r="B57" s="305">
        <v>1560</v>
      </c>
      <c r="C57" s="305">
        <v>1341</v>
      </c>
      <c r="D57" s="305">
        <v>1336</v>
      </c>
      <c r="E57" s="305">
        <v>1136</v>
      </c>
      <c r="F57" s="305">
        <v>971</v>
      </c>
      <c r="G57" s="12"/>
      <c r="H57" s="281"/>
      <c r="I57" s="89" t="s">
        <v>34</v>
      </c>
      <c r="J57" s="305">
        <v>2291</v>
      </c>
      <c r="K57" s="305">
        <v>2020</v>
      </c>
      <c r="L57" s="305">
        <v>2020</v>
      </c>
      <c r="M57" s="305">
        <v>1968</v>
      </c>
      <c r="N57" s="305">
        <v>1618</v>
      </c>
      <c r="O57" s="303"/>
      <c r="P57" s="303"/>
      <c r="Q57" s="303"/>
      <c r="R57" s="303"/>
      <c r="S57" s="52"/>
      <c r="T57" s="52"/>
      <c r="U57" s="52"/>
      <c r="V57" s="52"/>
      <c r="W57" s="52"/>
      <c r="X57" s="52"/>
      <c r="Y57" s="52"/>
      <c r="Z57" s="52"/>
    </row>
    <row r="58" spans="1:26">
      <c r="A58" s="89" t="s">
        <v>526</v>
      </c>
      <c r="B58" s="305">
        <v>778</v>
      </c>
      <c r="C58" s="305">
        <v>736</v>
      </c>
      <c r="D58" s="305">
        <v>743</v>
      </c>
      <c r="E58" s="305">
        <v>730</v>
      </c>
      <c r="F58" s="305">
        <v>727</v>
      </c>
      <c r="G58" s="12"/>
      <c r="H58" s="281"/>
      <c r="I58" s="89" t="s">
        <v>548</v>
      </c>
      <c r="J58" s="305">
        <v>3005</v>
      </c>
      <c r="K58" s="305">
        <v>2342</v>
      </c>
      <c r="L58" s="305">
        <v>2342</v>
      </c>
      <c r="M58" s="305">
        <v>2260</v>
      </c>
      <c r="N58" s="305">
        <v>1850</v>
      </c>
      <c r="O58" s="303"/>
      <c r="P58" s="303"/>
      <c r="Q58" s="303"/>
      <c r="R58" s="303"/>
      <c r="S58" s="52"/>
      <c r="T58" s="52"/>
      <c r="U58" s="52"/>
      <c r="V58" s="52"/>
      <c r="W58" s="52"/>
      <c r="X58" s="52"/>
      <c r="Y58" s="52"/>
      <c r="Z58" s="52"/>
    </row>
    <row r="59" spans="1:26">
      <c r="A59" s="89" t="s">
        <v>527</v>
      </c>
      <c r="B59" s="305">
        <v>635</v>
      </c>
      <c r="C59" s="305">
        <v>545</v>
      </c>
      <c r="D59" s="305">
        <v>505</v>
      </c>
      <c r="E59" s="305">
        <v>403</v>
      </c>
      <c r="F59" s="305">
        <v>408</v>
      </c>
      <c r="G59" s="12"/>
      <c r="H59" s="281"/>
      <c r="I59" s="89" t="s">
        <v>549</v>
      </c>
      <c r="J59" s="305">
        <v>1577</v>
      </c>
      <c r="K59" s="305">
        <v>1272</v>
      </c>
      <c r="L59" s="305">
        <v>1272</v>
      </c>
      <c r="M59" s="305">
        <v>1359</v>
      </c>
      <c r="N59" s="305">
        <v>1214</v>
      </c>
      <c r="O59" s="303"/>
      <c r="P59" s="303"/>
      <c r="Q59" s="303"/>
      <c r="R59" s="303"/>
      <c r="S59" s="52"/>
      <c r="T59" s="52"/>
      <c r="U59" s="52"/>
      <c r="V59" s="52"/>
      <c r="W59" s="52"/>
      <c r="X59" s="52"/>
      <c r="Y59" s="52"/>
      <c r="Z59" s="52"/>
    </row>
    <row r="60" spans="1:26">
      <c r="A60" s="89" t="s">
        <v>7</v>
      </c>
      <c r="B60" s="305">
        <v>1034</v>
      </c>
      <c r="C60" s="305">
        <v>943</v>
      </c>
      <c r="D60" s="305">
        <v>861</v>
      </c>
      <c r="E60" s="305">
        <v>804</v>
      </c>
      <c r="F60" s="305">
        <v>767</v>
      </c>
      <c r="G60" s="12"/>
      <c r="H60" s="281"/>
      <c r="I60" s="89" t="s">
        <v>37</v>
      </c>
      <c r="J60" s="305">
        <v>2584</v>
      </c>
      <c r="K60" s="305">
        <v>2668</v>
      </c>
      <c r="L60" s="305">
        <v>2668</v>
      </c>
      <c r="M60" s="305">
        <v>856</v>
      </c>
      <c r="N60" s="305">
        <v>757</v>
      </c>
      <c r="O60" s="303"/>
      <c r="P60" s="303"/>
      <c r="Q60" s="303"/>
      <c r="R60" s="303"/>
      <c r="S60" s="52"/>
      <c r="T60" s="52"/>
      <c r="U60" s="52"/>
      <c r="V60" s="52"/>
      <c r="W60" s="52"/>
      <c r="X60" s="52"/>
      <c r="Y60" s="52"/>
      <c r="Z60" s="52"/>
    </row>
    <row r="61" spans="1:26">
      <c r="A61" s="89" t="s">
        <v>5</v>
      </c>
      <c r="B61" s="305">
        <v>1598</v>
      </c>
      <c r="C61" s="305">
        <v>1330</v>
      </c>
      <c r="D61" s="305">
        <v>1194</v>
      </c>
      <c r="E61" s="305">
        <v>985</v>
      </c>
      <c r="F61" s="305">
        <v>1096</v>
      </c>
      <c r="G61" s="12"/>
      <c r="H61" s="281"/>
      <c r="I61" s="89" t="s">
        <v>38</v>
      </c>
      <c r="J61" s="305">
        <v>33532</v>
      </c>
      <c r="K61" s="305">
        <v>30205</v>
      </c>
      <c r="L61" s="305">
        <v>30205</v>
      </c>
      <c r="M61" s="305">
        <v>27607</v>
      </c>
      <c r="N61" s="305">
        <v>27645</v>
      </c>
      <c r="O61" s="303"/>
      <c r="P61" s="303"/>
      <c r="Q61" s="303"/>
      <c r="R61" s="303"/>
      <c r="S61" s="52"/>
      <c r="T61" s="52"/>
      <c r="U61" s="52"/>
      <c r="V61" s="52"/>
      <c r="W61" s="52"/>
      <c r="X61" s="52"/>
      <c r="Y61" s="52"/>
      <c r="Z61" s="52"/>
    </row>
    <row r="62" spans="1:26">
      <c r="A62" s="89" t="s">
        <v>528</v>
      </c>
      <c r="B62" s="305">
        <v>462</v>
      </c>
      <c r="C62" s="305">
        <v>927</v>
      </c>
      <c r="D62" s="305">
        <v>868</v>
      </c>
      <c r="E62" s="305">
        <v>3</v>
      </c>
      <c r="F62" s="305">
        <v>11</v>
      </c>
      <c r="G62" s="12"/>
      <c r="H62" s="281"/>
      <c r="I62" s="89" t="s">
        <v>550</v>
      </c>
      <c r="J62" s="305">
        <v>8177</v>
      </c>
      <c r="K62" s="305">
        <v>6099</v>
      </c>
      <c r="L62" s="305">
        <v>6099</v>
      </c>
      <c r="M62" s="305">
        <v>5243</v>
      </c>
      <c r="N62" s="305">
        <v>4176</v>
      </c>
      <c r="O62" s="303"/>
      <c r="P62" s="303"/>
      <c r="Q62" s="303"/>
      <c r="R62" s="303"/>
      <c r="S62" s="52"/>
      <c r="T62" s="52"/>
      <c r="U62" s="52"/>
      <c r="V62" s="52"/>
      <c r="W62" s="52"/>
      <c r="X62" s="52"/>
      <c r="Y62" s="52"/>
      <c r="Z62" s="52"/>
    </row>
    <row r="63" spans="1:26">
      <c r="A63" s="89" t="s">
        <v>9</v>
      </c>
      <c r="B63" s="305">
        <v>12331</v>
      </c>
      <c r="C63" s="305">
        <v>11653</v>
      </c>
      <c r="D63" s="305">
        <v>10497</v>
      </c>
      <c r="E63" s="305">
        <v>8301</v>
      </c>
      <c r="F63" s="305">
        <v>7765</v>
      </c>
      <c r="G63" s="12"/>
      <c r="H63" s="281"/>
      <c r="I63" s="89" t="s">
        <v>551</v>
      </c>
      <c r="J63" s="305">
        <v>3425</v>
      </c>
      <c r="K63" s="305">
        <v>3223</v>
      </c>
      <c r="L63" s="305">
        <v>3223</v>
      </c>
      <c r="M63" s="305">
        <v>2715</v>
      </c>
      <c r="N63" s="305">
        <v>2737</v>
      </c>
      <c r="O63" s="303"/>
      <c r="P63" s="303"/>
      <c r="Q63" s="303"/>
      <c r="R63" s="303"/>
      <c r="S63" s="52"/>
      <c r="T63" s="52"/>
      <c r="U63" s="52"/>
      <c r="V63" s="52"/>
      <c r="W63" s="52"/>
      <c r="X63" s="52"/>
      <c r="Y63" s="52"/>
      <c r="Z63" s="52"/>
    </row>
    <row r="64" spans="1:26">
      <c r="A64" s="89" t="s">
        <v>10</v>
      </c>
      <c r="B64" s="305">
        <v>23595</v>
      </c>
      <c r="C64" s="305">
        <v>21000</v>
      </c>
      <c r="D64" s="305">
        <v>18813</v>
      </c>
      <c r="E64" s="305">
        <v>15804</v>
      </c>
      <c r="F64" s="305">
        <v>14081</v>
      </c>
      <c r="G64" s="12"/>
      <c r="H64" s="281"/>
      <c r="I64" s="89" t="s">
        <v>41</v>
      </c>
      <c r="J64" s="305">
        <v>17997</v>
      </c>
      <c r="K64" s="305">
        <v>17787</v>
      </c>
      <c r="L64" s="305">
        <v>17787</v>
      </c>
      <c r="M64" s="305">
        <v>15958</v>
      </c>
      <c r="N64" s="305">
        <v>15910</v>
      </c>
      <c r="O64" s="303"/>
      <c r="P64" s="303"/>
      <c r="Q64" s="303"/>
      <c r="R64" s="303"/>
      <c r="S64" s="52"/>
      <c r="T64" s="52"/>
      <c r="U64" s="52"/>
      <c r="V64" s="52"/>
      <c r="W64" s="52"/>
      <c r="X64" s="52"/>
      <c r="Y64" s="52"/>
      <c r="Z64" s="52"/>
    </row>
    <row r="65" spans="1:26">
      <c r="A65" s="89" t="s">
        <v>529</v>
      </c>
      <c r="B65" s="305" t="s">
        <v>26</v>
      </c>
      <c r="C65" s="305" t="s">
        <v>26</v>
      </c>
      <c r="D65" s="305" t="s">
        <v>26</v>
      </c>
      <c r="E65" s="305"/>
      <c r="F65" s="305"/>
      <c r="G65" s="12"/>
      <c r="H65" s="281"/>
      <c r="I65" s="89" t="s">
        <v>552</v>
      </c>
      <c r="J65" s="305">
        <v>26104</v>
      </c>
      <c r="K65" s="305">
        <v>25065</v>
      </c>
      <c r="L65" s="305">
        <v>25065</v>
      </c>
      <c r="M65" s="305">
        <v>27664</v>
      </c>
      <c r="N65" s="305">
        <v>27808</v>
      </c>
      <c r="O65" s="303"/>
      <c r="P65" s="303"/>
      <c r="Q65" s="303"/>
      <c r="R65" s="303"/>
      <c r="S65" s="52"/>
      <c r="T65" s="52"/>
      <c r="U65" s="52"/>
      <c r="V65" s="52"/>
      <c r="W65" s="52"/>
      <c r="X65" s="52"/>
      <c r="Y65" s="52"/>
      <c r="Z65" s="52"/>
    </row>
    <row r="66" spans="1:26">
      <c r="A66" s="89" t="s">
        <v>14</v>
      </c>
      <c r="B66" s="305">
        <v>-641</v>
      </c>
      <c r="C66" s="305">
        <v>-644</v>
      </c>
      <c r="D66" s="305">
        <v>-538</v>
      </c>
      <c r="E66" s="305">
        <v>-513</v>
      </c>
      <c r="F66" s="305">
        <v>-516</v>
      </c>
      <c r="G66" s="12"/>
      <c r="H66" s="281"/>
      <c r="I66" s="89" t="s">
        <v>43</v>
      </c>
      <c r="J66" s="305">
        <v>3731</v>
      </c>
      <c r="K66" s="305">
        <v>3737</v>
      </c>
      <c r="L66" s="305">
        <v>3737</v>
      </c>
      <c r="M66" s="305">
        <v>4002</v>
      </c>
      <c r="N66" s="305">
        <v>3413</v>
      </c>
      <c r="O66" s="303"/>
      <c r="P66" s="303"/>
      <c r="Q66" s="303"/>
      <c r="R66" s="303"/>
      <c r="S66" s="52"/>
      <c r="T66" s="52"/>
      <c r="U66" s="52"/>
      <c r="V66" s="52"/>
      <c r="W66" s="52"/>
      <c r="X66" s="52"/>
      <c r="Y66" s="52"/>
      <c r="Z66" s="52"/>
    </row>
    <row r="67" spans="1:26">
      <c r="A67" s="89" t="s">
        <v>530</v>
      </c>
      <c r="B67" s="305">
        <v>962</v>
      </c>
      <c r="C67" s="305">
        <v>681</v>
      </c>
      <c r="D67" s="305">
        <v>-139</v>
      </c>
      <c r="E67" s="305">
        <v>772</v>
      </c>
      <c r="F67" s="305">
        <v>225</v>
      </c>
      <c r="G67" s="12"/>
      <c r="H67" s="281"/>
      <c r="I67" s="89" t="s">
        <v>553</v>
      </c>
      <c r="J67" s="305">
        <v>90499</v>
      </c>
      <c r="K67" s="305">
        <v>85501</v>
      </c>
      <c r="L67" s="305">
        <v>85501</v>
      </c>
      <c r="M67" s="305">
        <v>82896</v>
      </c>
      <c r="N67" s="305">
        <v>80919</v>
      </c>
      <c r="O67" s="303"/>
      <c r="P67" s="303"/>
      <c r="Q67" s="303"/>
      <c r="R67" s="303"/>
      <c r="S67" s="52"/>
      <c r="T67" s="52"/>
      <c r="U67" s="52"/>
      <c r="V67" s="52"/>
      <c r="W67" s="52"/>
      <c r="X67" s="52"/>
      <c r="Y67" s="52"/>
      <c r="Z67" s="52"/>
    </row>
    <row r="68" spans="1:26">
      <c r="A68" s="89" t="s">
        <v>531</v>
      </c>
      <c r="B68" s="305">
        <v>321</v>
      </c>
      <c r="C68" s="305">
        <v>37</v>
      </c>
      <c r="D68" s="305">
        <v>-677</v>
      </c>
      <c r="E68" s="305">
        <v>259</v>
      </c>
      <c r="F68" s="305">
        <v>-291</v>
      </c>
      <c r="G68" s="12"/>
      <c r="H68" s="281"/>
      <c r="I68" s="89" t="s">
        <v>175</v>
      </c>
      <c r="J68" s="305" t="s">
        <v>26</v>
      </c>
      <c r="K68" s="305" t="s">
        <v>26</v>
      </c>
      <c r="L68" s="305" t="s">
        <v>26</v>
      </c>
      <c r="M68" s="305" t="s">
        <v>26</v>
      </c>
      <c r="N68" s="305"/>
      <c r="O68" s="303"/>
      <c r="P68" s="303"/>
      <c r="Q68" s="303"/>
      <c r="R68" s="303"/>
      <c r="S68" s="52"/>
      <c r="T68" s="52"/>
      <c r="U68" s="52"/>
      <c r="V68" s="52"/>
      <c r="W68" s="52"/>
      <c r="X68" s="52"/>
      <c r="Y68" s="52"/>
      <c r="Z68" s="52"/>
    </row>
    <row r="69" spans="1:26">
      <c r="A69" s="89" t="s">
        <v>17</v>
      </c>
      <c r="B69" s="305">
        <v>23916</v>
      </c>
      <c r="C69" s="305">
        <v>21037</v>
      </c>
      <c r="D69" s="305">
        <v>18136</v>
      </c>
      <c r="E69" s="305">
        <v>16063</v>
      </c>
      <c r="F69" s="305">
        <v>13790</v>
      </c>
      <c r="G69" s="12"/>
      <c r="H69" s="281"/>
      <c r="I69" s="89" t="s">
        <v>46</v>
      </c>
      <c r="J69" s="305">
        <v>375</v>
      </c>
      <c r="K69" s="305">
        <v>340</v>
      </c>
      <c r="L69" s="305">
        <v>340</v>
      </c>
      <c r="M69" s="305">
        <v>266</v>
      </c>
      <c r="N69" s="305">
        <v>174</v>
      </c>
      <c r="O69" s="303"/>
      <c r="P69" s="303"/>
      <c r="Q69" s="303"/>
      <c r="R69" s="303"/>
      <c r="S69" s="52"/>
      <c r="T69" s="52"/>
      <c r="U69" s="52"/>
      <c r="V69" s="52"/>
      <c r="W69" s="52"/>
      <c r="X69" s="52"/>
      <c r="Y69" s="52"/>
      <c r="Z69" s="52"/>
    </row>
    <row r="70" spans="1:26">
      <c r="A70" s="89" t="s">
        <v>532</v>
      </c>
      <c r="B70" s="305">
        <v>4173</v>
      </c>
      <c r="C70" s="305">
        <v>3764</v>
      </c>
      <c r="D70" s="305">
        <v>3179</v>
      </c>
      <c r="E70" s="305">
        <v>3752</v>
      </c>
      <c r="F70" s="305">
        <v>2924</v>
      </c>
      <c r="G70" s="12"/>
      <c r="H70" s="281"/>
      <c r="I70" s="89" t="s">
        <v>554</v>
      </c>
      <c r="J70" s="305">
        <v>3269</v>
      </c>
      <c r="K70" s="305">
        <v>3281</v>
      </c>
      <c r="L70" s="305">
        <v>3281</v>
      </c>
      <c r="M70" s="305">
        <v>2443</v>
      </c>
      <c r="N70" s="305">
        <v>1736</v>
      </c>
      <c r="O70" s="303"/>
      <c r="P70" s="303"/>
      <c r="Q70" s="303"/>
      <c r="R70" s="303"/>
      <c r="S70" s="52"/>
      <c r="T70" s="52"/>
      <c r="U70" s="52"/>
      <c r="V70" s="52"/>
      <c r="W70" s="52"/>
      <c r="X70" s="52"/>
      <c r="Y70" s="52"/>
      <c r="Z70" s="52"/>
    </row>
    <row r="71" spans="1:26">
      <c r="A71" s="89" t="s">
        <v>73</v>
      </c>
      <c r="B71" s="305">
        <v>19743</v>
      </c>
      <c r="C71" s="305">
        <v>17273</v>
      </c>
      <c r="D71" s="305">
        <v>14957</v>
      </c>
      <c r="E71" s="305">
        <v>12311</v>
      </c>
      <c r="F71" s="305">
        <v>10866</v>
      </c>
      <c r="G71" s="12"/>
      <c r="H71" s="281"/>
      <c r="I71" s="89" t="s">
        <v>555</v>
      </c>
      <c r="J71" s="305">
        <v>1506</v>
      </c>
      <c r="K71" s="305">
        <v>1359</v>
      </c>
      <c r="L71" s="305">
        <v>1359</v>
      </c>
      <c r="M71" s="305">
        <v>1211</v>
      </c>
      <c r="N71" s="305">
        <v>821</v>
      </c>
      <c r="O71" s="303"/>
      <c r="P71" s="303"/>
      <c r="Q71" s="303"/>
      <c r="R71" s="303"/>
      <c r="S71" s="52"/>
      <c r="T71" s="52"/>
      <c r="U71" s="52"/>
      <c r="V71" s="52"/>
      <c r="W71" s="52"/>
      <c r="X71" s="52"/>
      <c r="Y71" s="52"/>
      <c r="Z71" s="52"/>
    </row>
    <row r="72" spans="1:26">
      <c r="A72" s="89" t="s">
        <v>533</v>
      </c>
      <c r="B72" s="305" t="s">
        <v>26</v>
      </c>
      <c r="C72" s="305" t="s">
        <v>26</v>
      </c>
      <c r="D72" s="305" t="s">
        <v>26</v>
      </c>
      <c r="E72" s="305"/>
      <c r="F72" s="305"/>
      <c r="G72" s="12"/>
      <c r="H72" s="281"/>
      <c r="I72" s="89" t="s">
        <v>556</v>
      </c>
      <c r="J72" s="305">
        <v>5015</v>
      </c>
      <c r="K72" s="305">
        <v>3726</v>
      </c>
      <c r="L72" s="305">
        <v>3726</v>
      </c>
      <c r="M72" s="305">
        <v>2334</v>
      </c>
      <c r="N72" s="305">
        <v>1840</v>
      </c>
      <c r="O72" s="303"/>
      <c r="P72" s="303"/>
      <c r="Q72" s="303"/>
      <c r="R72" s="303"/>
      <c r="S72" s="52"/>
      <c r="T72" s="52"/>
      <c r="U72" s="52"/>
      <c r="V72" s="52"/>
      <c r="W72" s="52"/>
      <c r="X72" s="52"/>
      <c r="Y72" s="52"/>
      <c r="Z72" s="52"/>
    </row>
    <row r="73" spans="1:26">
      <c r="A73" s="89" t="s">
        <v>534</v>
      </c>
      <c r="B73" s="305" t="s">
        <v>26</v>
      </c>
      <c r="C73" s="305" t="s">
        <v>26</v>
      </c>
      <c r="D73" s="305" t="s">
        <v>26</v>
      </c>
      <c r="E73" s="305"/>
      <c r="F73" s="305"/>
      <c r="G73" s="12"/>
      <c r="H73" s="281"/>
      <c r="I73" s="89" t="s">
        <v>722</v>
      </c>
      <c r="J73" s="305">
        <v>0</v>
      </c>
      <c r="K73" s="305">
        <v>2250</v>
      </c>
      <c r="L73" s="305">
        <v>2250</v>
      </c>
      <c r="M73" s="305">
        <v>999</v>
      </c>
      <c r="N73" s="305">
        <v>2999</v>
      </c>
      <c r="O73" s="303"/>
      <c r="P73" s="303"/>
      <c r="Q73" s="303"/>
      <c r="R73" s="303"/>
      <c r="S73" s="52"/>
      <c r="T73" s="52"/>
      <c r="U73" s="52"/>
      <c r="V73" s="52"/>
      <c r="W73" s="52"/>
      <c r="X73" s="52"/>
      <c r="Y73" s="52"/>
      <c r="Z73" s="52"/>
    </row>
    <row r="74" spans="1:26">
      <c r="A74" s="89" t="s">
        <v>535</v>
      </c>
      <c r="B74" s="305">
        <v>9.74</v>
      </c>
      <c r="C74" s="305">
        <v>8.2899999999999991</v>
      </c>
      <c r="D74" s="305">
        <v>7.01</v>
      </c>
      <c r="E74" s="305">
        <v>5.63</v>
      </c>
      <c r="F74" s="305">
        <v>4.9000000000000004</v>
      </c>
      <c r="G74" s="12"/>
      <c r="H74" s="281"/>
      <c r="I74" s="89" t="s">
        <v>48</v>
      </c>
      <c r="J74" s="305">
        <v>1751</v>
      </c>
      <c r="K74" s="305">
        <v>1456</v>
      </c>
      <c r="L74" s="305">
        <v>1456</v>
      </c>
      <c r="M74" s="305">
        <v>983</v>
      </c>
      <c r="N74" s="305">
        <v>914</v>
      </c>
      <c r="O74" s="303"/>
      <c r="P74" s="303"/>
      <c r="Q74" s="303"/>
      <c r="R74" s="303"/>
      <c r="S74" s="52"/>
      <c r="T74" s="52"/>
      <c r="U74" s="52"/>
      <c r="V74" s="52"/>
      <c r="W74" s="52"/>
      <c r="X74" s="52"/>
      <c r="Y74" s="52"/>
      <c r="Z74" s="52"/>
    </row>
    <row r="75" spans="1:26">
      <c r="A75" s="89" t="s">
        <v>536</v>
      </c>
      <c r="B75" s="305">
        <v>1621</v>
      </c>
      <c r="C75" s="305">
        <v>1618</v>
      </c>
      <c r="D75" s="305">
        <v>1651</v>
      </c>
      <c r="E75" s="305">
        <v>1691</v>
      </c>
      <c r="F75" s="305">
        <v>1697</v>
      </c>
      <c r="G75" s="12"/>
      <c r="H75" s="281"/>
      <c r="I75" s="89" t="s">
        <v>52</v>
      </c>
      <c r="J75" s="305">
        <v>23098</v>
      </c>
      <c r="K75" s="305">
        <v>20853</v>
      </c>
      <c r="L75" s="305">
        <v>20853</v>
      </c>
      <c r="M75" s="305">
        <v>15739</v>
      </c>
      <c r="N75" s="305">
        <v>14510</v>
      </c>
      <c r="O75" s="303"/>
      <c r="P75" s="303"/>
      <c r="Q75" s="303"/>
      <c r="R75" s="303"/>
      <c r="S75" s="52"/>
      <c r="T75" s="52"/>
      <c r="U75" s="52"/>
      <c r="V75" s="52"/>
      <c r="W75" s="52"/>
      <c r="X75" s="52"/>
      <c r="Y75" s="52"/>
      <c r="Z75" s="52"/>
    </row>
    <row r="76" spans="1:26">
      <c r="A76" s="89" t="s">
        <v>537</v>
      </c>
      <c r="B76" s="305">
        <v>9.73</v>
      </c>
      <c r="C76" s="305">
        <v>8.2799999999999994</v>
      </c>
      <c r="D76" s="305">
        <v>7</v>
      </c>
      <c r="E76" s="305">
        <v>5.63</v>
      </c>
      <c r="F76" s="305">
        <v>4.8899999999999997</v>
      </c>
      <c r="G76" s="12"/>
      <c r="H76" s="281"/>
      <c r="I76" s="89" t="s">
        <v>53</v>
      </c>
      <c r="J76" s="305">
        <v>20463</v>
      </c>
      <c r="K76" s="305">
        <v>20200</v>
      </c>
      <c r="L76" s="305">
        <v>20200</v>
      </c>
      <c r="M76" s="305">
        <v>19978</v>
      </c>
      <c r="N76" s="305">
        <v>21071</v>
      </c>
      <c r="O76" s="303"/>
      <c r="P76" s="303"/>
      <c r="Q76" s="303"/>
      <c r="R76" s="303"/>
      <c r="S76" s="52"/>
      <c r="T76" s="52"/>
      <c r="U76" s="52"/>
      <c r="V76" s="52"/>
      <c r="W76" s="52"/>
      <c r="X76" s="52"/>
      <c r="Y76" s="52"/>
      <c r="Z76" s="52"/>
    </row>
    <row r="77" spans="1:26">
      <c r="A77" s="89" t="s">
        <v>538</v>
      </c>
      <c r="B77" s="305">
        <v>2029</v>
      </c>
      <c r="C77" s="305">
        <v>2085</v>
      </c>
      <c r="D77" s="305">
        <v>2136</v>
      </c>
      <c r="E77" s="305">
        <v>2188</v>
      </c>
      <c r="F77" s="305">
        <v>2223</v>
      </c>
      <c r="G77" s="12"/>
      <c r="H77" s="281"/>
      <c r="I77" s="89" t="s">
        <v>557</v>
      </c>
      <c r="J77" s="305">
        <v>5114</v>
      </c>
      <c r="K77" s="305">
        <v>5332</v>
      </c>
      <c r="L77" s="305">
        <v>5332</v>
      </c>
      <c r="M77" s="305">
        <v>6128</v>
      </c>
      <c r="N77" s="305">
        <v>5237</v>
      </c>
      <c r="O77" s="303"/>
      <c r="P77" s="303"/>
      <c r="Q77" s="303"/>
      <c r="R77" s="303"/>
      <c r="S77" s="52"/>
      <c r="T77" s="52"/>
      <c r="U77" s="52"/>
      <c r="V77" s="52"/>
      <c r="W77" s="52"/>
      <c r="X77" s="52"/>
      <c r="Y77" s="52"/>
      <c r="Z77" s="52"/>
    </row>
    <row r="78" spans="1:26">
      <c r="A78" s="89" t="s">
        <v>539</v>
      </c>
      <c r="B78" s="305" t="s">
        <v>26</v>
      </c>
      <c r="C78" s="305" t="s">
        <v>26</v>
      </c>
      <c r="D78" s="305" t="s">
        <v>26</v>
      </c>
      <c r="E78" s="305"/>
      <c r="F78" s="305"/>
      <c r="G78" s="12"/>
      <c r="H78" s="281"/>
      <c r="I78" s="89" t="s">
        <v>54</v>
      </c>
      <c r="J78" s="305">
        <v>3091</v>
      </c>
      <c r="K78" s="305">
        <v>3535</v>
      </c>
      <c r="L78" s="305">
        <v>3535</v>
      </c>
      <c r="M78" s="305">
        <v>3462</v>
      </c>
      <c r="N78" s="305">
        <v>3891</v>
      </c>
      <c r="O78" s="303"/>
      <c r="P78" s="303"/>
      <c r="Q78" s="303"/>
      <c r="R78" s="303"/>
      <c r="S78" s="52"/>
      <c r="T78" s="52"/>
      <c r="U78" s="52"/>
      <c r="V78" s="52"/>
      <c r="W78" s="52"/>
      <c r="X78" s="52"/>
      <c r="Y78" s="52"/>
      <c r="Z78" s="52"/>
    </row>
    <row r="79" spans="1:26">
      <c r="A79" s="89" t="s">
        <v>534</v>
      </c>
      <c r="B79" s="305" t="s">
        <v>26</v>
      </c>
      <c r="C79" s="305" t="s">
        <v>26</v>
      </c>
      <c r="D79" s="305" t="s">
        <v>26</v>
      </c>
      <c r="E79" s="305"/>
      <c r="F79" s="305"/>
      <c r="G79" s="12"/>
      <c r="H79" s="281"/>
      <c r="I79" s="89" t="s">
        <v>558</v>
      </c>
      <c r="J79" s="305">
        <v>51766</v>
      </c>
      <c r="K79" s="305">
        <v>49920</v>
      </c>
      <c r="L79" s="305">
        <v>49920</v>
      </c>
      <c r="M79" s="305">
        <v>45307</v>
      </c>
      <c r="N79" s="305">
        <v>44709</v>
      </c>
      <c r="O79" s="303"/>
      <c r="P79" s="303"/>
      <c r="Q79" s="303"/>
      <c r="R79" s="303"/>
      <c r="S79" s="52"/>
      <c r="T79" s="52"/>
      <c r="U79" s="52"/>
      <c r="V79" s="52"/>
      <c r="W79" s="52"/>
      <c r="X79" s="52"/>
      <c r="Y79" s="52"/>
      <c r="Z79" s="52"/>
    </row>
    <row r="80" spans="1:26">
      <c r="A80" s="89" t="s">
        <v>535</v>
      </c>
      <c r="B80" s="305">
        <v>15.46</v>
      </c>
      <c r="C80" s="305">
        <v>13.26</v>
      </c>
      <c r="D80" s="305">
        <v>11.33</v>
      </c>
      <c r="E80" s="305">
        <v>9.14</v>
      </c>
      <c r="F80" s="305">
        <v>7.94</v>
      </c>
      <c r="G80" s="12"/>
      <c r="H80" s="281"/>
      <c r="I80" s="89" t="s">
        <v>575</v>
      </c>
      <c r="J80" s="305" t="s">
        <v>70</v>
      </c>
      <c r="K80" s="305" t="s">
        <v>70</v>
      </c>
      <c r="L80" s="305" t="s">
        <v>70</v>
      </c>
      <c r="M80" s="305" t="s">
        <v>70</v>
      </c>
      <c r="N80" s="305"/>
      <c r="O80" s="303"/>
      <c r="P80" s="303"/>
      <c r="Q80" s="303"/>
      <c r="R80" s="303"/>
      <c r="S80" s="51"/>
      <c r="T80" s="51"/>
      <c r="U80" s="51"/>
      <c r="V80" s="51"/>
      <c r="W80" s="51"/>
      <c r="X80" s="51"/>
      <c r="Y80" s="51"/>
      <c r="Z80" s="51"/>
    </row>
    <row r="81" spans="1:26">
      <c r="A81" s="89" t="s">
        <v>536</v>
      </c>
      <c r="B81" s="305">
        <v>148</v>
      </c>
      <c r="C81" s="305">
        <v>245</v>
      </c>
      <c r="D81" s="305">
        <v>245</v>
      </c>
      <c r="E81" s="305">
        <v>245</v>
      </c>
      <c r="F81" s="305">
        <v>245</v>
      </c>
      <c r="G81" s="12"/>
      <c r="H81" s="281"/>
      <c r="I81" s="89" t="s">
        <v>559</v>
      </c>
      <c r="J81" s="305" t="s">
        <v>26</v>
      </c>
      <c r="K81" s="305" t="s">
        <v>26</v>
      </c>
      <c r="L81" s="305" t="s">
        <v>26</v>
      </c>
      <c r="M81" s="305" t="s">
        <v>26</v>
      </c>
      <c r="N81" s="305"/>
      <c r="O81" s="303"/>
      <c r="P81" s="303"/>
      <c r="Q81" s="303"/>
      <c r="R81" s="303"/>
      <c r="S81" s="51"/>
      <c r="T81" s="51"/>
      <c r="U81" s="51"/>
      <c r="V81" s="51"/>
      <c r="W81" s="51"/>
      <c r="X81" s="51"/>
      <c r="Y81" s="51"/>
      <c r="Z81" s="51"/>
    </row>
    <row r="82" spans="1:26">
      <c r="A82" s="89" t="s">
        <v>537</v>
      </c>
      <c r="B82" s="305">
        <v>15.45</v>
      </c>
      <c r="C82" s="305">
        <v>13.24</v>
      </c>
      <c r="D82" s="305">
        <v>11.31</v>
      </c>
      <c r="E82" s="305">
        <v>9.1300000000000008</v>
      </c>
      <c r="F82" s="305">
        <v>7.93</v>
      </c>
      <c r="G82" s="12"/>
      <c r="H82" s="281"/>
      <c r="I82" s="89" t="s">
        <v>569</v>
      </c>
      <c r="J82" s="305">
        <v>1698</v>
      </c>
      <c r="K82" s="305">
        <v>2324</v>
      </c>
      <c r="L82" s="305">
        <v>2324</v>
      </c>
      <c r="M82" s="305">
        <v>3080</v>
      </c>
      <c r="N82" s="305">
        <v>1543</v>
      </c>
      <c r="O82" s="303"/>
      <c r="P82" s="303"/>
      <c r="Q82" s="303"/>
      <c r="R82" s="303"/>
      <c r="S82" s="51"/>
      <c r="T82" s="51"/>
      <c r="U82" s="51"/>
      <c r="V82" s="51"/>
      <c r="W82" s="51"/>
      <c r="X82" s="51"/>
      <c r="Y82" s="51"/>
      <c r="Z82" s="51"/>
    </row>
    <row r="83" spans="1:26">
      <c r="A83" s="89" t="s">
        <v>538</v>
      </c>
      <c r="B83" s="305">
        <v>148</v>
      </c>
      <c r="C83" s="305">
        <v>245</v>
      </c>
      <c r="D83" s="305">
        <v>245</v>
      </c>
      <c r="E83" s="305">
        <v>245</v>
      </c>
      <c r="F83" s="305">
        <v>245</v>
      </c>
      <c r="G83" s="12"/>
      <c r="H83" s="281"/>
      <c r="I83" s="89" t="s">
        <v>723</v>
      </c>
      <c r="J83" s="305">
        <v>20452</v>
      </c>
      <c r="K83" s="305">
        <v>19545</v>
      </c>
      <c r="L83" s="305">
        <v>19545</v>
      </c>
      <c r="M83" s="305">
        <v>18855</v>
      </c>
      <c r="N83" s="305"/>
      <c r="O83" s="303"/>
      <c r="P83" s="303"/>
      <c r="Q83" s="303"/>
      <c r="R83" s="303"/>
      <c r="S83" s="51"/>
      <c r="T83" s="51"/>
      <c r="U83" s="51"/>
      <c r="V83" s="51"/>
      <c r="W83" s="51"/>
      <c r="X83" s="51"/>
      <c r="Y83" s="51"/>
      <c r="Z83" s="51"/>
    </row>
    <row r="84" spans="1:26">
      <c r="A84" s="89" t="s">
        <v>540</v>
      </c>
      <c r="B84" s="305" t="s">
        <v>26</v>
      </c>
      <c r="C84" s="305" t="s">
        <v>26</v>
      </c>
      <c r="D84" s="305" t="s">
        <v>26</v>
      </c>
      <c r="E84" s="305"/>
      <c r="F84" s="305"/>
      <c r="G84" s="12"/>
      <c r="H84" s="281"/>
      <c r="I84" s="89" t="s">
        <v>560</v>
      </c>
      <c r="J84" s="305">
        <v>-140</v>
      </c>
      <c r="K84" s="305">
        <v>-35</v>
      </c>
      <c r="L84" s="305">
        <v>-35</v>
      </c>
      <c r="M84" s="305">
        <v>-133</v>
      </c>
      <c r="N84" s="305">
        <v>-39</v>
      </c>
      <c r="O84" s="303"/>
      <c r="P84" s="303"/>
      <c r="Q84" s="303"/>
      <c r="R84" s="303"/>
      <c r="S84" s="51"/>
      <c r="T84" s="51"/>
      <c r="U84" s="51"/>
      <c r="V84" s="51"/>
      <c r="W84" s="51"/>
      <c r="X84" s="51"/>
      <c r="Y84" s="51"/>
      <c r="Z84" s="51"/>
    </row>
    <row r="85" spans="1:26">
      <c r="A85" s="89" t="s">
        <v>534</v>
      </c>
      <c r="B85" s="305" t="s">
        <v>26</v>
      </c>
      <c r="C85" s="305" t="s">
        <v>26</v>
      </c>
      <c r="D85" s="305" t="s">
        <v>26</v>
      </c>
      <c r="E85" s="305"/>
      <c r="F85" s="305"/>
      <c r="G85" s="12"/>
      <c r="H85" s="281"/>
      <c r="I85" s="89" t="s">
        <v>562</v>
      </c>
      <c r="J85" s="305">
        <v>18040</v>
      </c>
      <c r="K85" s="305">
        <v>16116</v>
      </c>
      <c r="L85" s="305">
        <v>16116</v>
      </c>
      <c r="M85" s="305">
        <v>15351</v>
      </c>
      <c r="N85" s="305">
        <v>14088</v>
      </c>
      <c r="O85" s="303"/>
      <c r="P85" s="303"/>
      <c r="Q85" s="303"/>
      <c r="R85" s="303"/>
      <c r="S85" s="51"/>
      <c r="T85" s="51"/>
      <c r="U85" s="51"/>
      <c r="V85" s="51"/>
      <c r="W85" s="51"/>
      <c r="X85" s="51"/>
      <c r="Y85" s="51"/>
      <c r="Z85" s="51"/>
    </row>
    <row r="86" spans="1:26">
      <c r="A86" s="89" t="s">
        <v>535</v>
      </c>
      <c r="B86" s="305">
        <v>15.45</v>
      </c>
      <c r="C86" s="305">
        <v>0</v>
      </c>
      <c r="D86" s="305">
        <v>0</v>
      </c>
      <c r="E86" s="305">
        <v>0</v>
      </c>
      <c r="F86" s="305">
        <v>0</v>
      </c>
      <c r="G86" s="12"/>
      <c r="H86" s="281"/>
      <c r="I86" s="89" t="s">
        <v>576</v>
      </c>
      <c r="J86" s="305" t="s">
        <v>26</v>
      </c>
      <c r="K86" s="305" t="s">
        <v>26</v>
      </c>
      <c r="L86" s="305"/>
      <c r="M86" s="305"/>
      <c r="N86" s="305"/>
      <c r="O86" s="303"/>
      <c r="P86" s="303"/>
      <c r="Q86" s="303"/>
      <c r="R86" s="303"/>
      <c r="S86" s="51"/>
      <c r="T86" s="51"/>
      <c r="U86" s="51"/>
      <c r="V86" s="51"/>
      <c r="W86" s="51"/>
      <c r="X86" s="51"/>
      <c r="Y86" s="51"/>
      <c r="Z86" s="51"/>
    </row>
    <row r="87" spans="1:26">
      <c r="A87" s="89" t="s">
        <v>536</v>
      </c>
      <c r="B87" s="305">
        <v>49</v>
      </c>
      <c r="C87" s="305">
        <v>0</v>
      </c>
      <c r="D87" s="305">
        <v>0</v>
      </c>
      <c r="E87" s="305">
        <v>0</v>
      </c>
      <c r="F87" s="305">
        <v>0</v>
      </c>
      <c r="G87" s="12"/>
      <c r="H87" s="281"/>
      <c r="I87" s="89" t="s">
        <v>563</v>
      </c>
      <c r="J87" s="305">
        <v>-155</v>
      </c>
      <c r="K87" s="305">
        <v>-169</v>
      </c>
      <c r="L87" s="305">
        <v>-169</v>
      </c>
      <c r="M87" s="305">
        <v>-49</v>
      </c>
      <c r="N87" s="305">
        <v>-196</v>
      </c>
      <c r="O87" s="303"/>
      <c r="P87" s="303"/>
      <c r="Q87" s="303"/>
      <c r="R87" s="303"/>
      <c r="S87" s="51"/>
      <c r="T87" s="51"/>
      <c r="U87" s="51"/>
      <c r="V87" s="51"/>
      <c r="W87" s="51"/>
      <c r="X87" s="51"/>
      <c r="Y87" s="51"/>
      <c r="Z87" s="51"/>
    </row>
    <row r="88" spans="1:26">
      <c r="A88" s="89" t="s">
        <v>537</v>
      </c>
      <c r="B88" s="305">
        <v>15.43</v>
      </c>
      <c r="C88" s="305">
        <v>0</v>
      </c>
      <c r="D88" s="305">
        <v>0</v>
      </c>
      <c r="E88" s="305">
        <v>0</v>
      </c>
      <c r="F88" s="305">
        <v>0</v>
      </c>
      <c r="G88" s="12"/>
      <c r="H88" s="281"/>
      <c r="I88" s="89" t="s">
        <v>564</v>
      </c>
      <c r="J88" s="305">
        <v>-177</v>
      </c>
      <c r="K88" s="305">
        <v>418</v>
      </c>
      <c r="L88" s="305">
        <v>418</v>
      </c>
      <c r="M88" s="305">
        <v>-257</v>
      </c>
      <c r="N88" s="305">
        <v>-291</v>
      </c>
      <c r="O88" s="303"/>
      <c r="P88" s="303"/>
      <c r="Q88" s="303"/>
      <c r="R88" s="303"/>
      <c r="S88" s="51"/>
      <c r="T88" s="51"/>
      <c r="U88" s="51"/>
      <c r="V88" s="51"/>
      <c r="W88" s="51"/>
      <c r="X88" s="51"/>
      <c r="Y88" s="51"/>
      <c r="Z88" s="51"/>
    </row>
    <row r="89" spans="1:26">
      <c r="A89" s="89" t="s">
        <v>538</v>
      </c>
      <c r="B89" s="305">
        <v>49</v>
      </c>
      <c r="C89" s="305">
        <v>0</v>
      </c>
      <c r="D89" s="305">
        <v>0</v>
      </c>
      <c r="E89" s="305">
        <v>0</v>
      </c>
      <c r="F89" s="305">
        <v>0</v>
      </c>
      <c r="G89" s="12"/>
      <c r="H89" s="281"/>
      <c r="I89" s="89" t="s">
        <v>565</v>
      </c>
      <c r="J89" s="305">
        <v>-921</v>
      </c>
      <c r="K89" s="305">
        <v>-2512</v>
      </c>
      <c r="L89" s="305">
        <v>-2512</v>
      </c>
      <c r="M89" s="305">
        <v>743</v>
      </c>
      <c r="N89" s="305">
        <v>838</v>
      </c>
      <c r="O89" s="303"/>
      <c r="P89" s="303"/>
      <c r="Q89" s="303"/>
      <c r="R89" s="303"/>
      <c r="S89" s="51"/>
      <c r="T89" s="51"/>
      <c r="U89" s="51"/>
      <c r="V89" s="51"/>
      <c r="W89" s="51"/>
      <c r="X89" s="51"/>
      <c r="Y89" s="51"/>
      <c r="Z89" s="51"/>
    </row>
    <row r="90" spans="1:26">
      <c r="A90" s="89" t="s">
        <v>541</v>
      </c>
      <c r="B90" s="305" t="s">
        <v>26</v>
      </c>
      <c r="C90" s="305" t="s">
        <v>26</v>
      </c>
      <c r="D90" s="305" t="s">
        <v>26</v>
      </c>
      <c r="E90" s="305"/>
      <c r="F90" s="305"/>
      <c r="G90" s="12"/>
      <c r="H90" s="281"/>
      <c r="I90" s="89" t="s">
        <v>577</v>
      </c>
      <c r="J90" s="305">
        <v>-1317</v>
      </c>
      <c r="K90" s="305">
        <v>-2369</v>
      </c>
      <c r="L90" s="305"/>
      <c r="M90" s="305"/>
      <c r="N90" s="305"/>
      <c r="O90" s="303"/>
      <c r="P90" s="303"/>
      <c r="Q90" s="303"/>
      <c r="R90" s="303"/>
      <c r="S90" s="51"/>
      <c r="T90" s="51"/>
      <c r="U90" s="51"/>
      <c r="V90" s="51"/>
      <c r="W90" s="51"/>
      <c r="X90" s="51"/>
      <c r="Y90" s="51"/>
      <c r="Z90" s="51"/>
    </row>
    <row r="91" spans="1:26">
      <c r="A91" s="89" t="s">
        <v>534</v>
      </c>
      <c r="B91" s="305" t="s">
        <v>26</v>
      </c>
      <c r="C91" s="305" t="s">
        <v>26</v>
      </c>
      <c r="D91" s="305" t="s">
        <v>26</v>
      </c>
      <c r="E91" s="305"/>
      <c r="F91" s="305"/>
      <c r="G91" s="12"/>
      <c r="H91" s="281"/>
      <c r="I91" s="89" t="s">
        <v>566</v>
      </c>
      <c r="J91" s="305">
        <v>38733</v>
      </c>
      <c r="K91" s="305">
        <v>35581</v>
      </c>
      <c r="L91" s="305">
        <v>35581</v>
      </c>
      <c r="M91" s="305">
        <v>37589</v>
      </c>
      <c r="N91" s="305">
        <v>36210</v>
      </c>
      <c r="O91" s="303"/>
      <c r="P91" s="303"/>
      <c r="Q91" s="303"/>
      <c r="R91" s="303"/>
      <c r="S91" s="51"/>
      <c r="T91" s="51"/>
      <c r="U91" s="51"/>
      <c r="V91" s="51"/>
      <c r="W91" s="51"/>
      <c r="X91" s="51"/>
      <c r="Y91" s="51"/>
      <c r="Z91" s="51"/>
    </row>
    <row r="92" spans="1:26">
      <c r="A92" s="89" t="s">
        <v>535</v>
      </c>
      <c r="B92" s="305">
        <v>38.97</v>
      </c>
      <c r="C92" s="305">
        <v>33.17</v>
      </c>
      <c r="D92" s="305">
        <v>28.03</v>
      </c>
      <c r="E92" s="305">
        <v>22.53</v>
      </c>
      <c r="F92" s="305">
        <v>19.579999999999998</v>
      </c>
      <c r="G92" s="12"/>
      <c r="H92" s="281"/>
      <c r="I92" s="89" t="s">
        <v>567</v>
      </c>
      <c r="J92" s="305">
        <v>90499</v>
      </c>
      <c r="K92" s="305">
        <v>85501</v>
      </c>
      <c r="L92" s="305">
        <v>85501</v>
      </c>
      <c r="M92" s="305">
        <v>82896</v>
      </c>
      <c r="N92" s="305">
        <v>80919</v>
      </c>
      <c r="O92" s="303"/>
      <c r="P92" s="303"/>
      <c r="Q92" s="303"/>
      <c r="R92" s="303"/>
      <c r="S92" s="51"/>
      <c r="T92" s="51"/>
      <c r="U92" s="51"/>
      <c r="V92" s="51"/>
      <c r="W92" s="51"/>
      <c r="X92" s="51"/>
      <c r="Y92" s="51"/>
      <c r="Z92" s="51"/>
    </row>
    <row r="93" spans="1:26">
      <c r="A93" s="89" t="s">
        <v>536</v>
      </c>
      <c r="B93" s="305">
        <v>16</v>
      </c>
      <c r="C93" s="305">
        <v>10</v>
      </c>
      <c r="D93" s="305">
        <v>10</v>
      </c>
      <c r="E93" s="305">
        <v>10</v>
      </c>
      <c r="F93" s="305">
        <v>11</v>
      </c>
      <c r="G93" s="12"/>
      <c r="H93" s="281"/>
      <c r="I93" s="89" t="s">
        <v>724</v>
      </c>
      <c r="J93" s="305"/>
      <c r="K93" s="305"/>
      <c r="L93" s="305" t="s">
        <v>26</v>
      </c>
      <c r="M93" s="305" t="s">
        <v>26</v>
      </c>
      <c r="N93" s="305"/>
      <c r="O93" s="303"/>
      <c r="P93" s="303"/>
      <c r="Q93" s="303"/>
      <c r="R93" s="303"/>
      <c r="S93" s="51"/>
      <c r="T93" s="51"/>
      <c r="U93" s="51"/>
      <c r="V93" s="51"/>
      <c r="W93" s="51"/>
      <c r="X93" s="51"/>
      <c r="Y93" s="51"/>
      <c r="Z93" s="51"/>
    </row>
    <row r="94" spans="1:26">
      <c r="A94" s="89" t="s">
        <v>537</v>
      </c>
      <c r="B94" s="305">
        <v>38.92</v>
      </c>
      <c r="C94" s="305">
        <v>33.130000000000003</v>
      </c>
      <c r="D94" s="305">
        <v>28</v>
      </c>
      <c r="E94" s="305">
        <v>22.51</v>
      </c>
      <c r="F94" s="305">
        <v>19.559999999999999</v>
      </c>
      <c r="G94" s="12"/>
      <c r="H94" s="281"/>
      <c r="I94" s="89" t="s">
        <v>725</v>
      </c>
      <c r="J94" s="305"/>
      <c r="K94" s="305"/>
      <c r="L94" s="305">
        <v>-2369</v>
      </c>
      <c r="M94" s="305">
        <v>436</v>
      </c>
      <c r="N94" s="305">
        <v>354</v>
      </c>
      <c r="O94" s="303"/>
      <c r="P94" s="303"/>
      <c r="Q94" s="303"/>
      <c r="R94" s="303"/>
      <c r="S94" s="51"/>
      <c r="T94" s="51"/>
      <c r="U94" s="51"/>
      <c r="V94" s="51"/>
      <c r="W94" s="51"/>
      <c r="X94" s="51"/>
      <c r="Y94" s="51"/>
      <c r="Z94" s="51"/>
    </row>
    <row r="95" spans="1:26">
      <c r="A95" s="89" t="s">
        <v>538</v>
      </c>
      <c r="B95" s="305">
        <v>16</v>
      </c>
      <c r="C95" s="305">
        <v>10</v>
      </c>
      <c r="D95" s="305">
        <v>10</v>
      </c>
      <c r="E95" s="305">
        <v>10</v>
      </c>
      <c r="F95" s="305">
        <v>11</v>
      </c>
      <c r="G95" s="12"/>
      <c r="H95" s="281"/>
      <c r="I95" s="89" t="s">
        <v>694</v>
      </c>
      <c r="J95" s="305"/>
      <c r="K95" s="305"/>
      <c r="L95" s="305"/>
      <c r="M95" s="305"/>
      <c r="N95" s="305" t="s">
        <v>70</v>
      </c>
      <c r="O95" s="303"/>
      <c r="P95" s="303"/>
      <c r="Q95" s="303"/>
      <c r="R95" s="303"/>
      <c r="S95" s="51"/>
      <c r="T95" s="51"/>
      <c r="U95" s="51"/>
      <c r="V95" s="51"/>
      <c r="W95" s="51"/>
      <c r="X95" s="51"/>
      <c r="Y95" s="51"/>
      <c r="Z95" s="51"/>
    </row>
    <row r="96" spans="1:26">
      <c r="A96" s="89"/>
      <c r="B96" s="305"/>
      <c r="C96" s="305"/>
      <c r="D96" s="305"/>
      <c r="E96" s="305"/>
      <c r="F96" s="305"/>
      <c r="G96" s="12"/>
      <c r="H96" s="281"/>
      <c r="I96" s="89" t="s">
        <v>561</v>
      </c>
      <c r="J96" s="305"/>
      <c r="K96" s="305"/>
      <c r="L96" s="305"/>
      <c r="M96" s="305"/>
      <c r="N96" s="305">
        <v>16721</v>
      </c>
      <c r="O96" s="303"/>
      <c r="P96" s="303"/>
      <c r="Q96" s="303"/>
      <c r="R96" s="303"/>
      <c r="S96" s="51"/>
      <c r="T96" s="51"/>
      <c r="U96" s="51"/>
      <c r="V96" s="51"/>
      <c r="W96" s="51"/>
      <c r="X96" s="51"/>
      <c r="Y96" s="51"/>
      <c r="Z96" s="51"/>
    </row>
    <row r="97" spans="1:26">
      <c r="A97" s="89"/>
      <c r="B97" s="305"/>
      <c r="C97" s="305"/>
      <c r="D97" s="305"/>
      <c r="E97" s="305"/>
      <c r="F97" s="305"/>
      <c r="G97" s="12"/>
      <c r="H97" s="281"/>
      <c r="I97" s="89" t="s">
        <v>568</v>
      </c>
      <c r="J97" s="305"/>
      <c r="K97" s="305"/>
      <c r="L97" s="305"/>
      <c r="M97" s="305"/>
      <c r="N97" s="305"/>
      <c r="O97" s="303"/>
      <c r="P97" s="303"/>
      <c r="Q97" s="303"/>
      <c r="R97" s="303"/>
      <c r="S97" s="51"/>
      <c r="T97" s="51"/>
      <c r="U97" s="51"/>
      <c r="V97" s="51"/>
      <c r="W97" s="51"/>
      <c r="X97" s="51"/>
      <c r="Y97" s="51"/>
      <c r="Z97" s="51"/>
    </row>
    <row r="98" spans="1:26">
      <c r="A98" s="89"/>
      <c r="B98" s="305"/>
      <c r="C98" s="305"/>
      <c r="D98" s="305"/>
      <c r="E98" s="305"/>
      <c r="F98" s="305"/>
      <c r="G98" s="12"/>
      <c r="H98" s="281"/>
      <c r="I98" s="89" t="s">
        <v>570</v>
      </c>
      <c r="J98" s="305"/>
      <c r="K98" s="305"/>
      <c r="L98" s="305"/>
      <c r="M98" s="305"/>
      <c r="N98" s="305"/>
      <c r="O98" s="303"/>
      <c r="P98" s="303"/>
      <c r="Q98" s="303"/>
      <c r="R98" s="303"/>
      <c r="S98" s="51"/>
      <c r="T98" s="51"/>
      <c r="U98" s="51"/>
      <c r="V98" s="51"/>
      <c r="W98" s="51"/>
      <c r="X98" s="51"/>
      <c r="Y98" s="51"/>
      <c r="Z98" s="51"/>
    </row>
    <row r="99" spans="1:26">
      <c r="A99" s="89"/>
      <c r="B99" s="305"/>
      <c r="C99" s="305"/>
      <c r="D99" s="305"/>
      <c r="E99" s="305"/>
      <c r="F99" s="305"/>
      <c r="G99" s="12"/>
      <c r="H99" s="281"/>
      <c r="I99" s="89" t="s">
        <v>571</v>
      </c>
      <c r="J99" s="305"/>
      <c r="K99" s="305"/>
      <c r="L99" s="305"/>
      <c r="M99" s="305"/>
      <c r="N99" s="305"/>
      <c r="O99" s="303"/>
      <c r="P99" s="303"/>
      <c r="Q99" s="303"/>
      <c r="R99" s="303"/>
      <c r="S99" s="51"/>
      <c r="T99" s="51"/>
      <c r="U99" s="51"/>
      <c r="V99" s="51"/>
      <c r="W99" s="51"/>
      <c r="X99" s="51"/>
      <c r="Y99" s="51"/>
      <c r="Z99" s="51"/>
    </row>
    <row r="100" spans="1:26">
      <c r="A100" s="89"/>
      <c r="B100" s="305"/>
      <c r="C100" s="305"/>
      <c r="D100" s="305"/>
      <c r="E100" s="305"/>
      <c r="F100" s="305"/>
      <c r="G100" s="12"/>
      <c r="H100" s="281"/>
      <c r="I100" s="89" t="s">
        <v>572</v>
      </c>
      <c r="J100" s="305"/>
      <c r="K100" s="305"/>
      <c r="L100" s="305"/>
      <c r="M100" s="305"/>
      <c r="N100" s="305"/>
      <c r="O100" s="303"/>
      <c r="P100" s="303"/>
      <c r="Q100" s="303"/>
      <c r="R100" s="303"/>
      <c r="S100" s="51"/>
      <c r="T100" s="51"/>
      <c r="U100" s="51"/>
      <c r="V100" s="51"/>
      <c r="W100" s="51"/>
      <c r="X100" s="51"/>
      <c r="Y100" s="51"/>
      <c r="Z100" s="51"/>
    </row>
    <row r="101" spans="1:26">
      <c r="A101" s="89"/>
      <c r="B101" s="305"/>
      <c r="C101" s="305"/>
      <c r="D101" s="305"/>
      <c r="E101" s="305"/>
      <c r="F101" s="305"/>
      <c r="G101" s="12"/>
      <c r="H101" s="281"/>
      <c r="I101" s="89" t="s">
        <v>573</v>
      </c>
      <c r="J101" s="305"/>
      <c r="K101" s="305"/>
      <c r="L101" s="305"/>
      <c r="M101" s="305"/>
      <c r="N101" s="305">
        <v>0</v>
      </c>
      <c r="O101" s="303"/>
      <c r="P101" s="303"/>
      <c r="Q101" s="303"/>
      <c r="R101" s="303"/>
      <c r="S101" s="51"/>
      <c r="T101" s="51"/>
      <c r="U101" s="51"/>
      <c r="V101" s="51"/>
      <c r="W101" s="51"/>
      <c r="X101" s="51"/>
      <c r="Y101" s="51"/>
      <c r="Z101" s="51"/>
    </row>
    <row r="102" spans="1:26">
      <c r="A102" s="202" t="s">
        <v>1425</v>
      </c>
      <c r="B102" s="305"/>
      <c r="C102" s="305"/>
      <c r="D102" s="305"/>
      <c r="E102" s="305"/>
      <c r="F102" s="305"/>
      <c r="G102" s="12"/>
      <c r="H102" s="281"/>
      <c r="I102" s="89" t="s">
        <v>574</v>
      </c>
      <c r="J102" s="305"/>
      <c r="K102" s="305"/>
      <c r="L102" s="305"/>
      <c r="M102" s="305"/>
      <c r="N102" s="305"/>
      <c r="O102" s="303"/>
      <c r="P102" s="303"/>
      <c r="Q102" s="303"/>
      <c r="R102" s="303"/>
      <c r="S102" s="51"/>
      <c r="T102" s="51"/>
      <c r="U102" s="51"/>
      <c r="V102" s="51"/>
      <c r="W102" s="51"/>
      <c r="X102" s="51"/>
      <c r="Y102" s="51"/>
      <c r="Z102" s="51"/>
    </row>
    <row r="103" spans="1:26">
      <c r="A103" s="89"/>
      <c r="B103" s="305"/>
      <c r="C103" s="305"/>
      <c r="D103" s="305"/>
      <c r="E103" s="305"/>
      <c r="F103" s="305"/>
      <c r="G103" s="12"/>
      <c r="H103" s="281"/>
      <c r="I103" s="89" t="s">
        <v>541</v>
      </c>
      <c r="J103" s="305"/>
      <c r="K103" s="305"/>
      <c r="L103" s="305"/>
      <c r="M103" s="305"/>
      <c r="N103" s="305"/>
      <c r="O103" s="303"/>
      <c r="P103" s="303"/>
      <c r="Q103" s="303"/>
      <c r="R103" s="303"/>
      <c r="S103" s="51"/>
      <c r="T103" s="51"/>
      <c r="U103" s="51"/>
      <c r="V103" s="51"/>
      <c r="W103" s="51"/>
      <c r="X103" s="51"/>
      <c r="Y103" s="51"/>
      <c r="Z103" s="51"/>
    </row>
    <row r="104" spans="1:26">
      <c r="A104" s="89"/>
      <c r="B104" s="305"/>
      <c r="C104" s="305"/>
      <c r="D104" s="305"/>
      <c r="E104" s="305"/>
      <c r="F104" s="305"/>
      <c r="G104" s="12"/>
      <c r="H104" s="281"/>
      <c r="I104" s="89" t="s">
        <v>559</v>
      </c>
      <c r="J104" s="305">
        <v>0</v>
      </c>
      <c r="K104" s="305">
        <v>0</v>
      </c>
      <c r="L104" s="305">
        <v>0</v>
      </c>
      <c r="M104" s="305"/>
      <c r="N104" s="305"/>
      <c r="O104" s="303"/>
      <c r="P104" s="303"/>
      <c r="Q104" s="303"/>
      <c r="R104" s="303"/>
      <c r="S104" s="51"/>
      <c r="T104" s="51"/>
      <c r="U104" s="51"/>
      <c r="V104" s="51"/>
      <c r="W104" s="51"/>
      <c r="X104" s="51"/>
      <c r="Y104" s="51"/>
      <c r="Z104" s="51"/>
    </row>
    <row r="105" spans="1:26">
      <c r="A105" s="89"/>
      <c r="B105" s="305"/>
      <c r="C105" s="305"/>
      <c r="D105" s="305"/>
      <c r="E105" s="305"/>
      <c r="F105" s="305"/>
      <c r="G105" s="12"/>
      <c r="H105" s="281"/>
      <c r="I105" s="89" t="s">
        <v>569</v>
      </c>
      <c r="J105" s="305" t="s">
        <v>26</v>
      </c>
      <c r="K105" s="305" t="s">
        <v>26</v>
      </c>
      <c r="L105" s="305"/>
      <c r="M105" s="305">
        <v>1523</v>
      </c>
      <c r="N105" s="305">
        <v>1543</v>
      </c>
      <c r="O105" s="303"/>
      <c r="P105" s="303"/>
      <c r="Q105" s="303"/>
      <c r="R105" s="303"/>
      <c r="S105" s="51"/>
      <c r="T105" s="51"/>
      <c r="U105" s="51"/>
      <c r="V105" s="51"/>
      <c r="W105" s="51"/>
      <c r="X105" s="51"/>
      <c r="Y105" s="51"/>
      <c r="Z105" s="51"/>
    </row>
    <row r="106" spans="1:26">
      <c r="A106" s="89"/>
      <c r="B106" s="305"/>
      <c r="C106" s="305"/>
      <c r="D106" s="305"/>
      <c r="E106" s="305"/>
      <c r="F106" s="305"/>
      <c r="G106" s="12"/>
      <c r="H106" s="281"/>
      <c r="I106" s="89" t="s">
        <v>572</v>
      </c>
      <c r="J106" s="305" t="s">
        <v>26</v>
      </c>
      <c r="K106" s="305" t="s">
        <v>26</v>
      </c>
      <c r="L106" s="305"/>
      <c r="M106" s="305"/>
      <c r="N106" s="305"/>
      <c r="O106" s="303"/>
      <c r="P106" s="303"/>
      <c r="Q106" s="303"/>
      <c r="R106" s="303"/>
      <c r="S106" s="51"/>
      <c r="T106" s="51"/>
      <c r="U106" s="51"/>
      <c r="V106" s="51"/>
      <c r="W106" s="51"/>
      <c r="X106" s="51"/>
      <c r="Y106" s="51"/>
      <c r="Z106" s="51"/>
    </row>
    <row r="107" spans="1:26">
      <c r="A107" s="89"/>
      <c r="B107" s="305"/>
      <c r="C107" s="305"/>
      <c r="D107" s="305"/>
      <c r="E107" s="305"/>
      <c r="F107" s="305"/>
      <c r="G107" s="12"/>
      <c r="H107" s="281"/>
      <c r="I107" s="89" t="s">
        <v>559</v>
      </c>
      <c r="J107" s="305">
        <v>0</v>
      </c>
      <c r="K107" s="305">
        <v>0</v>
      </c>
      <c r="L107" s="305">
        <v>0</v>
      </c>
      <c r="M107" s="305"/>
      <c r="N107" s="305"/>
      <c r="O107" s="303"/>
      <c r="P107" s="303"/>
      <c r="Q107" s="303"/>
      <c r="R107" s="303"/>
      <c r="S107" s="51"/>
      <c r="T107" s="51"/>
      <c r="U107" s="51"/>
      <c r="V107" s="51"/>
      <c r="W107" s="51"/>
      <c r="X107" s="51"/>
      <c r="Y107" s="51"/>
      <c r="Z107" s="51"/>
    </row>
    <row r="108" spans="1:26">
      <c r="A108" s="89"/>
      <c r="B108" s="305"/>
      <c r="C108" s="305"/>
      <c r="D108" s="305"/>
      <c r="E108" s="305"/>
      <c r="F108" s="305"/>
      <c r="G108" s="12"/>
      <c r="H108" s="281"/>
      <c r="I108" s="89" t="s">
        <v>573</v>
      </c>
      <c r="J108" s="305"/>
      <c r="K108" s="305"/>
      <c r="L108" s="305"/>
      <c r="M108" s="305">
        <v>0</v>
      </c>
      <c r="N108" s="305">
        <v>0</v>
      </c>
      <c r="O108" s="303"/>
      <c r="P108" s="303"/>
      <c r="Q108" s="303"/>
      <c r="R108" s="303"/>
      <c r="S108" s="51"/>
      <c r="T108" s="51"/>
      <c r="U108" s="51"/>
      <c r="V108" s="51"/>
      <c r="W108" s="51"/>
      <c r="X108" s="51"/>
      <c r="Y108" s="51"/>
      <c r="Z108" s="51"/>
    </row>
    <row r="109" spans="1:26">
      <c r="A109" s="89"/>
      <c r="B109" s="305"/>
      <c r="C109" s="305"/>
      <c r="D109" s="305"/>
      <c r="E109" s="305"/>
      <c r="F109" s="305"/>
      <c r="G109" s="12"/>
      <c r="H109" s="281"/>
      <c r="I109" s="89" t="s">
        <v>574</v>
      </c>
      <c r="J109" s="305"/>
      <c r="K109" s="305"/>
      <c r="L109" s="305"/>
      <c r="M109" s="305"/>
      <c r="N109" s="305"/>
      <c r="O109" s="303"/>
      <c r="P109" s="303"/>
      <c r="Q109" s="303"/>
      <c r="R109" s="303"/>
      <c r="S109" s="51"/>
      <c r="T109" s="51"/>
      <c r="U109" s="51"/>
      <c r="V109" s="51"/>
      <c r="W109" s="51"/>
      <c r="X109" s="51"/>
      <c r="Y109" s="51"/>
      <c r="Z109" s="51"/>
    </row>
    <row r="110" spans="1:26">
      <c r="A110" s="89"/>
      <c r="B110" s="305"/>
      <c r="C110" s="305"/>
      <c r="D110" s="305"/>
      <c r="E110" s="305"/>
      <c r="F110" s="305"/>
      <c r="G110" s="12"/>
      <c r="H110" s="281"/>
      <c r="I110" s="89" t="s">
        <v>559</v>
      </c>
      <c r="J110" s="305"/>
      <c r="K110" s="305"/>
      <c r="L110" s="305"/>
      <c r="M110" s="305"/>
      <c r="N110" s="305"/>
      <c r="O110" s="303"/>
      <c r="P110" s="303"/>
      <c r="Q110" s="303"/>
      <c r="R110" s="303"/>
      <c r="S110" s="51"/>
      <c r="T110" s="51"/>
      <c r="U110" s="51"/>
      <c r="V110" s="51"/>
      <c r="W110" s="51"/>
      <c r="X110" s="51"/>
      <c r="Y110" s="51"/>
      <c r="Z110" s="51"/>
    </row>
    <row r="111" spans="1:26">
      <c r="A111" s="89"/>
      <c r="B111" s="305"/>
      <c r="C111" s="305"/>
      <c r="D111" s="305"/>
      <c r="E111" s="305"/>
      <c r="F111" s="305"/>
      <c r="G111" s="12"/>
      <c r="H111" s="281"/>
      <c r="I111" s="89" t="s">
        <v>573</v>
      </c>
      <c r="J111" s="305"/>
      <c r="K111" s="305"/>
      <c r="L111" s="305"/>
      <c r="M111" s="305">
        <v>0</v>
      </c>
      <c r="N111" s="305">
        <v>0</v>
      </c>
      <c r="O111" s="303"/>
      <c r="P111" s="303"/>
      <c r="Q111" s="303"/>
      <c r="R111" s="303"/>
      <c r="S111" s="51"/>
      <c r="T111" s="51"/>
      <c r="U111" s="51"/>
      <c r="V111" s="51"/>
      <c r="W111" s="51"/>
      <c r="X111" s="51"/>
      <c r="Y111" s="51"/>
      <c r="Z111" s="51"/>
    </row>
    <row r="112" spans="1:26">
      <c r="A112" s="89"/>
      <c r="B112" s="305"/>
      <c r="C112" s="305"/>
      <c r="D112" s="305"/>
      <c r="E112" s="305"/>
      <c r="F112" s="305"/>
      <c r="G112" s="12"/>
      <c r="H112" s="281"/>
      <c r="I112" s="89" t="s">
        <v>541</v>
      </c>
      <c r="J112" s="305"/>
      <c r="K112" s="305"/>
      <c r="L112" s="305"/>
      <c r="M112" s="305"/>
      <c r="N112" s="305"/>
      <c r="O112" s="303"/>
      <c r="P112" s="303"/>
      <c r="Q112" s="303"/>
      <c r="R112" s="303"/>
      <c r="S112" s="51"/>
      <c r="T112" s="51"/>
      <c r="U112" s="51"/>
      <c r="V112" s="51"/>
      <c r="W112" s="51"/>
      <c r="X112" s="51"/>
      <c r="Y112" s="51"/>
      <c r="Z112" s="51"/>
    </row>
    <row r="113" spans="1:26">
      <c r="A113" s="89"/>
      <c r="B113" s="305"/>
      <c r="C113" s="305"/>
      <c r="D113" s="305"/>
      <c r="E113" s="305"/>
      <c r="F113" s="305"/>
      <c r="G113" s="12"/>
      <c r="H113" s="281"/>
      <c r="I113" s="89" t="s">
        <v>559</v>
      </c>
      <c r="J113" s="305"/>
      <c r="K113" s="305"/>
      <c r="L113" s="305"/>
      <c r="M113" s="305"/>
      <c r="N113" s="305"/>
      <c r="O113" s="303"/>
      <c r="P113" s="303"/>
      <c r="Q113" s="303"/>
      <c r="R113" s="303"/>
      <c r="S113" s="51"/>
      <c r="T113" s="51"/>
      <c r="U113" s="51"/>
      <c r="V113" s="51"/>
      <c r="W113" s="51"/>
      <c r="X113" s="51"/>
      <c r="Y113" s="51"/>
      <c r="Z113" s="51"/>
    </row>
    <row r="114" spans="1:26">
      <c r="A114" s="89"/>
      <c r="B114" s="305"/>
      <c r="C114" s="305"/>
      <c r="D114" s="305"/>
      <c r="E114" s="305"/>
      <c r="F114" s="305"/>
      <c r="G114" s="12"/>
      <c r="H114" s="281"/>
      <c r="I114" s="89" t="s">
        <v>573</v>
      </c>
      <c r="J114" s="305"/>
      <c r="K114" s="305"/>
      <c r="L114" s="305"/>
      <c r="M114" s="305">
        <v>0</v>
      </c>
      <c r="N114" s="305">
        <v>0</v>
      </c>
      <c r="O114" s="303"/>
      <c r="P114" s="303"/>
      <c r="Q114" s="303"/>
      <c r="R114" s="303"/>
      <c r="S114" s="51"/>
      <c r="T114" s="51"/>
      <c r="U114" s="51"/>
      <c r="V114" s="51"/>
      <c r="W114" s="51"/>
      <c r="X114" s="51"/>
      <c r="Y114" s="51"/>
      <c r="Z114" s="51"/>
    </row>
    <row r="115" spans="1:26" ht="18.75" customHeight="1">
      <c r="A115" s="89"/>
      <c r="B115" s="305"/>
      <c r="C115" s="305"/>
      <c r="D115" s="305"/>
      <c r="E115" s="305"/>
      <c r="F115" s="305"/>
      <c r="G115" s="12"/>
      <c r="H115" s="281"/>
      <c r="I115" s="202" t="s">
        <v>1425</v>
      </c>
      <c r="J115" s="305"/>
      <c r="K115" s="305"/>
      <c r="L115" s="305"/>
      <c r="M115" s="305"/>
      <c r="N115" s="305"/>
      <c r="O115" s="303"/>
      <c r="P115" s="303"/>
      <c r="Q115" s="303"/>
      <c r="R115" s="303"/>
      <c r="S115" s="51"/>
      <c r="T115" s="51"/>
      <c r="U115" s="51"/>
      <c r="V115" s="51"/>
      <c r="W115" s="51"/>
      <c r="X115" s="51"/>
      <c r="Y115" s="51"/>
      <c r="Z115" s="51"/>
    </row>
    <row r="116" spans="1:26" ht="24.75" customHeight="1">
      <c r="A116" s="192" t="s">
        <v>645</v>
      </c>
      <c r="B116" s="305"/>
      <c r="C116" s="305"/>
      <c r="D116" s="305"/>
      <c r="E116" s="305"/>
      <c r="F116" s="305"/>
      <c r="G116" s="12"/>
      <c r="H116" s="281"/>
      <c r="I116" s="192" t="s">
        <v>971</v>
      </c>
      <c r="J116" s="305"/>
      <c r="K116" s="305" t="s">
        <v>520</v>
      </c>
      <c r="L116" s="305"/>
      <c r="M116" s="305"/>
      <c r="N116" s="305"/>
      <c r="O116" s="303"/>
      <c r="P116" s="303"/>
      <c r="Q116" s="303"/>
      <c r="R116" s="303"/>
      <c r="S116" s="51"/>
      <c r="T116" s="51"/>
      <c r="U116" s="51"/>
      <c r="V116" s="51"/>
      <c r="W116" s="51"/>
      <c r="X116" s="51"/>
      <c r="Y116" s="51"/>
      <c r="Z116" s="51"/>
    </row>
    <row r="117" spans="1:26" ht="15.75" customHeight="1">
      <c r="A117" s="192" t="s">
        <v>578</v>
      </c>
      <c r="B117" s="305" t="s">
        <v>520</v>
      </c>
      <c r="C117" s="305"/>
      <c r="D117" s="305"/>
      <c r="E117" s="305"/>
      <c r="F117" s="305"/>
      <c r="G117" s="12"/>
      <c r="H117" s="281"/>
      <c r="I117" s="192" t="s">
        <v>613</v>
      </c>
      <c r="J117" s="305" t="s">
        <v>28</v>
      </c>
      <c r="K117" s="305" t="s">
        <v>27</v>
      </c>
      <c r="L117" s="305" t="s">
        <v>25</v>
      </c>
      <c r="M117" s="305" t="s">
        <v>24</v>
      </c>
      <c r="N117" s="305" t="s">
        <v>1</v>
      </c>
      <c r="O117" s="303"/>
      <c r="P117" s="303"/>
      <c r="Q117" s="303"/>
      <c r="R117" s="303"/>
      <c r="S117" s="51"/>
      <c r="T117" s="51"/>
      <c r="U117" s="51"/>
      <c r="V117" s="51"/>
      <c r="W117" s="51"/>
      <c r="X117" s="51"/>
      <c r="Y117" s="51"/>
      <c r="Z117" s="51"/>
    </row>
    <row r="118" spans="1:26" ht="18" customHeight="1">
      <c r="A118" s="89"/>
      <c r="B118" s="305" t="s">
        <v>28</v>
      </c>
      <c r="C118" s="305" t="s">
        <v>27</v>
      </c>
      <c r="D118" s="305" t="s">
        <v>25</v>
      </c>
      <c r="E118" s="305" t="s">
        <v>24</v>
      </c>
      <c r="F118" s="305" t="s">
        <v>1</v>
      </c>
      <c r="G118" s="12"/>
      <c r="H118" s="281"/>
      <c r="I118" s="89" t="s">
        <v>31</v>
      </c>
      <c r="J118" s="305" t="s">
        <v>26</v>
      </c>
      <c r="K118" s="305" t="s">
        <v>26</v>
      </c>
      <c r="L118" s="305" t="s">
        <v>26</v>
      </c>
      <c r="M118" s="305" t="s">
        <v>26</v>
      </c>
      <c r="N118" s="305"/>
      <c r="O118" s="303"/>
      <c r="P118" s="303"/>
      <c r="Q118" s="303"/>
      <c r="R118" s="303"/>
      <c r="S118" s="51"/>
      <c r="T118" s="51"/>
      <c r="U118" s="51"/>
      <c r="V118" s="51"/>
      <c r="W118" s="51"/>
      <c r="X118" s="51"/>
      <c r="Y118" s="51"/>
      <c r="Z118" s="51"/>
    </row>
    <row r="119" spans="1:26">
      <c r="A119" s="89" t="s">
        <v>579</v>
      </c>
      <c r="B119" s="305" t="s">
        <v>26</v>
      </c>
      <c r="C119" s="305" t="s">
        <v>26</v>
      </c>
      <c r="D119" s="305" t="s">
        <v>26</v>
      </c>
      <c r="E119" s="305" t="s">
        <v>26</v>
      </c>
      <c r="F119" s="305" t="s">
        <v>26</v>
      </c>
      <c r="G119" s="12"/>
      <c r="H119" s="281"/>
      <c r="I119" s="89" t="s">
        <v>614</v>
      </c>
      <c r="J119" s="305">
        <v>3413</v>
      </c>
      <c r="K119" s="305">
        <v>7118</v>
      </c>
      <c r="L119" s="305">
        <v>5510</v>
      </c>
      <c r="M119" s="305">
        <v>1292</v>
      </c>
      <c r="N119" s="305">
        <v>2984</v>
      </c>
      <c r="O119" s="303"/>
      <c r="P119" s="303"/>
      <c r="Q119" s="303"/>
      <c r="R119" s="303"/>
      <c r="S119" s="51"/>
      <c r="T119" s="51"/>
      <c r="U119" s="51"/>
      <c r="V119" s="51"/>
      <c r="W119" s="51"/>
      <c r="X119" s="51"/>
      <c r="Y119" s="51"/>
      <c r="Z119" s="51"/>
    </row>
    <row r="120" spans="1:26" ht="21.75" customHeight="1">
      <c r="A120" s="89" t="s">
        <v>580</v>
      </c>
      <c r="B120" s="305">
        <v>50406</v>
      </c>
      <c r="C120" s="305">
        <v>47381</v>
      </c>
      <c r="D120" s="305">
        <v>42967</v>
      </c>
      <c r="E120" s="305">
        <v>34630</v>
      </c>
      <c r="F120" s="305">
        <v>28102</v>
      </c>
      <c r="G120" s="12"/>
      <c r="H120" s="281"/>
      <c r="I120" s="89" t="s">
        <v>615</v>
      </c>
      <c r="J120" s="305">
        <v>37006</v>
      </c>
      <c r="K120" s="305">
        <v>39312</v>
      </c>
      <c r="L120" s="305">
        <v>28097</v>
      </c>
      <c r="M120" s="305">
        <v>20548</v>
      </c>
      <c r="N120" s="305">
        <v>29824</v>
      </c>
      <c r="O120" s="303"/>
      <c r="P120" s="303"/>
      <c r="Q120" s="303"/>
      <c r="R120" s="303"/>
      <c r="S120" s="51"/>
      <c r="T120" s="51"/>
      <c r="U120" s="51"/>
      <c r="V120" s="51"/>
      <c r="W120" s="51"/>
      <c r="X120" s="51"/>
      <c r="Y120" s="51"/>
      <c r="Z120" s="51"/>
    </row>
    <row r="121" spans="1:26">
      <c r="A121" s="89" t="s">
        <v>581</v>
      </c>
      <c r="B121" s="305" t="s">
        <v>26</v>
      </c>
      <c r="C121" s="305" t="s">
        <v>26</v>
      </c>
      <c r="D121" s="305" t="s">
        <v>26</v>
      </c>
      <c r="E121" s="305" t="s">
        <v>26</v>
      </c>
      <c r="F121" s="305" t="s">
        <v>26</v>
      </c>
      <c r="G121" s="12"/>
      <c r="H121" s="281"/>
      <c r="I121" s="89" t="s">
        <v>616</v>
      </c>
      <c r="J121" s="305">
        <v>221</v>
      </c>
      <c r="K121" s="305">
        <v>166</v>
      </c>
      <c r="L121" s="305">
        <v>307</v>
      </c>
      <c r="M121" s="305">
        <v>188</v>
      </c>
      <c r="N121" s="305">
        <v>157</v>
      </c>
      <c r="O121" s="303"/>
      <c r="P121" s="303"/>
      <c r="Q121" s="303"/>
      <c r="R121" s="303"/>
      <c r="S121" s="51"/>
      <c r="T121" s="51"/>
      <c r="U121" s="51"/>
      <c r="V121" s="51"/>
      <c r="W121" s="51"/>
      <c r="X121" s="51"/>
      <c r="Y121" s="51"/>
      <c r="Z121" s="51"/>
    </row>
    <row r="122" spans="1:26">
      <c r="A122" s="89" t="s">
        <v>582</v>
      </c>
      <c r="B122" s="305">
        <v>21095</v>
      </c>
      <c r="C122" s="305">
        <v>17697</v>
      </c>
      <c r="D122" s="305">
        <v>11967</v>
      </c>
      <c r="E122" s="305">
        <v>8850</v>
      </c>
      <c r="F122" s="305">
        <v>9779</v>
      </c>
      <c r="G122" s="12"/>
      <c r="H122" s="281"/>
      <c r="I122" s="89" t="s">
        <v>617</v>
      </c>
      <c r="J122" s="305">
        <v>40640</v>
      </c>
      <c r="K122" s="305">
        <v>46596</v>
      </c>
      <c r="L122" s="305">
        <v>33914</v>
      </c>
      <c r="M122" s="305">
        <v>22028</v>
      </c>
      <c r="N122" s="305">
        <v>32965</v>
      </c>
      <c r="O122" s="303"/>
      <c r="P122" s="303"/>
      <c r="Q122" s="303"/>
      <c r="R122" s="303"/>
      <c r="S122" s="51"/>
      <c r="T122" s="51"/>
      <c r="U122" s="51"/>
      <c r="V122" s="51"/>
      <c r="W122" s="51"/>
      <c r="X122" s="51"/>
      <c r="Y122" s="51"/>
      <c r="Z122" s="51"/>
    </row>
    <row r="123" spans="1:26">
      <c r="A123" s="89" t="s">
        <v>583</v>
      </c>
      <c r="B123" s="305">
        <v>86</v>
      </c>
      <c r="C123" s="305">
        <v>128</v>
      </c>
      <c r="D123" s="305">
        <v>96</v>
      </c>
      <c r="E123" s="305">
        <v>83</v>
      </c>
      <c r="F123" s="305">
        <v>127</v>
      </c>
      <c r="G123" s="12"/>
      <c r="H123" s="281"/>
      <c r="I123" s="89" t="s">
        <v>546</v>
      </c>
      <c r="J123" s="305">
        <v>1240</v>
      </c>
      <c r="K123" s="305">
        <v>2186</v>
      </c>
      <c r="L123" s="305">
        <v>4578</v>
      </c>
      <c r="M123" s="305">
        <v>2591</v>
      </c>
      <c r="N123" s="305">
        <v>21631</v>
      </c>
      <c r="O123" s="303"/>
      <c r="P123" s="303"/>
      <c r="Q123" s="303"/>
      <c r="R123" s="303"/>
      <c r="S123" s="51"/>
      <c r="T123" s="51"/>
      <c r="U123" s="51"/>
      <c r="V123" s="51"/>
      <c r="W123" s="51"/>
      <c r="X123" s="51"/>
      <c r="Y123" s="51"/>
      <c r="Z123" s="51"/>
    </row>
    <row r="124" spans="1:26" ht="18.75" customHeight="1">
      <c r="A124" s="89" t="s">
        <v>584</v>
      </c>
      <c r="B124" s="305">
        <v>2614</v>
      </c>
      <c r="C124" s="305">
        <v>2158</v>
      </c>
      <c r="D124" s="305">
        <v>595</v>
      </c>
      <c r="E124" s="305">
        <v>100</v>
      </c>
      <c r="F124" s="305">
        <v>177</v>
      </c>
      <c r="G124" s="12"/>
      <c r="H124" s="281"/>
      <c r="I124" s="89" t="s">
        <v>618</v>
      </c>
      <c r="J124" s="305">
        <v>5371</v>
      </c>
      <c r="K124" s="305">
        <v>5138</v>
      </c>
      <c r="L124" s="305">
        <v>5215</v>
      </c>
      <c r="M124" s="305">
        <v>4988</v>
      </c>
      <c r="N124" s="305">
        <v>5015</v>
      </c>
      <c r="O124" s="303"/>
      <c r="P124" s="303"/>
      <c r="Q124" s="303"/>
      <c r="R124" s="303"/>
      <c r="S124" s="51"/>
      <c r="T124" s="51"/>
      <c r="U124" s="51"/>
      <c r="V124" s="51"/>
      <c r="W124" s="51"/>
      <c r="X124" s="51"/>
      <c r="Y124" s="51"/>
      <c r="Z124" s="51"/>
    </row>
    <row r="125" spans="1:26">
      <c r="A125" s="89" t="s">
        <v>585</v>
      </c>
      <c r="B125" s="305">
        <v>23795</v>
      </c>
      <c r="C125" s="305">
        <v>19983</v>
      </c>
      <c r="D125" s="305">
        <v>12658</v>
      </c>
      <c r="E125" s="305">
        <v>9033</v>
      </c>
      <c r="F125" s="305">
        <v>10083</v>
      </c>
      <c r="G125" s="12"/>
      <c r="H125" s="281"/>
      <c r="I125" s="89" t="s">
        <v>619</v>
      </c>
      <c r="J125" s="305">
        <v>21179</v>
      </c>
      <c r="K125" s="305">
        <v>19114</v>
      </c>
      <c r="L125" s="305">
        <v>17689</v>
      </c>
      <c r="M125" s="305">
        <v>17244</v>
      </c>
      <c r="N125" s="305">
        <v>17679</v>
      </c>
      <c r="O125" s="303"/>
      <c r="P125" s="303"/>
      <c r="Q125" s="303"/>
      <c r="R125" s="303"/>
      <c r="S125" s="51"/>
      <c r="T125" s="51"/>
      <c r="U125" s="51"/>
      <c r="V125" s="51"/>
      <c r="W125" s="51"/>
      <c r="X125" s="51"/>
      <c r="Y125" s="51"/>
      <c r="Z125" s="51"/>
    </row>
    <row r="126" spans="1:26">
      <c r="A126" s="89" t="s">
        <v>14</v>
      </c>
      <c r="B126" s="305" t="s">
        <v>26</v>
      </c>
      <c r="C126" s="305" t="s">
        <v>26</v>
      </c>
      <c r="D126" s="305" t="s">
        <v>26</v>
      </c>
      <c r="E126" s="305" t="s">
        <v>26</v>
      </c>
      <c r="F126" s="305" t="s">
        <v>26</v>
      </c>
      <c r="G126" s="12"/>
      <c r="H126" s="281"/>
      <c r="I126" s="89" t="s">
        <v>553</v>
      </c>
      <c r="J126" s="305">
        <v>271461</v>
      </c>
      <c r="K126" s="305">
        <v>261108</v>
      </c>
      <c r="L126" s="305">
        <v>228354</v>
      </c>
      <c r="M126" s="305">
        <v>188548</v>
      </c>
      <c r="N126" s="305">
        <v>191367</v>
      </c>
      <c r="O126" s="303"/>
      <c r="P126" s="303"/>
      <c r="Q126" s="303"/>
      <c r="R126" s="303"/>
      <c r="S126" s="51"/>
      <c r="T126" s="51"/>
      <c r="U126" s="51"/>
      <c r="V126" s="51"/>
      <c r="W126" s="51"/>
      <c r="X126" s="51"/>
      <c r="Y126" s="51"/>
      <c r="Z126" s="51"/>
    </row>
    <row r="127" spans="1:26">
      <c r="A127" s="89" t="s">
        <v>586</v>
      </c>
      <c r="B127" s="305">
        <v>5695</v>
      </c>
      <c r="C127" s="305">
        <v>4865</v>
      </c>
      <c r="D127" s="305">
        <v>1527</v>
      </c>
      <c r="E127" s="305">
        <v>458</v>
      </c>
      <c r="F127" s="305">
        <v>943</v>
      </c>
      <c r="G127" s="12"/>
      <c r="H127" s="281"/>
      <c r="I127" s="89" t="s">
        <v>175</v>
      </c>
      <c r="J127" s="305" t="s">
        <v>26</v>
      </c>
      <c r="K127" s="305" t="s">
        <v>26</v>
      </c>
      <c r="L127" s="305" t="s">
        <v>26</v>
      </c>
      <c r="M127" s="305" t="s">
        <v>26</v>
      </c>
      <c r="N127" s="305"/>
      <c r="O127" s="303"/>
      <c r="P127" s="303"/>
      <c r="Q127" s="303"/>
      <c r="R127" s="303"/>
      <c r="S127" s="51"/>
      <c r="T127" s="51"/>
      <c r="U127" s="51"/>
      <c r="V127" s="51"/>
      <c r="W127" s="51"/>
      <c r="X127" s="51"/>
      <c r="Y127" s="51"/>
      <c r="Z127" s="51"/>
    </row>
    <row r="128" spans="1:26">
      <c r="A128" s="89" t="s">
        <v>587</v>
      </c>
      <c r="B128" s="305">
        <v>2557</v>
      </c>
      <c r="C128" s="305">
        <v>1984</v>
      </c>
      <c r="D128" s="305">
        <v>1236</v>
      </c>
      <c r="E128" s="305">
        <v>825</v>
      </c>
      <c r="F128" s="305">
        <v>1155</v>
      </c>
      <c r="G128" s="12"/>
      <c r="H128" s="281"/>
      <c r="I128" s="89" t="s">
        <v>620</v>
      </c>
      <c r="J128" s="305">
        <v>139413</v>
      </c>
      <c r="K128" s="305">
        <v>129144</v>
      </c>
      <c r="L128" s="305">
        <v>110239</v>
      </c>
      <c r="M128" s="305">
        <v>84382</v>
      </c>
      <c r="N128" s="305">
        <v>86875</v>
      </c>
      <c r="O128" s="303"/>
      <c r="P128" s="303"/>
      <c r="Q128" s="303"/>
      <c r="R128" s="303"/>
      <c r="S128" s="51"/>
      <c r="T128" s="51"/>
      <c r="U128" s="51"/>
      <c r="V128" s="51"/>
      <c r="W128" s="51"/>
      <c r="X128" s="51"/>
      <c r="Y128" s="51"/>
      <c r="Z128" s="51"/>
    </row>
    <row r="129" spans="1:26">
      <c r="A129" s="89" t="s">
        <v>588</v>
      </c>
      <c r="B129" s="305">
        <v>8252</v>
      </c>
      <c r="C129" s="305">
        <v>6849</v>
      </c>
      <c r="D129" s="305">
        <v>2763</v>
      </c>
      <c r="E129" s="305">
        <v>1283</v>
      </c>
      <c r="F129" s="305">
        <v>2098</v>
      </c>
      <c r="G129" s="12"/>
      <c r="H129" s="281"/>
      <c r="I129" s="89" t="s">
        <v>46</v>
      </c>
      <c r="J129" s="305">
        <v>13884</v>
      </c>
      <c r="K129" s="305">
        <v>13109</v>
      </c>
      <c r="L129" s="305">
        <v>12133</v>
      </c>
      <c r="M129" s="305">
        <v>10574</v>
      </c>
      <c r="N129" s="305">
        <v>9444</v>
      </c>
      <c r="O129" s="303"/>
      <c r="P129" s="303"/>
      <c r="Q129" s="303"/>
      <c r="R129" s="303"/>
      <c r="S129" s="51"/>
      <c r="T129" s="51"/>
      <c r="U129" s="51"/>
      <c r="V129" s="51"/>
      <c r="W129" s="51"/>
      <c r="X129" s="51"/>
      <c r="Y129" s="51"/>
      <c r="Z129" s="51"/>
    </row>
    <row r="130" spans="1:26" ht="21.75" customHeight="1">
      <c r="A130" s="89" t="s">
        <v>589</v>
      </c>
      <c r="B130" s="305">
        <v>15543</v>
      </c>
      <c r="C130" s="305">
        <v>13134</v>
      </c>
      <c r="D130" s="305">
        <v>9895</v>
      </c>
      <c r="E130" s="305">
        <v>7750</v>
      </c>
      <c r="F130" s="305">
        <v>7985</v>
      </c>
      <c r="G130" s="12"/>
      <c r="H130" s="281"/>
      <c r="I130" s="89" t="s">
        <v>621</v>
      </c>
      <c r="J130" s="305">
        <v>1374</v>
      </c>
      <c r="K130" s="305">
        <v>1293</v>
      </c>
      <c r="L130" s="305">
        <v>1348</v>
      </c>
      <c r="M130" s="305">
        <v>2243</v>
      </c>
      <c r="N130" s="305">
        <v>1878</v>
      </c>
      <c r="O130" s="303"/>
      <c r="P130" s="303"/>
      <c r="Q130" s="303"/>
      <c r="R130" s="303"/>
      <c r="S130" s="51"/>
      <c r="T130" s="51"/>
      <c r="U130" s="51"/>
      <c r="V130" s="51"/>
      <c r="W130" s="51"/>
      <c r="X130" s="51"/>
      <c r="Y130" s="51"/>
      <c r="Z130" s="51"/>
    </row>
    <row r="131" spans="1:26">
      <c r="A131" s="89" t="s">
        <v>590</v>
      </c>
      <c r="B131" s="305">
        <v>65949</v>
      </c>
      <c r="C131" s="305">
        <v>60515</v>
      </c>
      <c r="D131" s="305">
        <v>52862</v>
      </c>
      <c r="E131" s="305">
        <v>42380</v>
      </c>
      <c r="F131" s="305">
        <v>36087</v>
      </c>
      <c r="G131" s="12"/>
      <c r="H131" s="281"/>
      <c r="I131" s="89" t="s">
        <v>622</v>
      </c>
      <c r="J131" s="305">
        <v>49715</v>
      </c>
      <c r="K131" s="305">
        <v>47866</v>
      </c>
      <c r="L131" s="305">
        <v>42573</v>
      </c>
      <c r="M131" s="305">
        <v>38675</v>
      </c>
      <c r="N131" s="305">
        <v>42952</v>
      </c>
      <c r="O131" s="303"/>
      <c r="P131" s="303"/>
      <c r="Q131" s="303"/>
      <c r="R131" s="303"/>
      <c r="S131" s="51"/>
      <c r="T131" s="51"/>
      <c r="U131" s="51"/>
      <c r="V131" s="51"/>
      <c r="W131" s="51"/>
      <c r="X131" s="51"/>
      <c r="Y131" s="51"/>
      <c r="Z131" s="51"/>
    </row>
    <row r="132" spans="1:26">
      <c r="A132" s="89" t="s">
        <v>591</v>
      </c>
      <c r="B132" s="305" t="s">
        <v>26</v>
      </c>
      <c r="C132" s="305" t="s">
        <v>26</v>
      </c>
      <c r="D132" s="305" t="s">
        <v>26</v>
      </c>
      <c r="E132" s="305" t="s">
        <v>26</v>
      </c>
      <c r="F132" s="305" t="s">
        <v>26</v>
      </c>
      <c r="G132" s="12"/>
      <c r="H132" s="281"/>
      <c r="I132" s="89" t="s">
        <v>54</v>
      </c>
      <c r="J132" s="305">
        <v>36811</v>
      </c>
      <c r="K132" s="305">
        <v>41639</v>
      </c>
      <c r="L132" s="305">
        <v>37350</v>
      </c>
      <c r="M132" s="305">
        <v>30497</v>
      </c>
      <c r="N132" s="305">
        <v>27234</v>
      </c>
      <c r="O132" s="303"/>
      <c r="P132" s="303"/>
      <c r="Q132" s="303"/>
      <c r="R132" s="303"/>
      <c r="S132" s="51"/>
      <c r="T132" s="51"/>
      <c r="U132" s="51"/>
      <c r="V132" s="51"/>
      <c r="W132" s="51"/>
      <c r="X132" s="51"/>
      <c r="Y132" s="51"/>
      <c r="Z132" s="51"/>
    </row>
    <row r="133" spans="1:26">
      <c r="A133" s="89" t="s">
        <v>591</v>
      </c>
      <c r="B133" s="305">
        <v>5185</v>
      </c>
      <c r="C133" s="305">
        <v>4923</v>
      </c>
      <c r="D133" s="305">
        <v>2182</v>
      </c>
      <c r="E133" s="305">
        <v>-1419</v>
      </c>
      <c r="F133" s="305">
        <v>4730</v>
      </c>
      <c r="G133" s="12"/>
      <c r="H133" s="281"/>
      <c r="I133" s="89" t="s">
        <v>558</v>
      </c>
      <c r="J133" s="305">
        <v>241197</v>
      </c>
      <c r="K133" s="305">
        <v>233051</v>
      </c>
      <c r="L133" s="305">
        <v>203643</v>
      </c>
      <c r="M133" s="305">
        <v>166371</v>
      </c>
      <c r="N133" s="305">
        <v>168383</v>
      </c>
      <c r="O133" s="303"/>
      <c r="P133" s="303"/>
      <c r="Q133" s="303"/>
      <c r="R133" s="303"/>
      <c r="S133" s="51"/>
      <c r="T133" s="51"/>
      <c r="U133" s="51"/>
      <c r="V133" s="51"/>
      <c r="W133" s="51"/>
      <c r="X133" s="51"/>
      <c r="Y133" s="51"/>
      <c r="Z133" s="51"/>
    </row>
    <row r="134" spans="1:26">
      <c r="A134" s="89" t="s">
        <v>592</v>
      </c>
      <c r="B134" s="305">
        <v>60764</v>
      </c>
      <c r="C134" s="305">
        <v>55592</v>
      </c>
      <c r="D134" s="305">
        <v>50680</v>
      </c>
      <c r="E134" s="305">
        <v>43799</v>
      </c>
      <c r="F134" s="305">
        <v>31357</v>
      </c>
      <c r="G134" s="12"/>
      <c r="H134" s="281"/>
      <c r="I134" s="89" t="s">
        <v>623</v>
      </c>
      <c r="J134" s="305" t="s">
        <v>70</v>
      </c>
      <c r="K134" s="305" t="s">
        <v>70</v>
      </c>
      <c r="L134" s="305" t="s">
        <v>70</v>
      </c>
      <c r="M134" s="305" t="s">
        <v>70</v>
      </c>
      <c r="N134" s="305" t="s">
        <v>70</v>
      </c>
      <c r="O134" s="303"/>
      <c r="P134" s="303"/>
      <c r="Q134" s="303"/>
      <c r="R134" s="303"/>
      <c r="S134" s="51"/>
      <c r="T134" s="51"/>
      <c r="U134" s="51"/>
      <c r="V134" s="51"/>
      <c r="W134" s="51"/>
      <c r="X134" s="51"/>
      <c r="Y134" s="51"/>
      <c r="Z134" s="51"/>
    </row>
    <row r="135" spans="1:26" ht="19.5" customHeight="1">
      <c r="A135" s="89" t="s">
        <v>593</v>
      </c>
      <c r="B135" s="305" t="s">
        <v>26</v>
      </c>
      <c r="C135" s="305" t="s">
        <v>26</v>
      </c>
      <c r="D135" s="305" t="s">
        <v>26</v>
      </c>
      <c r="E135" s="305" t="s">
        <v>26</v>
      </c>
      <c r="F135" s="305" t="s">
        <v>26</v>
      </c>
      <c r="G135" s="12"/>
      <c r="H135" s="281"/>
      <c r="I135" s="89" t="s">
        <v>624</v>
      </c>
      <c r="J135" s="305" t="s">
        <v>26</v>
      </c>
      <c r="K135" s="305" t="s">
        <v>26</v>
      </c>
      <c r="L135" s="305" t="s">
        <v>26</v>
      </c>
      <c r="M135" s="305" t="s">
        <v>26</v>
      </c>
      <c r="N135" s="305"/>
      <c r="O135" s="303"/>
      <c r="P135" s="303"/>
      <c r="Q135" s="303"/>
      <c r="R135" s="303"/>
      <c r="S135" s="51"/>
      <c r="T135" s="51"/>
      <c r="U135" s="51"/>
      <c r="V135" s="51"/>
      <c r="W135" s="51"/>
      <c r="X135" s="51"/>
      <c r="Y135" s="51"/>
      <c r="Z135" s="51"/>
    </row>
    <row r="136" spans="1:26" ht="25.5" customHeight="1">
      <c r="A136" s="89" t="s">
        <v>594</v>
      </c>
      <c r="B136" s="305">
        <v>16599</v>
      </c>
      <c r="C136" s="305">
        <v>15367</v>
      </c>
      <c r="D136" s="305">
        <v>14002</v>
      </c>
      <c r="E136" s="305">
        <v>11007</v>
      </c>
      <c r="F136" s="305">
        <v>8041</v>
      </c>
      <c r="G136" s="12"/>
      <c r="H136" s="281"/>
      <c r="I136" s="89" t="s">
        <v>625</v>
      </c>
      <c r="J136" s="305">
        <v>0</v>
      </c>
      <c r="K136" s="305">
        <v>0</v>
      </c>
      <c r="L136" s="305">
        <v>0</v>
      </c>
      <c r="M136" s="305">
        <v>0</v>
      </c>
      <c r="N136" s="305">
        <v>0</v>
      </c>
      <c r="O136" s="303"/>
      <c r="P136" s="303"/>
      <c r="Q136" s="303"/>
      <c r="R136" s="303"/>
      <c r="S136" s="51"/>
      <c r="T136" s="51"/>
      <c r="U136" s="51"/>
      <c r="V136" s="51"/>
      <c r="W136" s="51"/>
      <c r="X136" s="51"/>
      <c r="Y136" s="51"/>
      <c r="Z136" s="51"/>
    </row>
    <row r="137" spans="1:26">
      <c r="A137" s="89" t="s">
        <v>595</v>
      </c>
      <c r="B137" s="305">
        <v>5886</v>
      </c>
      <c r="C137" s="305">
        <v>5657</v>
      </c>
      <c r="D137" s="305">
        <v>4943</v>
      </c>
      <c r="E137" s="305">
        <v>3762</v>
      </c>
      <c r="F137" s="305">
        <v>3051</v>
      </c>
      <c r="G137" s="12"/>
      <c r="H137" s="281"/>
      <c r="I137" s="89" t="s">
        <v>626</v>
      </c>
      <c r="J137" s="305">
        <v>141</v>
      </c>
      <c r="K137" s="305">
        <v>145</v>
      </c>
      <c r="L137" s="305">
        <v>149</v>
      </c>
      <c r="M137" s="305">
        <v>153</v>
      </c>
      <c r="N137" s="305">
        <v>161</v>
      </c>
      <c r="O137" s="303"/>
      <c r="P137" s="303"/>
      <c r="Q137" s="303"/>
      <c r="R137" s="303"/>
      <c r="S137" s="51"/>
      <c r="T137" s="51"/>
      <c r="U137" s="51"/>
      <c r="V137" s="51"/>
      <c r="W137" s="51"/>
      <c r="X137" s="51"/>
      <c r="Y137" s="51"/>
      <c r="Z137" s="51"/>
    </row>
    <row r="138" spans="1:26">
      <c r="A138" s="89" t="s">
        <v>596</v>
      </c>
      <c r="B138" s="305">
        <v>4782</v>
      </c>
      <c r="C138" s="305">
        <v>3968</v>
      </c>
      <c r="D138" s="305">
        <v>2959</v>
      </c>
      <c r="E138" s="305">
        <v>1993</v>
      </c>
      <c r="F138" s="305">
        <v>1230</v>
      </c>
      <c r="G138" s="12"/>
      <c r="H138" s="281"/>
      <c r="I138" s="89" t="s">
        <v>561</v>
      </c>
      <c r="J138" s="305">
        <v>11370</v>
      </c>
      <c r="K138" s="305">
        <v>11372</v>
      </c>
      <c r="L138" s="305">
        <v>11493</v>
      </c>
      <c r="M138" s="305">
        <v>11495</v>
      </c>
      <c r="N138" s="305">
        <v>11881</v>
      </c>
      <c r="O138" s="303"/>
      <c r="P138" s="303"/>
      <c r="Q138" s="303"/>
      <c r="R138" s="303"/>
      <c r="S138" s="51"/>
      <c r="T138" s="51"/>
      <c r="U138" s="51"/>
      <c r="V138" s="51"/>
      <c r="W138" s="51"/>
      <c r="X138" s="51"/>
      <c r="Y138" s="51"/>
      <c r="Z138" s="51"/>
    </row>
    <row r="139" spans="1:26">
      <c r="A139" s="89" t="s">
        <v>525</v>
      </c>
      <c r="B139" s="305">
        <v>6040</v>
      </c>
      <c r="C139" s="305">
        <v>5213</v>
      </c>
      <c r="D139" s="305">
        <v>5458</v>
      </c>
      <c r="E139" s="305">
        <v>5291</v>
      </c>
      <c r="F139" s="305">
        <v>3696</v>
      </c>
      <c r="G139" s="12"/>
      <c r="H139" s="281"/>
      <c r="I139" s="89" t="s">
        <v>61</v>
      </c>
      <c r="J139" s="305">
        <v>22148</v>
      </c>
      <c r="K139" s="305">
        <v>19612</v>
      </c>
      <c r="L139" s="305">
        <v>16279</v>
      </c>
      <c r="M139" s="305">
        <v>13474</v>
      </c>
      <c r="N139" s="305">
        <v>13837</v>
      </c>
      <c r="O139" s="303"/>
      <c r="P139" s="303"/>
      <c r="Q139" s="303"/>
      <c r="R139" s="303"/>
      <c r="S139" s="51"/>
      <c r="T139" s="51"/>
      <c r="U139" s="51"/>
      <c r="V139" s="51"/>
      <c r="W139" s="51"/>
      <c r="X139" s="51"/>
      <c r="Y139" s="51"/>
      <c r="Z139" s="51"/>
    </row>
    <row r="140" spans="1:26">
      <c r="A140" s="89" t="s">
        <v>597</v>
      </c>
      <c r="B140" s="305">
        <v>8198</v>
      </c>
      <c r="C140" s="305">
        <v>8067</v>
      </c>
      <c r="D140" s="305">
        <v>7252</v>
      </c>
      <c r="E140" s="305">
        <v>6240</v>
      </c>
      <c r="F140" s="305">
        <v>5718</v>
      </c>
      <c r="G140" s="12"/>
      <c r="H140" s="281"/>
      <c r="I140" s="89" t="s">
        <v>62</v>
      </c>
      <c r="J140" s="305">
        <v>-3395</v>
      </c>
      <c r="K140" s="305">
        <v>-3072</v>
      </c>
      <c r="L140" s="305">
        <v>-3210</v>
      </c>
      <c r="M140" s="305">
        <v>-2945</v>
      </c>
      <c r="N140" s="305">
        <v>-2229</v>
      </c>
      <c r="O140" s="303"/>
      <c r="P140" s="303"/>
      <c r="Q140" s="303"/>
      <c r="R140" s="303"/>
      <c r="S140" s="51"/>
      <c r="T140" s="51"/>
      <c r="U140" s="51"/>
      <c r="V140" s="51"/>
      <c r="W140" s="51"/>
      <c r="X140" s="51"/>
      <c r="Y140" s="51"/>
      <c r="Z140" s="51"/>
    </row>
    <row r="141" spans="1:26">
      <c r="A141" s="89" t="s">
        <v>598</v>
      </c>
      <c r="B141" s="305">
        <v>6364</v>
      </c>
      <c r="C141" s="305">
        <v>6807</v>
      </c>
      <c r="D141" s="305">
        <v>6481</v>
      </c>
      <c r="E141" s="305">
        <v>4817</v>
      </c>
      <c r="F141" s="305">
        <v>5325</v>
      </c>
      <c r="G141" s="12"/>
      <c r="H141" s="281"/>
      <c r="I141" s="89" t="s">
        <v>627</v>
      </c>
      <c r="J141" s="305">
        <v>30264</v>
      </c>
      <c r="K141" s="305">
        <v>28057</v>
      </c>
      <c r="L141" s="305">
        <v>24711</v>
      </c>
      <c r="M141" s="305">
        <v>22177</v>
      </c>
      <c r="N141" s="305">
        <v>22984</v>
      </c>
      <c r="O141" s="303"/>
      <c r="P141" s="303"/>
      <c r="Q141" s="303"/>
      <c r="R141" s="303"/>
      <c r="S141" s="51"/>
      <c r="T141" s="51"/>
      <c r="U141" s="51"/>
      <c r="V141" s="51"/>
      <c r="W141" s="51"/>
      <c r="X141" s="51"/>
      <c r="Y141" s="51"/>
      <c r="Z141" s="51"/>
    </row>
    <row r="142" spans="1:26">
      <c r="A142" s="89" t="s">
        <v>599</v>
      </c>
      <c r="B142" s="305">
        <v>47869</v>
      </c>
      <c r="C142" s="305">
        <v>45079</v>
      </c>
      <c r="D142" s="305">
        <v>41095</v>
      </c>
      <c r="E142" s="305">
        <v>33110</v>
      </c>
      <c r="F142" s="305">
        <v>27061</v>
      </c>
      <c r="G142" s="12"/>
      <c r="H142" s="281"/>
      <c r="I142" s="89" t="s">
        <v>628</v>
      </c>
      <c r="J142" s="305">
        <v>271461</v>
      </c>
      <c r="K142" s="305">
        <v>261108</v>
      </c>
      <c r="L142" s="305">
        <v>228354</v>
      </c>
      <c r="M142" s="305">
        <v>188548</v>
      </c>
      <c r="N142" s="305">
        <v>191367</v>
      </c>
      <c r="O142" s="303"/>
      <c r="P142" s="303"/>
      <c r="Q142" s="303"/>
      <c r="R142" s="303"/>
      <c r="S142" s="51"/>
      <c r="T142" s="51"/>
      <c r="U142" s="51"/>
      <c r="V142" s="51"/>
      <c r="W142" s="51"/>
      <c r="X142" s="51"/>
      <c r="Y142" s="51"/>
      <c r="Z142" s="51"/>
    </row>
    <row r="143" spans="1:26">
      <c r="A143" s="89" t="s">
        <v>600</v>
      </c>
      <c r="B143" s="305">
        <v>12895</v>
      </c>
      <c r="C143" s="305">
        <v>10513</v>
      </c>
      <c r="D143" s="305">
        <v>9585</v>
      </c>
      <c r="E143" s="305">
        <v>10689</v>
      </c>
      <c r="F143" s="305">
        <v>4296</v>
      </c>
      <c r="G143" s="12"/>
      <c r="H143" s="281"/>
      <c r="I143" s="89" t="s">
        <v>607</v>
      </c>
      <c r="J143" s="305" t="s">
        <v>26</v>
      </c>
      <c r="K143" s="305" t="s">
        <v>26</v>
      </c>
      <c r="L143" s="305" t="s">
        <v>26</v>
      </c>
      <c r="M143" s="305" t="s">
        <v>26</v>
      </c>
      <c r="N143" s="305"/>
      <c r="O143" s="303"/>
      <c r="P143" s="303"/>
      <c r="Q143" s="303"/>
      <c r="R143" s="303"/>
      <c r="S143" s="51"/>
      <c r="T143" s="51"/>
      <c r="U143" s="51"/>
      <c r="V143" s="51"/>
      <c r="W143" s="51"/>
      <c r="X143" s="51"/>
      <c r="Y143" s="51"/>
      <c r="Z143" s="51"/>
    </row>
    <row r="144" spans="1:26">
      <c r="A144" s="89" t="s">
        <v>532</v>
      </c>
      <c r="B144" s="305">
        <v>2766</v>
      </c>
      <c r="C144" s="305">
        <v>2139</v>
      </c>
      <c r="D144" s="305">
        <v>2071</v>
      </c>
      <c r="E144" s="305">
        <v>2629</v>
      </c>
      <c r="F144" s="305">
        <v>1161</v>
      </c>
      <c r="G144" s="12"/>
      <c r="H144" s="281"/>
      <c r="I144" s="89" t="s">
        <v>31</v>
      </c>
      <c r="J144" s="305" t="s">
        <v>26</v>
      </c>
      <c r="K144" s="305" t="s">
        <v>26</v>
      </c>
      <c r="L144" s="305" t="s">
        <v>26</v>
      </c>
      <c r="M144" s="305" t="s">
        <v>26</v>
      </c>
      <c r="N144" s="305"/>
      <c r="O144" s="303"/>
      <c r="P144" s="303"/>
      <c r="Q144" s="303"/>
      <c r="R144" s="303"/>
      <c r="S144" s="51"/>
      <c r="T144" s="51"/>
      <c r="U144" s="51"/>
      <c r="V144" s="51"/>
      <c r="W144" s="51"/>
      <c r="X144" s="51"/>
      <c r="Y144" s="51"/>
      <c r="Z144" s="51"/>
    </row>
    <row r="145" spans="1:26">
      <c r="A145" s="89" t="s">
        <v>73</v>
      </c>
      <c r="B145" s="305">
        <v>10129</v>
      </c>
      <c r="C145" s="305">
        <v>8374</v>
      </c>
      <c r="D145" s="305">
        <v>7514</v>
      </c>
      <c r="E145" s="305">
        <v>8060</v>
      </c>
      <c r="F145" s="305">
        <v>3135</v>
      </c>
      <c r="G145" s="12"/>
      <c r="H145" s="281"/>
      <c r="I145" s="89" t="s">
        <v>629</v>
      </c>
      <c r="J145" s="305">
        <v>59240</v>
      </c>
      <c r="K145" s="305">
        <v>60237</v>
      </c>
      <c r="L145" s="305">
        <v>57384</v>
      </c>
      <c r="M145" s="305">
        <v>53581</v>
      </c>
      <c r="N145" s="305">
        <v>43434</v>
      </c>
      <c r="O145" s="303"/>
      <c r="P145" s="303"/>
      <c r="Q145" s="303"/>
      <c r="R145" s="303"/>
      <c r="S145" s="51"/>
      <c r="T145" s="51"/>
      <c r="U145" s="51"/>
      <c r="V145" s="51"/>
      <c r="W145" s="51"/>
      <c r="X145" s="51"/>
      <c r="Y145" s="51"/>
      <c r="Z145" s="51"/>
    </row>
    <row r="146" spans="1:26">
      <c r="A146" s="89" t="s">
        <v>601</v>
      </c>
      <c r="B146" s="305" t="s">
        <v>26</v>
      </c>
      <c r="C146" s="305" t="s">
        <v>26</v>
      </c>
      <c r="D146" s="305" t="s">
        <v>26</v>
      </c>
      <c r="E146" s="305" t="s">
        <v>26</v>
      </c>
      <c r="F146" s="305" t="s">
        <v>26</v>
      </c>
      <c r="G146" s="12"/>
      <c r="H146" s="281"/>
      <c r="I146" s="89" t="s">
        <v>608</v>
      </c>
      <c r="J146" s="305" t="s">
        <v>26</v>
      </c>
      <c r="K146" s="305" t="s">
        <v>26</v>
      </c>
      <c r="L146" s="305" t="s">
        <v>26</v>
      </c>
      <c r="M146" s="305" t="s">
        <v>26</v>
      </c>
      <c r="N146" s="305"/>
      <c r="O146" s="303"/>
      <c r="P146" s="303"/>
      <c r="Q146" s="303"/>
      <c r="R146" s="303"/>
      <c r="S146" s="51"/>
      <c r="T146" s="51"/>
      <c r="U146" s="51"/>
      <c r="V146" s="51"/>
      <c r="W146" s="51"/>
      <c r="X146" s="51"/>
      <c r="Y146" s="51"/>
      <c r="Z146" s="51"/>
    </row>
    <row r="147" spans="1:26">
      <c r="A147" s="89" t="s">
        <v>602</v>
      </c>
      <c r="B147" s="305">
        <v>14.04</v>
      </c>
      <c r="C147" s="305">
        <v>11.23</v>
      </c>
      <c r="D147" s="305">
        <v>9.86</v>
      </c>
      <c r="E147" s="305">
        <v>10.039999999999999</v>
      </c>
      <c r="F147" s="305">
        <v>3.77</v>
      </c>
      <c r="G147" s="12"/>
      <c r="H147" s="281"/>
      <c r="I147" s="89" t="s">
        <v>31</v>
      </c>
      <c r="J147" s="305" t="s">
        <v>26</v>
      </c>
      <c r="K147" s="305" t="s">
        <v>26</v>
      </c>
      <c r="L147" s="305" t="s">
        <v>26</v>
      </c>
      <c r="M147" s="305" t="s">
        <v>26</v>
      </c>
      <c r="N147" s="305"/>
      <c r="O147" s="303"/>
      <c r="P147" s="303"/>
      <c r="Q147" s="303"/>
      <c r="R147" s="303"/>
      <c r="S147" s="51"/>
      <c r="T147" s="51"/>
      <c r="U147" s="51"/>
      <c r="V147" s="51"/>
      <c r="W147" s="51"/>
      <c r="X147" s="51"/>
      <c r="Y147" s="51"/>
      <c r="Z147" s="51"/>
    </row>
    <row r="148" spans="1:26">
      <c r="A148" s="89" t="s">
        <v>603</v>
      </c>
      <c r="B148" s="305">
        <v>14.01</v>
      </c>
      <c r="C148" s="305">
        <v>11.21</v>
      </c>
      <c r="D148" s="305">
        <v>9.85</v>
      </c>
      <c r="E148" s="305">
        <v>10.02</v>
      </c>
      <c r="F148" s="305">
        <v>3.77</v>
      </c>
      <c r="G148" s="12"/>
      <c r="H148" s="281"/>
      <c r="I148" s="89" t="s">
        <v>629</v>
      </c>
      <c r="J148" s="305">
        <v>133995</v>
      </c>
      <c r="K148" s="305">
        <v>120877</v>
      </c>
      <c r="L148" s="305">
        <v>104217</v>
      </c>
      <c r="M148" s="305">
        <v>85257</v>
      </c>
      <c r="N148" s="305">
        <v>68029</v>
      </c>
      <c r="O148" s="303"/>
      <c r="P148" s="303"/>
      <c r="Q148" s="303"/>
      <c r="R148" s="303"/>
      <c r="S148" s="51"/>
      <c r="T148" s="51"/>
      <c r="U148" s="51"/>
      <c r="V148" s="51"/>
      <c r="W148" s="51"/>
      <c r="X148" s="51"/>
      <c r="Y148" s="51"/>
      <c r="Z148" s="51"/>
    </row>
    <row r="149" spans="1:26">
      <c r="A149" s="89" t="s">
        <v>604</v>
      </c>
      <c r="B149" s="305" t="s">
        <v>26</v>
      </c>
      <c r="C149" s="305" t="s">
        <v>26</v>
      </c>
      <c r="D149" s="305" t="s">
        <v>26</v>
      </c>
      <c r="E149" s="305" t="s">
        <v>26</v>
      </c>
      <c r="F149" s="305" t="s">
        <v>26</v>
      </c>
      <c r="G149" s="12"/>
      <c r="H149" s="281"/>
      <c r="I149" s="89" t="s">
        <v>630</v>
      </c>
      <c r="J149" s="305">
        <v>758</v>
      </c>
      <c r="K149" s="305">
        <v>0</v>
      </c>
      <c r="L149" s="305" t="s">
        <v>26</v>
      </c>
      <c r="M149" s="305" t="s">
        <v>26</v>
      </c>
      <c r="N149" s="305"/>
      <c r="O149" s="303"/>
      <c r="P149" s="303"/>
      <c r="Q149" s="303"/>
      <c r="R149" s="303"/>
      <c r="S149" s="51"/>
      <c r="T149" s="51"/>
      <c r="U149" s="51"/>
      <c r="V149" s="51"/>
      <c r="W149" s="51"/>
      <c r="X149" s="51"/>
      <c r="Y149" s="51"/>
      <c r="Z149" s="51"/>
    </row>
    <row r="150" spans="1:26">
      <c r="A150" s="89" t="s">
        <v>605</v>
      </c>
      <c r="B150" s="305">
        <v>712</v>
      </c>
      <c r="C150" s="305">
        <v>735</v>
      </c>
      <c r="D150" s="305">
        <v>751</v>
      </c>
      <c r="E150" s="305">
        <v>789</v>
      </c>
      <c r="F150" s="305">
        <v>805</v>
      </c>
      <c r="G150" s="12"/>
      <c r="H150" s="281"/>
      <c r="I150" s="89" t="s">
        <v>631</v>
      </c>
      <c r="J150" s="305" t="s">
        <v>26</v>
      </c>
      <c r="K150" s="305" t="s">
        <v>26</v>
      </c>
      <c r="L150" s="305" t="s">
        <v>26</v>
      </c>
      <c r="M150" s="305" t="s">
        <v>26</v>
      </c>
      <c r="N150" s="305"/>
      <c r="O150" s="303"/>
      <c r="P150" s="303"/>
      <c r="Q150" s="303"/>
      <c r="R150" s="303"/>
      <c r="S150" s="51"/>
      <c r="T150" s="51"/>
      <c r="U150" s="51"/>
      <c r="V150" s="51"/>
      <c r="W150" s="51"/>
      <c r="X150" s="51"/>
      <c r="Y150" s="51"/>
      <c r="Z150" s="51"/>
    </row>
    <row r="151" spans="1:26">
      <c r="A151" s="89" t="s">
        <v>606</v>
      </c>
      <c r="B151" s="305">
        <v>713</v>
      </c>
      <c r="C151" s="305">
        <v>736</v>
      </c>
      <c r="D151" s="305">
        <v>752</v>
      </c>
      <c r="E151" s="305">
        <v>790</v>
      </c>
      <c r="F151" s="305">
        <v>806</v>
      </c>
      <c r="G151" s="12"/>
      <c r="H151" s="281"/>
      <c r="I151" s="89" t="s">
        <v>31</v>
      </c>
      <c r="J151" s="305" t="s">
        <v>26</v>
      </c>
      <c r="K151" s="305" t="s">
        <v>26</v>
      </c>
      <c r="L151" s="305"/>
      <c r="M151" s="305"/>
      <c r="N151" s="305"/>
      <c r="O151" s="303"/>
      <c r="P151" s="303"/>
      <c r="Q151" s="303"/>
      <c r="R151" s="303"/>
      <c r="S151" s="51"/>
      <c r="T151" s="51"/>
      <c r="U151" s="51"/>
      <c r="V151" s="51"/>
      <c r="W151" s="51"/>
      <c r="X151" s="51"/>
      <c r="Y151" s="51"/>
      <c r="Z151" s="51"/>
    </row>
    <row r="152" spans="1:26">
      <c r="A152" s="89" t="s">
        <v>607</v>
      </c>
      <c r="B152" s="305" t="s">
        <v>26</v>
      </c>
      <c r="C152" s="305" t="s">
        <v>26</v>
      </c>
      <c r="D152" s="305" t="s">
        <v>26</v>
      </c>
      <c r="E152" s="305" t="s">
        <v>26</v>
      </c>
      <c r="F152" s="305" t="s">
        <v>26</v>
      </c>
      <c r="G152" s="12"/>
      <c r="H152" s="281"/>
      <c r="I152" s="89" t="s">
        <v>629</v>
      </c>
      <c r="J152" s="305">
        <v>9038</v>
      </c>
      <c r="K152" s="305">
        <v>6960</v>
      </c>
      <c r="L152" s="305">
        <v>5357</v>
      </c>
      <c r="M152" s="305">
        <v>2859</v>
      </c>
      <c r="N152" s="305">
        <v>2614</v>
      </c>
      <c r="O152" s="303"/>
      <c r="P152" s="303"/>
      <c r="Q152" s="303"/>
      <c r="R152" s="303"/>
      <c r="S152" s="51"/>
      <c r="T152" s="51"/>
      <c r="U152" s="51"/>
      <c r="V152" s="51"/>
      <c r="W152" s="51"/>
      <c r="X152" s="51"/>
      <c r="Y152" s="51"/>
      <c r="Z152" s="51"/>
    </row>
    <row r="153" spans="1:26">
      <c r="A153" s="89" t="s">
        <v>591</v>
      </c>
      <c r="B153" s="305" t="s">
        <v>26</v>
      </c>
      <c r="C153" s="305" t="s">
        <v>26</v>
      </c>
      <c r="D153" s="305" t="s">
        <v>26</v>
      </c>
      <c r="E153" s="305" t="s">
        <v>26</v>
      </c>
      <c r="F153" s="305" t="s">
        <v>26</v>
      </c>
      <c r="G153" s="12"/>
      <c r="H153" s="281"/>
      <c r="I153" s="89"/>
      <c r="J153" s="305"/>
      <c r="K153" s="305"/>
      <c r="L153" s="305"/>
      <c r="M153" s="305"/>
      <c r="N153" s="305"/>
      <c r="O153" s="303"/>
      <c r="P153" s="303"/>
      <c r="Q153" s="303"/>
      <c r="R153" s="303"/>
      <c r="S153" s="51"/>
      <c r="T153" s="51"/>
      <c r="U153" s="51"/>
      <c r="V153" s="51"/>
      <c r="W153" s="51"/>
      <c r="X153" s="51"/>
      <c r="Y153" s="51"/>
      <c r="Z153" s="51"/>
    </row>
    <row r="154" spans="1:26">
      <c r="A154" s="89" t="s">
        <v>591</v>
      </c>
      <c r="B154" s="305">
        <v>774</v>
      </c>
      <c r="C154" s="305">
        <v>880</v>
      </c>
      <c r="D154" s="305">
        <v>627</v>
      </c>
      <c r="E154" s="305">
        <v>-73</v>
      </c>
      <c r="F154" s="305">
        <v>1015</v>
      </c>
      <c r="G154" s="12"/>
      <c r="H154" s="281"/>
      <c r="I154" s="89"/>
      <c r="J154" s="305"/>
      <c r="K154" s="305"/>
      <c r="L154" s="305"/>
      <c r="M154" s="305"/>
      <c r="N154" s="305"/>
      <c r="O154" s="303"/>
      <c r="P154" s="303"/>
      <c r="Q154" s="303"/>
      <c r="R154" s="303"/>
      <c r="S154" s="51"/>
      <c r="T154" s="51"/>
      <c r="U154" s="51"/>
      <c r="V154" s="51"/>
      <c r="W154" s="51"/>
      <c r="X154" s="51"/>
      <c r="Y154" s="51"/>
      <c r="Z154" s="51"/>
    </row>
    <row r="155" spans="1:26">
      <c r="A155" s="89" t="s">
        <v>608</v>
      </c>
      <c r="B155" s="305" t="s">
        <v>26</v>
      </c>
      <c r="C155" s="305" t="s">
        <v>26</v>
      </c>
      <c r="D155" s="305" t="s">
        <v>26</v>
      </c>
      <c r="E155" s="305" t="s">
        <v>26</v>
      </c>
      <c r="F155" s="305" t="s">
        <v>26</v>
      </c>
      <c r="G155" s="12"/>
      <c r="H155" s="281"/>
      <c r="I155" s="89"/>
      <c r="J155" s="305"/>
      <c r="K155" s="305"/>
      <c r="L155" s="305"/>
      <c r="M155" s="305"/>
      <c r="N155" s="305"/>
      <c r="O155" s="303"/>
      <c r="P155" s="303"/>
      <c r="Q155" s="303"/>
      <c r="R155" s="303"/>
      <c r="S155" s="51"/>
      <c r="T155" s="51"/>
      <c r="U155" s="51"/>
      <c r="V155" s="51"/>
      <c r="W155" s="51"/>
      <c r="X155" s="51"/>
      <c r="Y155" s="51"/>
      <c r="Z155" s="51"/>
    </row>
    <row r="156" spans="1:26">
      <c r="A156" s="89" t="s">
        <v>591</v>
      </c>
      <c r="B156" s="305" t="s">
        <v>26</v>
      </c>
      <c r="C156" s="305" t="s">
        <v>26</v>
      </c>
      <c r="D156" s="305" t="s">
        <v>26</v>
      </c>
      <c r="E156" s="305" t="s">
        <v>26</v>
      </c>
      <c r="F156" s="305" t="s">
        <v>26</v>
      </c>
      <c r="G156" s="12"/>
      <c r="H156" s="281"/>
      <c r="I156" s="89"/>
      <c r="J156" s="305"/>
      <c r="K156" s="305"/>
      <c r="L156" s="305"/>
      <c r="M156" s="305"/>
      <c r="N156" s="305"/>
      <c r="O156" s="303"/>
      <c r="P156" s="303"/>
      <c r="Q156" s="303"/>
      <c r="R156" s="303"/>
      <c r="S156" s="51"/>
      <c r="T156" s="51"/>
      <c r="U156" s="51"/>
      <c r="V156" s="51"/>
      <c r="W156" s="51"/>
      <c r="X156" s="51"/>
      <c r="Y156" s="51"/>
      <c r="Z156" s="51"/>
    </row>
    <row r="157" spans="1:26">
      <c r="A157" s="89" t="s">
        <v>591</v>
      </c>
      <c r="B157" s="305">
        <v>4109</v>
      </c>
      <c r="C157" s="305">
        <v>3839</v>
      </c>
      <c r="D157" s="305">
        <v>1514</v>
      </c>
      <c r="E157" s="305">
        <v>-1155</v>
      </c>
      <c r="F157" s="305">
        <v>3453</v>
      </c>
      <c r="G157" s="12"/>
      <c r="H157" s="281"/>
      <c r="I157" s="89"/>
      <c r="J157" s="305"/>
      <c r="K157" s="305"/>
      <c r="L157" s="305"/>
      <c r="M157" s="305"/>
      <c r="N157" s="305"/>
      <c r="O157" s="303"/>
      <c r="P157" s="303"/>
      <c r="Q157" s="303"/>
      <c r="R157" s="303"/>
      <c r="S157" s="51"/>
      <c r="T157" s="51"/>
      <c r="U157" s="51"/>
      <c r="V157" s="51"/>
      <c r="W157" s="51"/>
      <c r="X157" s="51"/>
      <c r="Y157" s="51"/>
      <c r="Z157" s="51"/>
    </row>
    <row r="158" spans="1:26">
      <c r="A158" s="89" t="s">
        <v>78</v>
      </c>
      <c r="B158" s="305" t="s">
        <v>26</v>
      </c>
      <c r="C158" s="305" t="s">
        <v>26</v>
      </c>
      <c r="D158" s="305" t="s">
        <v>26</v>
      </c>
      <c r="E158" s="305" t="s">
        <v>26</v>
      </c>
      <c r="F158" s="305" t="s">
        <v>26</v>
      </c>
      <c r="G158" s="12"/>
      <c r="H158" s="281"/>
      <c r="I158" s="202" t="s">
        <v>1425</v>
      </c>
      <c r="J158" s="305"/>
      <c r="K158" s="305"/>
      <c r="L158" s="305"/>
      <c r="M158" s="305"/>
      <c r="N158" s="305"/>
      <c r="O158" s="303"/>
      <c r="P158" s="303"/>
      <c r="Q158" s="303"/>
      <c r="R158" s="303"/>
      <c r="S158" s="51"/>
      <c r="T158" s="51"/>
      <c r="U158" s="51"/>
      <c r="V158" s="51"/>
      <c r="W158" s="51"/>
      <c r="X158" s="51"/>
      <c r="Y158" s="51"/>
      <c r="Z158" s="51"/>
    </row>
    <row r="159" spans="1:26">
      <c r="A159" s="89" t="s">
        <v>591</v>
      </c>
      <c r="B159" s="305" t="s">
        <v>26</v>
      </c>
      <c r="C159" s="305" t="s">
        <v>26</v>
      </c>
      <c r="D159" s="305" t="s">
        <v>26</v>
      </c>
      <c r="E159" s="305" t="s">
        <v>26</v>
      </c>
      <c r="F159" s="305" t="s">
        <v>26</v>
      </c>
      <c r="G159" s="12"/>
      <c r="H159" s="281"/>
      <c r="I159" s="89"/>
      <c r="J159" s="305"/>
      <c r="K159" s="305"/>
      <c r="L159" s="305"/>
      <c r="M159" s="305"/>
      <c r="N159" s="305"/>
      <c r="O159" s="303"/>
      <c r="P159" s="303"/>
      <c r="Q159" s="303"/>
      <c r="R159" s="303"/>
      <c r="S159" s="51"/>
      <c r="T159" s="51"/>
      <c r="U159" s="51"/>
      <c r="V159" s="51"/>
      <c r="W159" s="51"/>
      <c r="X159" s="51"/>
      <c r="Y159" s="51"/>
      <c r="Z159" s="51"/>
    </row>
    <row r="160" spans="1:26">
      <c r="A160" s="89" t="s">
        <v>591</v>
      </c>
      <c r="B160" s="305">
        <v>302</v>
      </c>
      <c r="C160" s="305">
        <v>204</v>
      </c>
      <c r="D160" s="305">
        <v>41</v>
      </c>
      <c r="E160" s="305">
        <v>-191</v>
      </c>
      <c r="F160" s="305">
        <v>262</v>
      </c>
      <c r="G160" s="12"/>
      <c r="H160" s="281"/>
      <c r="I160" s="89"/>
      <c r="J160" s="305"/>
      <c r="K160" s="305"/>
      <c r="L160" s="305"/>
      <c r="M160" s="305"/>
      <c r="N160" s="305"/>
      <c r="O160" s="303"/>
      <c r="P160" s="303"/>
      <c r="Q160" s="303"/>
      <c r="R160" s="303"/>
      <c r="S160" s="51"/>
      <c r="T160" s="51"/>
      <c r="U160" s="51"/>
      <c r="V160" s="51"/>
      <c r="W160" s="51"/>
      <c r="X160" s="51"/>
      <c r="Y160" s="51"/>
      <c r="Z160" s="51"/>
    </row>
    <row r="161" spans="1:26">
      <c r="A161" s="89" t="s">
        <v>609</v>
      </c>
      <c r="B161" s="305" t="s">
        <v>26</v>
      </c>
      <c r="C161" s="305" t="s">
        <v>26</v>
      </c>
      <c r="D161" s="305" t="s">
        <v>26</v>
      </c>
      <c r="E161" s="305" t="s">
        <v>26</v>
      </c>
      <c r="F161" s="305" t="s">
        <v>26</v>
      </c>
      <c r="G161" s="12"/>
      <c r="H161" s="281"/>
      <c r="I161" s="89"/>
      <c r="J161" s="305"/>
      <c r="K161" s="305"/>
      <c r="L161" s="305"/>
      <c r="M161" s="305"/>
      <c r="N161" s="305"/>
      <c r="O161" s="303"/>
      <c r="P161" s="303"/>
      <c r="Q161" s="303"/>
      <c r="R161" s="303"/>
      <c r="S161" s="51"/>
      <c r="T161" s="51"/>
      <c r="U161" s="51"/>
      <c r="V161" s="51"/>
      <c r="W161" s="51"/>
      <c r="X161" s="51"/>
      <c r="Y161" s="51"/>
      <c r="Z161" s="51"/>
    </row>
    <row r="162" spans="1:26">
      <c r="A162" s="89" t="s">
        <v>579</v>
      </c>
      <c r="B162" s="305" t="s">
        <v>26</v>
      </c>
      <c r="C162" s="305" t="s">
        <v>26</v>
      </c>
      <c r="D162" s="305" t="s">
        <v>26</v>
      </c>
      <c r="E162" s="305" t="s">
        <v>26</v>
      </c>
      <c r="F162" s="305" t="s">
        <v>26</v>
      </c>
      <c r="G162" s="12"/>
      <c r="H162" s="281"/>
      <c r="I162" s="89"/>
      <c r="J162" s="305"/>
      <c r="K162" s="305"/>
      <c r="L162" s="305"/>
      <c r="M162" s="305"/>
      <c r="N162" s="305"/>
      <c r="O162" s="303"/>
      <c r="P162" s="303"/>
      <c r="Q162" s="303"/>
      <c r="R162" s="303"/>
      <c r="S162" s="51"/>
      <c r="T162" s="51"/>
      <c r="U162" s="51"/>
      <c r="V162" s="51"/>
      <c r="W162" s="51"/>
      <c r="X162" s="51"/>
      <c r="Y162" s="51"/>
      <c r="Z162" s="51"/>
    </row>
    <row r="163" spans="1:26">
      <c r="A163" s="89" t="s">
        <v>580</v>
      </c>
      <c r="B163" s="305">
        <v>35192</v>
      </c>
      <c r="C163" s="305">
        <v>33416</v>
      </c>
      <c r="D163" s="305">
        <v>30739</v>
      </c>
      <c r="E163" s="305">
        <v>24563</v>
      </c>
      <c r="F163" s="305">
        <v>19435</v>
      </c>
      <c r="G163" s="12"/>
      <c r="H163" s="281"/>
      <c r="I163" s="89"/>
      <c r="J163" s="305"/>
      <c r="K163" s="305"/>
      <c r="L163" s="305"/>
      <c r="M163" s="305"/>
      <c r="N163" s="305"/>
      <c r="O163" s="303"/>
      <c r="P163" s="303"/>
      <c r="Q163" s="303"/>
      <c r="R163" s="303"/>
      <c r="S163" s="51"/>
      <c r="T163" s="51"/>
      <c r="U163" s="51"/>
      <c r="V163" s="51"/>
      <c r="W163" s="51"/>
      <c r="X163" s="51"/>
      <c r="Y163" s="51"/>
      <c r="Z163" s="51"/>
    </row>
    <row r="164" spans="1:26">
      <c r="A164" s="89" t="s">
        <v>610</v>
      </c>
      <c r="B164" s="305" t="s">
        <v>26</v>
      </c>
      <c r="C164" s="305" t="s">
        <v>26</v>
      </c>
      <c r="D164" s="305" t="s">
        <v>26</v>
      </c>
      <c r="E164" s="305" t="s">
        <v>26</v>
      </c>
      <c r="F164" s="305" t="s">
        <v>26</v>
      </c>
      <c r="G164" s="12"/>
      <c r="H164" s="281"/>
      <c r="I164" s="89"/>
      <c r="J164" s="305"/>
      <c r="K164" s="305"/>
      <c r="L164" s="305"/>
      <c r="M164" s="305"/>
      <c r="N164" s="305"/>
      <c r="O164" s="303"/>
      <c r="P164" s="303"/>
      <c r="Q164" s="303"/>
      <c r="R164" s="303"/>
      <c r="S164" s="51"/>
      <c r="T164" s="51"/>
      <c r="U164" s="51"/>
      <c r="V164" s="51"/>
      <c r="W164" s="51"/>
      <c r="X164" s="51"/>
      <c r="Y164" s="51"/>
      <c r="Z164" s="51"/>
    </row>
    <row r="165" spans="1:26">
      <c r="A165" s="89" t="s">
        <v>579</v>
      </c>
      <c r="B165" s="305" t="s">
        <v>26</v>
      </c>
      <c r="C165" s="305" t="s">
        <v>26</v>
      </c>
      <c r="D165" s="305" t="s">
        <v>26</v>
      </c>
      <c r="E165" s="305" t="s">
        <v>26</v>
      </c>
      <c r="F165" s="305" t="s">
        <v>26</v>
      </c>
      <c r="G165" s="12"/>
      <c r="H165" s="281"/>
      <c r="I165" s="89"/>
      <c r="J165" s="305"/>
      <c r="K165" s="305"/>
      <c r="L165" s="305"/>
      <c r="M165" s="305"/>
      <c r="N165" s="305"/>
      <c r="O165" s="303"/>
      <c r="P165" s="303"/>
      <c r="Q165" s="303"/>
      <c r="R165" s="303"/>
      <c r="S165" s="51"/>
      <c r="T165" s="51"/>
      <c r="U165" s="51"/>
      <c r="V165" s="51"/>
      <c r="W165" s="51"/>
      <c r="X165" s="51"/>
      <c r="Y165" s="51"/>
      <c r="Z165" s="51"/>
    </row>
    <row r="166" spans="1:26">
      <c r="A166" s="89" t="s">
        <v>580</v>
      </c>
      <c r="B166" s="305">
        <v>8449</v>
      </c>
      <c r="C166" s="305">
        <v>7255</v>
      </c>
      <c r="D166" s="305">
        <v>6070</v>
      </c>
      <c r="E166" s="305">
        <v>5195</v>
      </c>
      <c r="F166" s="305">
        <v>4664</v>
      </c>
      <c r="G166" s="12"/>
      <c r="H166" s="281"/>
      <c r="I166" s="89"/>
      <c r="J166" s="305"/>
      <c r="K166" s="305"/>
      <c r="L166" s="305"/>
      <c r="M166" s="305"/>
      <c r="N166" s="305"/>
      <c r="O166" s="303"/>
      <c r="P166" s="303"/>
      <c r="Q166" s="303"/>
      <c r="R166" s="303"/>
      <c r="S166" s="51"/>
      <c r="T166" s="51"/>
      <c r="U166" s="51"/>
      <c r="V166" s="51"/>
      <c r="W166" s="51"/>
      <c r="X166" s="51"/>
      <c r="Y166" s="51"/>
      <c r="Z166" s="51"/>
    </row>
    <row r="167" spans="1:26">
      <c r="A167" s="89" t="s">
        <v>611</v>
      </c>
      <c r="B167" s="305" t="s">
        <v>26</v>
      </c>
      <c r="C167" s="305" t="s">
        <v>26</v>
      </c>
      <c r="D167" s="305" t="s">
        <v>26</v>
      </c>
      <c r="E167" s="305" t="s">
        <v>26</v>
      </c>
      <c r="F167" s="305" t="s">
        <v>26</v>
      </c>
      <c r="G167" s="12"/>
      <c r="H167" s="281"/>
      <c r="I167" s="89"/>
      <c r="J167" s="305"/>
      <c r="K167" s="305"/>
      <c r="L167" s="305"/>
      <c r="M167" s="305"/>
      <c r="N167" s="305"/>
      <c r="O167" s="303"/>
      <c r="P167" s="303"/>
      <c r="Q167" s="303"/>
      <c r="R167" s="303"/>
      <c r="S167" s="51"/>
      <c r="T167" s="51"/>
      <c r="U167" s="51"/>
      <c r="V167" s="51"/>
      <c r="W167" s="51"/>
      <c r="X167" s="51"/>
      <c r="Y167" s="51"/>
      <c r="Z167" s="51"/>
    </row>
    <row r="168" spans="1:26">
      <c r="A168" s="89" t="s">
        <v>579</v>
      </c>
      <c r="B168" s="305" t="s">
        <v>26</v>
      </c>
      <c r="C168" s="305" t="s">
        <v>26</v>
      </c>
      <c r="D168" s="305" t="s">
        <v>26</v>
      </c>
      <c r="E168" s="305" t="s">
        <v>26</v>
      </c>
      <c r="F168" s="305" t="s">
        <v>26</v>
      </c>
      <c r="G168" s="12"/>
      <c r="H168" s="281"/>
      <c r="I168" s="89"/>
      <c r="J168" s="305"/>
      <c r="K168" s="305"/>
      <c r="L168" s="305"/>
      <c r="M168" s="305"/>
      <c r="N168" s="305"/>
      <c r="O168" s="303"/>
      <c r="P168" s="303"/>
      <c r="Q168" s="303"/>
      <c r="R168" s="303"/>
      <c r="S168" s="51"/>
      <c r="T168" s="51"/>
      <c r="U168" s="51"/>
      <c r="V168" s="51"/>
      <c r="W168" s="51"/>
      <c r="X168" s="51"/>
      <c r="Y168" s="51"/>
      <c r="Z168" s="51"/>
    </row>
    <row r="169" spans="1:26">
      <c r="A169" s="89" t="s">
        <v>580</v>
      </c>
      <c r="B169" s="305">
        <v>5129</v>
      </c>
      <c r="C169" s="305">
        <v>5005</v>
      </c>
      <c r="D169" s="305">
        <v>4521</v>
      </c>
      <c r="E169" s="305">
        <v>3316</v>
      </c>
      <c r="F169" s="305">
        <v>2702</v>
      </c>
      <c r="G169" s="12"/>
      <c r="H169" s="281"/>
      <c r="I169" s="89"/>
      <c r="J169" s="305"/>
      <c r="K169" s="305"/>
      <c r="L169" s="305"/>
      <c r="M169" s="305"/>
      <c r="N169" s="305"/>
      <c r="O169" s="303"/>
      <c r="P169" s="303"/>
      <c r="Q169" s="303"/>
      <c r="R169" s="303"/>
      <c r="S169" s="51"/>
      <c r="T169" s="51"/>
      <c r="U169" s="51"/>
      <c r="V169" s="51"/>
      <c r="W169" s="51"/>
      <c r="X169" s="51"/>
      <c r="Y169" s="51"/>
      <c r="Z169" s="51"/>
    </row>
    <row r="170" spans="1:26">
      <c r="A170" s="89" t="s">
        <v>612</v>
      </c>
      <c r="B170" s="305" t="s">
        <v>26</v>
      </c>
      <c r="C170" s="305" t="s">
        <v>26</v>
      </c>
      <c r="D170" s="305" t="s">
        <v>26</v>
      </c>
      <c r="E170" s="305" t="s">
        <v>26</v>
      </c>
      <c r="F170" s="305" t="s">
        <v>26</v>
      </c>
      <c r="G170" s="12"/>
      <c r="H170" s="281"/>
      <c r="I170" s="89"/>
      <c r="J170" s="305"/>
      <c r="K170" s="305"/>
      <c r="L170" s="305"/>
      <c r="M170" s="305"/>
      <c r="N170" s="305"/>
      <c r="O170" s="303"/>
      <c r="P170" s="303"/>
      <c r="Q170" s="303"/>
      <c r="R170" s="303"/>
      <c r="S170" s="51"/>
      <c r="T170" s="51"/>
      <c r="U170" s="51"/>
      <c r="V170" s="51"/>
      <c r="W170" s="51"/>
      <c r="X170" s="51"/>
      <c r="Y170" s="51"/>
      <c r="Z170" s="51"/>
    </row>
    <row r="171" spans="1:26">
      <c r="A171" s="89" t="s">
        <v>579</v>
      </c>
      <c r="B171" s="305" t="s">
        <v>26</v>
      </c>
      <c r="C171" s="305" t="s">
        <v>26</v>
      </c>
      <c r="D171" s="305" t="s">
        <v>26</v>
      </c>
      <c r="E171" s="305" t="s">
        <v>26</v>
      </c>
      <c r="F171" s="305" t="s">
        <v>26</v>
      </c>
      <c r="G171" s="12"/>
      <c r="H171" s="281"/>
      <c r="I171" s="89"/>
      <c r="J171" s="305"/>
      <c r="K171" s="305"/>
      <c r="L171" s="305"/>
      <c r="M171" s="305"/>
      <c r="N171" s="305"/>
      <c r="O171" s="303"/>
      <c r="P171" s="303"/>
      <c r="Q171" s="303"/>
      <c r="R171" s="303"/>
      <c r="S171" s="51"/>
      <c r="T171" s="51"/>
      <c r="U171" s="51"/>
      <c r="V171" s="51"/>
      <c r="W171" s="51"/>
      <c r="X171" s="51"/>
      <c r="Y171" s="51"/>
      <c r="Z171" s="51"/>
    </row>
    <row r="172" spans="1:26">
      <c r="A172" s="89" t="s">
        <v>580</v>
      </c>
      <c r="B172" s="305">
        <v>1636</v>
      </c>
      <c r="C172" s="305">
        <v>1705</v>
      </c>
      <c r="D172" s="305">
        <v>1637</v>
      </c>
      <c r="E172" s="305">
        <v>1556</v>
      </c>
      <c r="F172" s="305">
        <v>1301</v>
      </c>
      <c r="G172" s="12"/>
      <c r="H172" s="281"/>
      <c r="I172" s="89"/>
      <c r="J172" s="305"/>
      <c r="K172" s="305"/>
      <c r="L172" s="305"/>
      <c r="M172" s="305"/>
      <c r="N172" s="305"/>
      <c r="O172" s="303"/>
      <c r="P172" s="303"/>
      <c r="Q172" s="303"/>
      <c r="R172" s="303"/>
      <c r="S172" s="51"/>
      <c r="T172" s="51"/>
      <c r="U172" s="51"/>
      <c r="V172" s="51"/>
      <c r="W172" s="51"/>
      <c r="X172" s="51"/>
      <c r="Y172" s="51"/>
      <c r="Z172" s="51"/>
    </row>
    <row r="173" spans="1:26">
      <c r="A173" s="202" t="s">
        <v>1425</v>
      </c>
      <c r="B173" s="305"/>
      <c r="C173" s="305"/>
      <c r="D173" s="305"/>
      <c r="E173" s="305"/>
      <c r="F173" s="305"/>
      <c r="G173" s="12"/>
      <c r="H173" s="281"/>
      <c r="I173" s="89"/>
      <c r="J173" s="305"/>
      <c r="K173" s="305"/>
      <c r="L173" s="305"/>
      <c r="M173" s="305"/>
      <c r="N173" s="305"/>
      <c r="O173" s="303"/>
      <c r="P173" s="303"/>
      <c r="Q173" s="303"/>
      <c r="R173" s="303"/>
      <c r="S173" s="51"/>
      <c r="T173" s="51"/>
      <c r="U173" s="51"/>
      <c r="V173" s="51"/>
      <c r="W173" s="51"/>
      <c r="X173" s="51"/>
      <c r="Y173" s="51"/>
      <c r="Z173" s="51"/>
    </row>
    <row r="174" spans="1:26">
      <c r="A174" s="192" t="s">
        <v>644</v>
      </c>
      <c r="B174" s="305"/>
      <c r="C174" s="305"/>
      <c r="D174" s="305"/>
      <c r="E174" s="305"/>
      <c r="F174" s="305"/>
      <c r="G174" s="12"/>
      <c r="H174" s="281"/>
      <c r="I174" s="192" t="s">
        <v>644</v>
      </c>
      <c r="J174" s="305"/>
      <c r="K174" s="305" t="s">
        <v>520</v>
      </c>
      <c r="L174" s="305"/>
      <c r="M174" s="305"/>
      <c r="N174" s="305"/>
      <c r="O174" s="303"/>
      <c r="P174" s="303"/>
      <c r="Q174" s="303"/>
      <c r="R174" s="303"/>
      <c r="S174" s="51"/>
      <c r="T174" s="51"/>
      <c r="U174" s="51"/>
      <c r="V174" s="51"/>
      <c r="W174" s="51"/>
      <c r="X174" s="51"/>
      <c r="Y174" s="51"/>
      <c r="Z174" s="51"/>
    </row>
    <row r="175" spans="1:26">
      <c r="A175" s="192" t="s">
        <v>632</v>
      </c>
      <c r="B175" s="305"/>
      <c r="C175" s="305" t="s">
        <v>520</v>
      </c>
      <c r="D175" s="305"/>
      <c r="E175" s="305"/>
      <c r="F175" s="305"/>
      <c r="G175" s="12"/>
      <c r="H175" s="281"/>
      <c r="I175" s="89" t="s">
        <v>721</v>
      </c>
      <c r="J175" s="305" t="s">
        <v>28</v>
      </c>
      <c r="K175" s="305" t="s">
        <v>27</v>
      </c>
      <c r="L175" s="305" t="s">
        <v>25</v>
      </c>
      <c r="M175" s="305" t="s">
        <v>24</v>
      </c>
      <c r="N175" s="305" t="s">
        <v>1</v>
      </c>
      <c r="O175" s="303"/>
      <c r="P175" s="303"/>
      <c r="Q175" s="303"/>
      <c r="R175" s="303"/>
      <c r="S175" s="51"/>
      <c r="T175" s="51"/>
      <c r="U175" s="51"/>
      <c r="V175" s="51"/>
      <c r="W175" s="51"/>
      <c r="X175" s="51"/>
      <c r="Y175" s="51"/>
      <c r="Z175" s="51"/>
    </row>
    <row r="176" spans="1:26">
      <c r="A176" s="89"/>
      <c r="B176" s="305" t="s">
        <v>28</v>
      </c>
      <c r="C176" s="305" t="s">
        <v>27</v>
      </c>
      <c r="D176" s="305" t="s">
        <v>25</v>
      </c>
      <c r="E176" s="305" t="s">
        <v>24</v>
      </c>
      <c r="F176" s="305" t="s">
        <v>1</v>
      </c>
      <c r="G176" s="12"/>
      <c r="H176" s="281"/>
      <c r="I176" s="89" t="s">
        <v>31</v>
      </c>
      <c r="J176" s="305">
        <v>6561</v>
      </c>
      <c r="K176" s="305">
        <v>9081</v>
      </c>
      <c r="L176" s="305">
        <v>7776</v>
      </c>
      <c r="M176" s="305">
        <v>5197</v>
      </c>
      <c r="N176" s="305">
        <v>4794</v>
      </c>
      <c r="O176" s="303"/>
      <c r="P176" s="303"/>
      <c r="Q176" s="303"/>
      <c r="R176" s="303"/>
      <c r="S176" s="51"/>
      <c r="T176" s="51"/>
      <c r="U176" s="51"/>
      <c r="V176" s="51"/>
      <c r="W176" s="51"/>
      <c r="X176" s="51"/>
      <c r="Y176" s="51"/>
      <c r="Z176" s="51"/>
    </row>
    <row r="177" spans="1:26">
      <c r="A177" s="89" t="s">
        <v>2</v>
      </c>
      <c r="B177" s="305" t="s">
        <v>26</v>
      </c>
      <c r="C177" s="305" t="s">
        <v>26</v>
      </c>
      <c r="D177" s="305" t="s">
        <v>26</v>
      </c>
      <c r="E177" s="305" t="s">
        <v>26</v>
      </c>
      <c r="F177" s="305" t="s">
        <v>26</v>
      </c>
      <c r="G177" s="12"/>
      <c r="H177" s="281"/>
      <c r="I177" s="89" t="s">
        <v>646</v>
      </c>
      <c r="J177" s="305">
        <v>4262</v>
      </c>
      <c r="K177" s="305">
        <v>4979</v>
      </c>
      <c r="L177" s="305">
        <v>3092</v>
      </c>
      <c r="M177" s="305">
        <v>4303</v>
      </c>
      <c r="N177" s="305">
        <v>8289</v>
      </c>
      <c r="O177" s="303"/>
      <c r="P177" s="303"/>
      <c r="Q177" s="303"/>
      <c r="R177" s="303"/>
      <c r="S177" s="51"/>
      <c r="T177" s="51"/>
      <c r="U177" s="51"/>
      <c r="V177" s="51"/>
      <c r="W177" s="51"/>
      <c r="X177" s="51"/>
      <c r="Y177" s="51"/>
      <c r="Z177" s="51"/>
    </row>
    <row r="178" spans="1:26">
      <c r="A178" s="89" t="s">
        <v>633</v>
      </c>
      <c r="B178" s="305">
        <v>31797</v>
      </c>
      <c r="C178" s="305">
        <v>29771</v>
      </c>
      <c r="D178" s="305">
        <v>27518</v>
      </c>
      <c r="E178" s="305">
        <v>25371</v>
      </c>
      <c r="F178" s="305">
        <v>21454</v>
      </c>
      <c r="G178" s="12"/>
      <c r="H178" s="281"/>
      <c r="I178" s="89" t="s">
        <v>647</v>
      </c>
      <c r="J178" s="305">
        <v>984</v>
      </c>
      <c r="K178" s="305">
        <v>1069</v>
      </c>
      <c r="L178" s="305">
        <v>963</v>
      </c>
      <c r="M178" s="305">
        <v>800</v>
      </c>
      <c r="N178" s="305">
        <v>577</v>
      </c>
      <c r="O178" s="303"/>
      <c r="P178" s="303"/>
      <c r="Q178" s="303"/>
      <c r="R178" s="303"/>
      <c r="S178" s="51"/>
      <c r="T178" s="51"/>
      <c r="U178" s="51"/>
      <c r="V178" s="51"/>
      <c r="W178" s="51"/>
      <c r="X178" s="51"/>
      <c r="Y178" s="51"/>
      <c r="Z178" s="51"/>
    </row>
    <row r="179" spans="1:26">
      <c r="A179" s="89" t="s">
        <v>634</v>
      </c>
      <c r="B179" s="305" t="s">
        <v>26</v>
      </c>
      <c r="C179" s="305" t="s">
        <v>26</v>
      </c>
      <c r="D179" s="305" t="s">
        <v>26</v>
      </c>
      <c r="E179" s="305" t="s">
        <v>26</v>
      </c>
      <c r="F179" s="305" t="s">
        <v>26</v>
      </c>
      <c r="G179" s="12"/>
      <c r="H179" s="281"/>
      <c r="I179" s="89" t="s">
        <v>726</v>
      </c>
      <c r="J179" s="305"/>
      <c r="K179" s="305"/>
      <c r="L179" s="305">
        <v>7431</v>
      </c>
      <c r="M179" s="305">
        <v>4846</v>
      </c>
      <c r="N179" s="305"/>
      <c r="O179" s="303"/>
      <c r="P179" s="303"/>
      <c r="Q179" s="303"/>
      <c r="R179" s="303"/>
      <c r="S179" s="51"/>
      <c r="T179" s="51"/>
      <c r="U179" s="51"/>
      <c r="V179" s="51"/>
      <c r="W179" s="51"/>
      <c r="X179" s="51"/>
      <c r="Y179" s="51"/>
      <c r="Z179" s="51"/>
    </row>
    <row r="180" spans="1:26">
      <c r="A180" s="89" t="s">
        <v>635</v>
      </c>
      <c r="B180" s="305">
        <v>15697</v>
      </c>
      <c r="C180" s="305">
        <v>14385</v>
      </c>
      <c r="D180" s="305">
        <v>12173</v>
      </c>
      <c r="E180" s="305">
        <v>10315</v>
      </c>
      <c r="F180" s="305">
        <v>7934</v>
      </c>
      <c r="G180" s="12"/>
      <c r="H180" s="281"/>
      <c r="I180" s="89" t="s">
        <v>650</v>
      </c>
      <c r="J180" s="305">
        <v>37671</v>
      </c>
      <c r="K180" s="305">
        <v>38935</v>
      </c>
      <c r="L180" s="305">
        <v>36357</v>
      </c>
      <c r="M180" s="305">
        <v>36141</v>
      </c>
      <c r="N180" s="305">
        <v>33418</v>
      </c>
      <c r="O180" s="303"/>
      <c r="P180" s="303"/>
      <c r="Q180" s="303"/>
      <c r="R180" s="303"/>
      <c r="S180" s="51"/>
      <c r="T180" s="51"/>
      <c r="U180" s="51"/>
      <c r="V180" s="51"/>
      <c r="W180" s="51"/>
      <c r="X180" s="51"/>
      <c r="Y180" s="51"/>
      <c r="Z180" s="51"/>
    </row>
    <row r="181" spans="1:26">
      <c r="A181" s="89" t="s">
        <v>636</v>
      </c>
      <c r="B181" s="305">
        <v>1442</v>
      </c>
      <c r="C181" s="305">
        <v>1682</v>
      </c>
      <c r="D181" s="305">
        <v>1572</v>
      </c>
      <c r="E181" s="305">
        <v>1060</v>
      </c>
      <c r="F181" s="305">
        <v>1741</v>
      </c>
      <c r="G181" s="12"/>
      <c r="H181" s="281"/>
      <c r="I181" s="89" t="s">
        <v>37</v>
      </c>
      <c r="J181" s="305">
        <v>4651</v>
      </c>
      <c r="K181" s="305">
        <v>2509</v>
      </c>
      <c r="L181" s="305">
        <v>1898</v>
      </c>
      <c r="M181" s="305">
        <v>1287</v>
      </c>
      <c r="N181" s="305">
        <v>1148</v>
      </c>
      <c r="O181" s="303"/>
      <c r="P181" s="303"/>
      <c r="Q181" s="303"/>
      <c r="R181" s="303"/>
      <c r="S181" s="51"/>
      <c r="T181" s="51"/>
      <c r="U181" s="51"/>
      <c r="V181" s="51"/>
      <c r="W181" s="51"/>
      <c r="X181" s="51"/>
      <c r="Y181" s="51"/>
      <c r="Z181" s="51"/>
    </row>
    <row r="182" spans="1:26">
      <c r="A182" s="89" t="s">
        <v>637</v>
      </c>
      <c r="B182" s="305">
        <v>1768</v>
      </c>
      <c r="C182" s="305">
        <v>1919</v>
      </c>
      <c r="D182" s="305">
        <v>2120</v>
      </c>
      <c r="E182" s="305">
        <v>2075</v>
      </c>
      <c r="F182" s="305">
        <v>1778</v>
      </c>
      <c r="G182" s="12"/>
      <c r="H182" s="281"/>
      <c r="I182" s="89" t="s">
        <v>38</v>
      </c>
      <c r="J182" s="305">
        <v>61092</v>
      </c>
      <c r="K182" s="305">
        <v>62569</v>
      </c>
      <c r="L182" s="305">
        <v>57517</v>
      </c>
      <c r="M182" s="305">
        <v>52574</v>
      </c>
      <c r="N182" s="305">
        <v>50995</v>
      </c>
      <c r="O182" s="303"/>
      <c r="P182" s="303"/>
      <c r="Q182" s="303"/>
      <c r="R182" s="303"/>
      <c r="S182" s="51"/>
      <c r="T182" s="51"/>
      <c r="U182" s="51"/>
      <c r="V182" s="51"/>
      <c r="W182" s="51"/>
      <c r="X182" s="51"/>
      <c r="Y182" s="51"/>
      <c r="Z182" s="51"/>
    </row>
    <row r="183" spans="1:26">
      <c r="A183" s="89" t="s">
        <v>638</v>
      </c>
      <c r="B183" s="305">
        <v>2001</v>
      </c>
      <c r="C183" s="305">
        <v>1809</v>
      </c>
      <c r="D183" s="305">
        <v>2257</v>
      </c>
      <c r="E183" s="305">
        <v>2445</v>
      </c>
      <c r="F183" s="305">
        <v>1861</v>
      </c>
      <c r="G183" s="12"/>
      <c r="H183" s="281"/>
      <c r="I183" s="89" t="s">
        <v>651</v>
      </c>
      <c r="J183" s="305">
        <v>4583</v>
      </c>
      <c r="K183" s="305">
        <v>3273</v>
      </c>
      <c r="L183" s="305">
        <v>5018</v>
      </c>
      <c r="M183" s="305">
        <v>6797</v>
      </c>
      <c r="N183" s="305">
        <v>6089</v>
      </c>
      <c r="O183" s="303"/>
      <c r="P183" s="303"/>
      <c r="Q183" s="303"/>
      <c r="R183" s="303"/>
      <c r="S183" s="51"/>
      <c r="T183" s="51"/>
      <c r="U183" s="51"/>
      <c r="V183" s="51"/>
      <c r="W183" s="51"/>
      <c r="X183" s="51"/>
      <c r="Y183" s="51"/>
      <c r="Z183" s="51"/>
    </row>
    <row r="184" spans="1:26">
      <c r="A184" s="89" t="s">
        <v>639</v>
      </c>
      <c r="B184" s="305">
        <v>2979</v>
      </c>
      <c r="C184" s="305">
        <v>2973</v>
      </c>
      <c r="D184" s="305">
        <v>3253</v>
      </c>
      <c r="E184" s="305">
        <v>3038</v>
      </c>
      <c r="F184" s="305">
        <v>2642</v>
      </c>
      <c r="G184" s="12"/>
      <c r="H184" s="281"/>
      <c r="I184" s="89" t="s">
        <v>652</v>
      </c>
      <c r="J184" s="305">
        <v>1508</v>
      </c>
      <c r="K184" s="305">
        <v>1488</v>
      </c>
      <c r="L184" s="305">
        <v>1730</v>
      </c>
      <c r="M184" s="305">
        <v>1909</v>
      </c>
      <c r="N184" s="305">
        <v>1807</v>
      </c>
      <c r="O184" s="303"/>
      <c r="P184" s="303"/>
      <c r="Q184" s="303"/>
      <c r="R184" s="303"/>
      <c r="S184" s="51"/>
      <c r="T184" s="51"/>
      <c r="U184" s="51"/>
      <c r="V184" s="51"/>
      <c r="W184" s="51"/>
      <c r="X184" s="51"/>
      <c r="Y184" s="51"/>
      <c r="Z184" s="51"/>
    </row>
    <row r="185" spans="1:26">
      <c r="A185" s="89" t="s">
        <v>5</v>
      </c>
      <c r="B185" s="305">
        <v>2147</v>
      </c>
      <c r="C185" s="305">
        <v>2059</v>
      </c>
      <c r="D185" s="305">
        <v>2099</v>
      </c>
      <c r="E185" s="305">
        <v>2114</v>
      </c>
      <c r="F185" s="305">
        <v>2070</v>
      </c>
      <c r="G185" s="12"/>
      <c r="H185" s="281"/>
      <c r="I185" s="89" t="s">
        <v>41</v>
      </c>
      <c r="J185" s="305">
        <v>10837</v>
      </c>
      <c r="K185" s="305">
        <v>11026</v>
      </c>
      <c r="L185" s="305">
        <v>11209</v>
      </c>
      <c r="M185" s="305">
        <v>11454</v>
      </c>
      <c r="N185" s="305">
        <v>9135</v>
      </c>
      <c r="O185" s="303"/>
      <c r="P185" s="303"/>
      <c r="Q185" s="303"/>
      <c r="R185" s="303"/>
      <c r="S185" s="51"/>
      <c r="T185" s="51"/>
      <c r="U185" s="51"/>
      <c r="V185" s="51"/>
      <c r="W185" s="51"/>
      <c r="X185" s="51"/>
      <c r="Y185" s="51"/>
      <c r="Z185" s="51"/>
    </row>
    <row r="186" spans="1:26">
      <c r="A186" s="89" t="s">
        <v>640</v>
      </c>
      <c r="B186" s="305">
        <v>438</v>
      </c>
      <c r="C186" s="305">
        <v>-84</v>
      </c>
      <c r="D186" s="305">
        <v>207</v>
      </c>
      <c r="E186" s="305">
        <v>62</v>
      </c>
      <c r="F186" s="305">
        <v>139</v>
      </c>
      <c r="G186" s="12"/>
      <c r="H186" s="281"/>
      <c r="I186" s="89" t="s">
        <v>552</v>
      </c>
      <c r="J186" s="305">
        <v>326</v>
      </c>
      <c r="K186" s="305">
        <v>537</v>
      </c>
      <c r="L186" s="305">
        <v>788</v>
      </c>
      <c r="M186" s="305">
        <v>1332</v>
      </c>
      <c r="N186" s="305">
        <v>1048</v>
      </c>
      <c r="O186" s="303"/>
      <c r="P186" s="303"/>
      <c r="Q186" s="303"/>
      <c r="R186" s="303"/>
      <c r="S186" s="51"/>
      <c r="T186" s="51"/>
      <c r="U186" s="51"/>
      <c r="V186" s="51"/>
      <c r="W186" s="51"/>
      <c r="X186" s="51"/>
      <c r="Y186" s="51"/>
      <c r="Z186" s="51"/>
    </row>
    <row r="187" spans="1:26">
      <c r="A187" s="89" t="s">
        <v>9</v>
      </c>
      <c r="B187" s="305">
        <v>26472</v>
      </c>
      <c r="C187" s="305">
        <v>24743</v>
      </c>
      <c r="D187" s="305">
        <v>23681</v>
      </c>
      <c r="E187" s="305">
        <v>21109</v>
      </c>
      <c r="F187" s="305">
        <v>18165</v>
      </c>
      <c r="G187" s="12"/>
      <c r="H187" s="281"/>
      <c r="I187" s="89" t="s">
        <v>43</v>
      </c>
      <c r="J187" s="305">
        <v>3265</v>
      </c>
      <c r="K187" s="305">
        <v>3273</v>
      </c>
      <c r="L187" s="305">
        <v>2455</v>
      </c>
      <c r="M187" s="305">
        <v>1737</v>
      </c>
      <c r="N187" s="305">
        <v>1305</v>
      </c>
      <c r="O187" s="303"/>
      <c r="P187" s="303"/>
      <c r="Q187" s="303"/>
      <c r="R187" s="303"/>
      <c r="S187" s="51"/>
      <c r="T187" s="51"/>
      <c r="U187" s="51"/>
      <c r="V187" s="51"/>
      <c r="W187" s="51"/>
      <c r="X187" s="51"/>
      <c r="Y187" s="51"/>
      <c r="Z187" s="51"/>
    </row>
    <row r="188" spans="1:26">
      <c r="A188" s="89" t="s">
        <v>10</v>
      </c>
      <c r="B188" s="305">
        <v>5325</v>
      </c>
      <c r="C188" s="305">
        <v>5028</v>
      </c>
      <c r="D188" s="305">
        <v>3837</v>
      </c>
      <c r="E188" s="305">
        <v>4262</v>
      </c>
      <c r="F188" s="305">
        <v>3289</v>
      </c>
      <c r="G188" s="12"/>
      <c r="H188" s="281"/>
      <c r="I188" s="89" t="s">
        <v>553</v>
      </c>
      <c r="J188" s="305">
        <v>81611</v>
      </c>
      <c r="K188" s="305">
        <v>82166</v>
      </c>
      <c r="L188" s="305">
        <v>78717</v>
      </c>
      <c r="M188" s="305">
        <v>75803</v>
      </c>
      <c r="N188" s="305">
        <v>70379</v>
      </c>
      <c r="O188" s="303"/>
      <c r="P188" s="303"/>
      <c r="Q188" s="303"/>
      <c r="R188" s="303"/>
      <c r="S188" s="51"/>
      <c r="T188" s="51"/>
      <c r="U188" s="51"/>
      <c r="V188" s="51"/>
      <c r="W188" s="51"/>
      <c r="X188" s="51"/>
      <c r="Y188" s="51"/>
      <c r="Z188" s="51"/>
    </row>
    <row r="189" spans="1:26">
      <c r="A189" s="89" t="s">
        <v>15</v>
      </c>
      <c r="B189" s="305">
        <v>4</v>
      </c>
      <c r="C189" s="305">
        <v>383</v>
      </c>
      <c r="D189" s="305">
        <v>-471</v>
      </c>
      <c r="E189" s="305">
        <v>-163</v>
      </c>
      <c r="F189" s="305">
        <v>1776</v>
      </c>
      <c r="G189" s="12"/>
      <c r="H189" s="281"/>
      <c r="I189" s="89" t="s">
        <v>653</v>
      </c>
      <c r="J189" s="305" t="s">
        <v>26</v>
      </c>
      <c r="K189" s="305" t="s">
        <v>26</v>
      </c>
      <c r="L189" s="305" t="s">
        <v>26</v>
      </c>
      <c r="M189" s="305"/>
      <c r="N189" s="305"/>
      <c r="O189" s="303"/>
      <c r="P189" s="303"/>
      <c r="Q189" s="303"/>
      <c r="R189" s="303"/>
      <c r="S189" s="51"/>
      <c r="T189" s="51"/>
      <c r="U189" s="51"/>
      <c r="V189" s="51"/>
      <c r="W189" s="51"/>
      <c r="X189" s="51"/>
      <c r="Y189" s="51"/>
      <c r="Z189" s="51"/>
    </row>
    <row r="190" spans="1:26">
      <c r="A190" s="89" t="s">
        <v>17</v>
      </c>
      <c r="B190" s="305">
        <v>5329</v>
      </c>
      <c r="C190" s="305">
        <v>5411</v>
      </c>
      <c r="D190" s="305">
        <v>3366</v>
      </c>
      <c r="E190" s="305">
        <v>4099</v>
      </c>
      <c r="F190" s="305">
        <v>5065</v>
      </c>
      <c r="G190" s="12"/>
      <c r="H190" s="281"/>
      <c r="I190" s="89" t="s">
        <v>46</v>
      </c>
      <c r="J190" s="305">
        <v>227</v>
      </c>
      <c r="K190" s="305">
        <v>139</v>
      </c>
      <c r="L190" s="305">
        <v>126</v>
      </c>
      <c r="M190" s="305">
        <v>197</v>
      </c>
      <c r="N190" s="305">
        <v>252</v>
      </c>
      <c r="O190" s="303"/>
      <c r="P190" s="303"/>
      <c r="Q190" s="303"/>
      <c r="R190" s="303"/>
      <c r="S190" s="51"/>
      <c r="T190" s="51"/>
      <c r="U190" s="51"/>
      <c r="V190" s="51"/>
      <c r="W190" s="51"/>
      <c r="X190" s="51"/>
      <c r="Y190" s="51"/>
      <c r="Z190" s="51"/>
    </row>
    <row r="191" spans="1:26">
      <c r="A191" s="89" t="s">
        <v>18</v>
      </c>
      <c r="B191" s="305">
        <v>1182</v>
      </c>
      <c r="C191" s="305">
        <v>1165</v>
      </c>
      <c r="D191" s="305">
        <v>947</v>
      </c>
      <c r="E191" s="305">
        <v>-70</v>
      </c>
      <c r="F191" s="305">
        <v>863</v>
      </c>
      <c r="G191" s="12"/>
      <c r="H191" s="281"/>
      <c r="I191" s="89" t="s">
        <v>654</v>
      </c>
      <c r="J191" s="305">
        <v>39671</v>
      </c>
      <c r="K191" s="305">
        <v>41935</v>
      </c>
      <c r="L191" s="305">
        <v>40107</v>
      </c>
      <c r="M191" s="305">
        <v>38841</v>
      </c>
      <c r="N191" s="305">
        <v>35418</v>
      </c>
      <c r="O191" s="303"/>
      <c r="P191" s="303"/>
      <c r="Q191" s="303"/>
      <c r="R191" s="303"/>
      <c r="S191" s="51"/>
      <c r="T191" s="51"/>
      <c r="U191" s="51"/>
      <c r="V191" s="51"/>
      <c r="W191" s="51"/>
      <c r="X191" s="51"/>
      <c r="Y191" s="51"/>
      <c r="Z191" s="51"/>
    </row>
    <row r="192" spans="1:26">
      <c r="A192" s="89" t="s">
        <v>641</v>
      </c>
      <c r="B192" s="305">
        <v>4147</v>
      </c>
      <c r="C192" s="305">
        <v>4246</v>
      </c>
      <c r="D192" s="305">
        <v>2419</v>
      </c>
      <c r="E192" s="305">
        <v>4169</v>
      </c>
      <c r="F192" s="305">
        <v>4202</v>
      </c>
      <c r="G192" s="12"/>
      <c r="H192" s="281"/>
      <c r="I192" s="89" t="s">
        <v>655</v>
      </c>
      <c r="J192" s="305">
        <v>8478</v>
      </c>
      <c r="K192" s="305">
        <v>6392</v>
      </c>
      <c r="L192" s="305">
        <v>4055</v>
      </c>
      <c r="M192" s="305">
        <v>3755</v>
      </c>
      <c r="N192" s="305">
        <v>2648</v>
      </c>
      <c r="O192" s="303"/>
      <c r="P192" s="303"/>
      <c r="Q192" s="303"/>
      <c r="R192" s="303"/>
      <c r="S192" s="51"/>
      <c r="T192" s="51"/>
      <c r="U192" s="51"/>
      <c r="V192" s="51"/>
      <c r="W192" s="51"/>
      <c r="X192" s="51"/>
      <c r="Y192" s="51"/>
      <c r="Z192" s="51"/>
    </row>
    <row r="193" spans="1:26">
      <c r="A193" s="89" t="s">
        <v>642</v>
      </c>
      <c r="B193" s="305" t="s">
        <v>26</v>
      </c>
      <c r="C193" s="305" t="s">
        <v>26</v>
      </c>
      <c r="D193" s="305" t="s">
        <v>26</v>
      </c>
      <c r="E193" s="305" t="s">
        <v>26</v>
      </c>
      <c r="F193" s="305" t="s">
        <v>26</v>
      </c>
      <c r="G193" s="12"/>
      <c r="H193" s="281"/>
      <c r="I193" s="89" t="s">
        <v>727</v>
      </c>
      <c r="J193" s="305"/>
      <c r="K193" s="305"/>
      <c r="L193" s="305">
        <v>813</v>
      </c>
      <c r="M193" s="305">
        <v>236</v>
      </c>
      <c r="N193" s="305">
        <v>129</v>
      </c>
      <c r="O193" s="303"/>
      <c r="P193" s="303"/>
      <c r="Q193" s="303"/>
      <c r="R193" s="303"/>
      <c r="S193" s="51"/>
      <c r="T193" s="51"/>
      <c r="U193" s="51"/>
      <c r="V193" s="51"/>
      <c r="W193" s="51"/>
      <c r="X193" s="51"/>
      <c r="Y193" s="51"/>
      <c r="Z193" s="51"/>
    </row>
    <row r="194" spans="1:26">
      <c r="A194" s="89" t="s">
        <v>602</v>
      </c>
      <c r="B194" s="305">
        <v>4.03</v>
      </c>
      <c r="C194" s="305">
        <v>3.85</v>
      </c>
      <c r="D194" s="305">
        <v>2.1</v>
      </c>
      <c r="E194" s="305">
        <v>3.55</v>
      </c>
      <c r="F194" s="305">
        <v>3.58</v>
      </c>
      <c r="G194" s="12"/>
      <c r="H194" s="281"/>
      <c r="I194" s="89" t="s">
        <v>52</v>
      </c>
      <c r="J194" s="305">
        <v>48376</v>
      </c>
      <c r="K194" s="305">
        <v>48466</v>
      </c>
      <c r="L194" s="305">
        <v>45101</v>
      </c>
      <c r="M194" s="305">
        <v>43029</v>
      </c>
      <c r="N194" s="305">
        <v>38447</v>
      </c>
      <c r="O194" s="303"/>
      <c r="P194" s="303"/>
      <c r="Q194" s="303"/>
      <c r="R194" s="303"/>
      <c r="S194" s="51"/>
      <c r="T194" s="51"/>
      <c r="U194" s="51"/>
      <c r="V194" s="51"/>
      <c r="W194" s="51"/>
      <c r="X194" s="51"/>
      <c r="Y194" s="51"/>
      <c r="Z194" s="51"/>
    </row>
    <row r="195" spans="1:26">
      <c r="A195" s="89" t="s">
        <v>603</v>
      </c>
      <c r="B195" s="305">
        <v>3.99</v>
      </c>
      <c r="C195" s="305">
        <v>3.84</v>
      </c>
      <c r="D195" s="305">
        <v>2.09</v>
      </c>
      <c r="E195" s="305">
        <v>3.52</v>
      </c>
      <c r="F195" s="305">
        <v>3.54</v>
      </c>
      <c r="G195" s="12"/>
      <c r="H195" s="281"/>
      <c r="I195" s="89" t="s">
        <v>728</v>
      </c>
      <c r="J195" s="305"/>
      <c r="K195" s="305"/>
      <c r="L195" s="305">
        <v>2925</v>
      </c>
      <c r="M195" s="305">
        <v>2998</v>
      </c>
      <c r="N195" s="305">
        <v>2930</v>
      </c>
      <c r="O195" s="303"/>
      <c r="P195" s="303"/>
      <c r="Q195" s="303"/>
      <c r="R195" s="303"/>
      <c r="S195" s="51"/>
      <c r="T195" s="51"/>
      <c r="U195" s="51"/>
      <c r="V195" s="51"/>
      <c r="W195" s="51"/>
      <c r="X195" s="51"/>
      <c r="Y195" s="51"/>
      <c r="Z195" s="51"/>
    </row>
    <row r="196" spans="1:26">
      <c r="A196" s="89" t="s">
        <v>643</v>
      </c>
      <c r="B196" s="305" t="s">
        <v>26</v>
      </c>
      <c r="C196" s="305" t="s">
        <v>26</v>
      </c>
      <c r="D196" s="305" t="s">
        <v>26</v>
      </c>
      <c r="E196" s="305" t="s">
        <v>26</v>
      </c>
      <c r="F196" s="305" t="s">
        <v>26</v>
      </c>
      <c r="G196" s="12"/>
      <c r="H196" s="281"/>
      <c r="I196" s="89" t="s">
        <v>53</v>
      </c>
      <c r="J196" s="305">
        <v>9879</v>
      </c>
      <c r="K196" s="305">
        <v>9676</v>
      </c>
      <c r="L196" s="305">
        <v>10417</v>
      </c>
      <c r="M196" s="305">
        <v>8049</v>
      </c>
      <c r="N196" s="305">
        <v>8939</v>
      </c>
      <c r="O196" s="303"/>
      <c r="P196" s="303"/>
      <c r="Q196" s="303"/>
      <c r="R196" s="303"/>
      <c r="S196" s="51"/>
      <c r="T196" s="51"/>
      <c r="U196" s="51"/>
      <c r="V196" s="51"/>
      <c r="W196" s="51"/>
      <c r="X196" s="51"/>
      <c r="Y196" s="51"/>
      <c r="Z196" s="51"/>
    </row>
    <row r="197" spans="1:26">
      <c r="A197" s="89" t="s">
        <v>605</v>
      </c>
      <c r="B197" s="305">
        <v>1029</v>
      </c>
      <c r="C197" s="305">
        <v>1103</v>
      </c>
      <c r="D197" s="305">
        <v>1154</v>
      </c>
      <c r="E197" s="305">
        <v>1174</v>
      </c>
      <c r="F197" s="305">
        <v>1173</v>
      </c>
      <c r="G197" s="12"/>
      <c r="H197" s="281"/>
      <c r="I197" s="89" t="s">
        <v>558</v>
      </c>
      <c r="J197" s="305">
        <v>61194</v>
      </c>
      <c r="K197" s="305">
        <v>61115</v>
      </c>
      <c r="L197" s="305">
        <v>58443</v>
      </c>
      <c r="M197" s="305">
        <v>54076</v>
      </c>
      <c r="N197" s="305">
        <v>50316</v>
      </c>
      <c r="O197" s="303"/>
      <c r="P197" s="303"/>
      <c r="Q197" s="303"/>
      <c r="R197" s="303"/>
      <c r="S197" s="51"/>
      <c r="T197" s="51"/>
      <c r="U197" s="51"/>
      <c r="V197" s="51"/>
      <c r="W197" s="51"/>
      <c r="X197" s="51"/>
      <c r="Y197" s="51"/>
      <c r="Z197" s="51"/>
    </row>
    <row r="198" spans="1:26">
      <c r="A198" s="89" t="s">
        <v>606</v>
      </c>
      <c r="B198" s="305">
        <v>1039</v>
      </c>
      <c r="C198" s="305">
        <v>1107</v>
      </c>
      <c r="D198" s="305">
        <v>1158</v>
      </c>
      <c r="E198" s="305">
        <v>1186</v>
      </c>
      <c r="F198" s="305">
        <v>1187</v>
      </c>
      <c r="G198" s="12"/>
      <c r="H198" s="281"/>
      <c r="I198" s="89" t="s">
        <v>657</v>
      </c>
      <c r="J198" s="305" t="s">
        <v>26</v>
      </c>
      <c r="K198" s="305" t="s">
        <v>26</v>
      </c>
      <c r="L198" s="305" t="s">
        <v>26</v>
      </c>
      <c r="M198" s="305"/>
      <c r="N198" s="305"/>
      <c r="O198" s="303"/>
      <c r="P198" s="303"/>
      <c r="Q198" s="303"/>
      <c r="R198" s="303"/>
      <c r="S198" s="51"/>
      <c r="T198" s="51"/>
      <c r="U198" s="51"/>
      <c r="V198" s="51"/>
      <c r="W198" s="51"/>
      <c r="X198" s="51"/>
      <c r="Y198" s="51"/>
      <c r="Z198" s="51"/>
    </row>
    <row r="199" spans="1:26">
      <c r="A199" s="89"/>
      <c r="B199" s="305"/>
      <c r="C199" s="305"/>
      <c r="D199" s="305"/>
      <c r="E199" s="305"/>
      <c r="F199" s="305"/>
      <c r="G199" s="281"/>
      <c r="H199" s="281"/>
      <c r="I199" s="89" t="s">
        <v>729</v>
      </c>
      <c r="J199" s="305"/>
      <c r="K199" s="305"/>
      <c r="L199" s="305">
        <v>0</v>
      </c>
      <c r="M199" s="305">
        <v>0</v>
      </c>
      <c r="N199" s="305"/>
      <c r="O199" s="303"/>
      <c r="P199" s="303"/>
      <c r="Q199" s="303"/>
      <c r="R199" s="303"/>
      <c r="S199" s="51"/>
      <c r="T199" s="51"/>
      <c r="U199" s="51"/>
      <c r="V199" s="51"/>
      <c r="W199" s="51"/>
      <c r="X199" s="51"/>
      <c r="Y199" s="51"/>
      <c r="Z199" s="51"/>
    </row>
    <row r="200" spans="1:26">
      <c r="A200" s="89"/>
      <c r="B200" s="305"/>
      <c r="C200" s="305"/>
      <c r="D200" s="305"/>
      <c r="E200" s="305"/>
      <c r="F200" s="305"/>
      <c r="G200" s="281"/>
      <c r="H200" s="281"/>
      <c r="I200" s="89" t="s">
        <v>659</v>
      </c>
      <c r="J200" s="305">
        <v>0</v>
      </c>
      <c r="K200" s="305">
        <v>0</v>
      </c>
      <c r="L200" s="305">
        <v>0</v>
      </c>
      <c r="M200" s="305">
        <v>0</v>
      </c>
      <c r="N200" s="305">
        <v>0</v>
      </c>
      <c r="O200" s="303"/>
      <c r="P200" s="303"/>
      <c r="Q200" s="303"/>
      <c r="R200" s="303"/>
      <c r="S200" s="51"/>
      <c r="T200" s="51"/>
      <c r="U200" s="51"/>
      <c r="V200" s="51"/>
      <c r="W200" s="51"/>
      <c r="X200" s="51"/>
      <c r="Y200" s="51"/>
      <c r="Z200" s="51"/>
    </row>
    <row r="201" spans="1:26">
      <c r="A201" s="89"/>
      <c r="B201" s="305"/>
      <c r="C201" s="305"/>
      <c r="D201" s="305"/>
      <c r="E201" s="305"/>
      <c r="F201" s="305"/>
      <c r="G201" s="281"/>
      <c r="H201" s="281"/>
      <c r="I201" s="89" t="s">
        <v>730</v>
      </c>
      <c r="J201" s="305"/>
      <c r="K201" s="305"/>
      <c r="L201" s="305">
        <v>-16079</v>
      </c>
      <c r="M201" s="305">
        <v>-11880</v>
      </c>
      <c r="N201" s="305"/>
      <c r="O201" s="303"/>
      <c r="P201" s="303"/>
      <c r="Q201" s="303"/>
      <c r="R201" s="303"/>
      <c r="S201" s="51"/>
      <c r="T201" s="51"/>
      <c r="U201" s="51"/>
      <c r="V201" s="51"/>
      <c r="W201" s="51"/>
      <c r="X201" s="51"/>
      <c r="Y201" s="51"/>
      <c r="Z201" s="51"/>
    </row>
    <row r="202" spans="1:26">
      <c r="A202" s="89"/>
      <c r="B202" s="305"/>
      <c r="C202" s="305"/>
      <c r="D202" s="305"/>
      <c r="E202" s="305"/>
      <c r="F202" s="305"/>
      <c r="G202" s="281"/>
      <c r="H202" s="281"/>
      <c r="I202" s="89" t="s">
        <v>59</v>
      </c>
      <c r="J202" s="305">
        <v>20705</v>
      </c>
      <c r="K202" s="305">
        <v>19642</v>
      </c>
      <c r="L202" s="305">
        <v>18327</v>
      </c>
      <c r="M202" s="305">
        <v>17208</v>
      </c>
      <c r="N202" s="305">
        <v>16644</v>
      </c>
      <c r="O202" s="303"/>
      <c r="P202" s="303"/>
      <c r="Q202" s="303"/>
      <c r="R202" s="303"/>
      <c r="S202" s="51"/>
      <c r="T202" s="51"/>
      <c r="U202" s="51"/>
      <c r="V202" s="51"/>
      <c r="W202" s="51"/>
      <c r="X202" s="51"/>
      <c r="Y202" s="51"/>
      <c r="Z202" s="51"/>
    </row>
    <row r="203" spans="1:26">
      <c r="A203" s="89"/>
      <c r="B203" s="305"/>
      <c r="C203" s="305"/>
      <c r="D203" s="305"/>
      <c r="E203" s="305"/>
      <c r="F203" s="305"/>
      <c r="G203" s="281"/>
      <c r="H203" s="281"/>
      <c r="I203" s="89" t="s">
        <v>61</v>
      </c>
      <c r="J203" s="305">
        <v>27347</v>
      </c>
      <c r="K203" s="305">
        <v>23200</v>
      </c>
      <c r="L203" s="305">
        <v>18954</v>
      </c>
      <c r="M203" s="305">
        <v>16535</v>
      </c>
      <c r="N203" s="305">
        <v>12366</v>
      </c>
      <c r="O203" s="303"/>
      <c r="P203" s="303"/>
      <c r="Q203" s="303"/>
      <c r="R203" s="303"/>
      <c r="S203" s="51"/>
      <c r="T203" s="51"/>
      <c r="U203" s="51"/>
      <c r="V203" s="51"/>
      <c r="W203" s="51"/>
      <c r="X203" s="51"/>
      <c r="Y203" s="51"/>
      <c r="Z203" s="51"/>
    </row>
    <row r="204" spans="1:26">
      <c r="A204" s="89"/>
      <c r="B204" s="305"/>
      <c r="C204" s="305"/>
      <c r="D204" s="305"/>
      <c r="E204" s="305"/>
      <c r="F204" s="305"/>
      <c r="G204" s="281"/>
      <c r="H204" s="281"/>
      <c r="I204" s="89" t="s">
        <v>62</v>
      </c>
      <c r="J204" s="305">
        <v>-550</v>
      </c>
      <c r="K204" s="305">
        <v>-746</v>
      </c>
      <c r="L204" s="305">
        <v>-928</v>
      </c>
      <c r="M204" s="305">
        <v>-136</v>
      </c>
      <c r="N204" s="305">
        <v>-484</v>
      </c>
      <c r="O204" s="303"/>
      <c r="P204" s="303"/>
      <c r="Q204" s="303"/>
      <c r="R204" s="303"/>
      <c r="S204" s="51"/>
      <c r="T204" s="51"/>
      <c r="U204" s="51"/>
      <c r="V204" s="51"/>
      <c r="W204" s="51"/>
      <c r="X204" s="51"/>
      <c r="Y204" s="51"/>
      <c r="Z204" s="51"/>
    </row>
    <row r="205" spans="1:26">
      <c r="A205" s="89"/>
      <c r="B205" s="305"/>
      <c r="C205" s="305"/>
      <c r="D205" s="305"/>
      <c r="E205" s="305"/>
      <c r="F205" s="305"/>
      <c r="G205" s="281"/>
      <c r="H205" s="281"/>
      <c r="I205" s="89" t="s">
        <v>566</v>
      </c>
      <c r="J205" s="305">
        <v>20417</v>
      </c>
      <c r="K205" s="305">
        <v>21051</v>
      </c>
      <c r="L205" s="305">
        <v>20274</v>
      </c>
      <c r="M205" s="305">
        <v>21727</v>
      </c>
      <c r="N205" s="305">
        <v>20063</v>
      </c>
      <c r="O205" s="303"/>
      <c r="P205" s="303"/>
      <c r="Q205" s="303"/>
      <c r="R205" s="303"/>
      <c r="S205" s="51"/>
      <c r="T205" s="51"/>
      <c r="U205" s="51"/>
      <c r="V205" s="51"/>
      <c r="W205" s="51"/>
      <c r="X205" s="51"/>
      <c r="Y205" s="51"/>
      <c r="Z205" s="51"/>
    </row>
    <row r="206" spans="1:26">
      <c r="A206" s="89"/>
      <c r="B206" s="305"/>
      <c r="C206" s="305"/>
      <c r="D206" s="305"/>
      <c r="E206" s="305"/>
      <c r="F206" s="305"/>
      <c r="G206" s="281"/>
      <c r="H206" s="281"/>
      <c r="I206" s="89" t="s">
        <v>567</v>
      </c>
      <c r="J206" s="305">
        <v>81611</v>
      </c>
      <c r="K206" s="305">
        <v>82166</v>
      </c>
      <c r="L206" s="305">
        <v>78717</v>
      </c>
      <c r="M206" s="305">
        <v>75803</v>
      </c>
      <c r="N206" s="305">
        <v>70379</v>
      </c>
      <c r="O206" s="303"/>
      <c r="P206" s="303"/>
      <c r="Q206" s="303"/>
      <c r="R206" s="303"/>
      <c r="S206" s="51"/>
      <c r="T206" s="51"/>
      <c r="U206" s="51"/>
      <c r="V206" s="51"/>
      <c r="W206" s="51"/>
      <c r="X206" s="51"/>
      <c r="Y206" s="51"/>
      <c r="Z206" s="51"/>
    </row>
    <row r="207" spans="1:26">
      <c r="A207" s="89"/>
      <c r="B207" s="305"/>
      <c r="C207" s="305"/>
      <c r="D207" s="305"/>
      <c r="E207" s="305"/>
      <c r="F207" s="305"/>
      <c r="G207" s="281"/>
      <c r="H207" s="281"/>
      <c r="I207" s="89" t="s">
        <v>731</v>
      </c>
      <c r="J207" s="305"/>
      <c r="K207" s="305"/>
      <c r="L207" s="305"/>
      <c r="M207" s="305"/>
      <c r="N207" s="305">
        <v>2769</v>
      </c>
      <c r="O207" s="303"/>
      <c r="P207" s="303"/>
      <c r="Q207" s="303"/>
      <c r="R207" s="303"/>
      <c r="S207" s="51"/>
      <c r="T207" s="51"/>
      <c r="U207" s="51"/>
      <c r="V207" s="51"/>
      <c r="W207" s="51"/>
      <c r="X207" s="51"/>
      <c r="Y207" s="51"/>
      <c r="Z207" s="51"/>
    </row>
    <row r="208" spans="1:26">
      <c r="A208" s="202" t="s">
        <v>1425</v>
      </c>
      <c r="B208" s="305"/>
      <c r="C208" s="305"/>
      <c r="D208" s="305"/>
      <c r="E208" s="305"/>
      <c r="F208" s="305"/>
      <c r="G208" s="281"/>
      <c r="H208" s="281"/>
      <c r="I208" s="89" t="s">
        <v>732</v>
      </c>
      <c r="J208" s="305"/>
      <c r="K208" s="305"/>
      <c r="L208" s="305"/>
      <c r="M208" s="305"/>
      <c r="N208" s="305">
        <v>0</v>
      </c>
      <c r="O208" s="303"/>
      <c r="P208" s="303"/>
      <c r="Q208" s="303"/>
      <c r="R208" s="303"/>
      <c r="S208" s="51"/>
      <c r="T208" s="51"/>
      <c r="U208" s="51"/>
      <c r="V208" s="51"/>
      <c r="W208" s="51"/>
      <c r="X208" s="51"/>
      <c r="Y208" s="51"/>
      <c r="Z208" s="51"/>
    </row>
    <row r="209" spans="1:26">
      <c r="A209" s="89"/>
      <c r="B209" s="305"/>
      <c r="C209" s="305"/>
      <c r="D209" s="305"/>
      <c r="E209" s="305"/>
      <c r="F209" s="305"/>
      <c r="G209" s="281"/>
      <c r="H209" s="281"/>
      <c r="I209" s="89" t="s">
        <v>733</v>
      </c>
      <c r="J209" s="305"/>
      <c r="K209" s="305"/>
      <c r="L209" s="305"/>
      <c r="M209" s="305"/>
      <c r="N209" s="305">
        <v>-8507</v>
      </c>
      <c r="O209" s="303"/>
      <c r="P209" s="303"/>
      <c r="Q209" s="303"/>
      <c r="R209" s="303"/>
      <c r="S209" s="51"/>
      <c r="T209" s="51"/>
      <c r="U209" s="51"/>
      <c r="V209" s="51"/>
      <c r="W209" s="51"/>
      <c r="X209" s="51"/>
      <c r="Y209" s="51"/>
      <c r="Z209" s="51"/>
    </row>
    <row r="210" spans="1:26">
      <c r="A210" s="89"/>
      <c r="B210" s="305"/>
      <c r="C210" s="305"/>
      <c r="D210" s="305"/>
      <c r="E210" s="305"/>
      <c r="F210" s="305"/>
      <c r="G210" s="281"/>
      <c r="H210" s="281"/>
      <c r="I210" s="89" t="s">
        <v>734</v>
      </c>
      <c r="J210" s="305"/>
      <c r="K210" s="305"/>
      <c r="L210" s="305"/>
      <c r="M210" s="305"/>
      <c r="N210" s="305">
        <v>20019</v>
      </c>
      <c r="O210" s="303"/>
      <c r="P210" s="303"/>
      <c r="Q210" s="303"/>
      <c r="R210" s="303"/>
      <c r="S210" s="51"/>
      <c r="T210" s="51"/>
      <c r="U210" s="51"/>
      <c r="V210" s="51"/>
      <c r="W210" s="51"/>
      <c r="X210" s="51"/>
      <c r="Y210" s="51"/>
      <c r="Z210" s="51"/>
    </row>
    <row r="211" spans="1:26">
      <c r="A211" s="89"/>
      <c r="B211" s="305"/>
      <c r="C211" s="305"/>
      <c r="D211" s="305"/>
      <c r="E211" s="305"/>
      <c r="F211" s="305"/>
      <c r="G211" s="281"/>
      <c r="H211" s="281"/>
      <c r="I211" s="89" t="s">
        <v>735</v>
      </c>
      <c r="J211" s="305"/>
      <c r="K211" s="305"/>
      <c r="L211" s="305"/>
      <c r="M211" s="305">
        <v>0</v>
      </c>
      <c r="N211" s="305">
        <v>44</v>
      </c>
      <c r="O211" s="303"/>
      <c r="P211" s="303"/>
      <c r="Q211" s="303"/>
      <c r="R211" s="303"/>
      <c r="S211" s="51"/>
      <c r="T211" s="51"/>
      <c r="U211" s="51"/>
      <c r="V211" s="51"/>
      <c r="W211" s="51"/>
      <c r="X211" s="51"/>
      <c r="Y211" s="51"/>
      <c r="Z211" s="51"/>
    </row>
    <row r="212" spans="1:26">
      <c r="A212" s="89"/>
      <c r="B212" s="305"/>
      <c r="C212" s="305"/>
      <c r="D212" s="305"/>
      <c r="E212" s="305"/>
      <c r="F212" s="305"/>
      <c r="G212" s="281"/>
      <c r="H212" s="281"/>
      <c r="I212" s="89" t="s">
        <v>736</v>
      </c>
      <c r="J212" s="305"/>
      <c r="K212" s="305"/>
      <c r="L212" s="305"/>
      <c r="M212" s="305">
        <v>4846</v>
      </c>
      <c r="N212" s="305">
        <v>2769</v>
      </c>
      <c r="O212" s="303"/>
      <c r="P212" s="303"/>
      <c r="Q212" s="303"/>
      <c r="R212" s="303"/>
      <c r="S212" s="51"/>
      <c r="T212" s="51"/>
      <c r="U212" s="51"/>
      <c r="V212" s="51"/>
      <c r="W212" s="51"/>
      <c r="X212" s="51"/>
      <c r="Y212" s="51"/>
      <c r="Z212" s="51"/>
    </row>
    <row r="213" spans="1:26">
      <c r="A213" s="89"/>
      <c r="B213" s="305"/>
      <c r="C213" s="305"/>
      <c r="D213" s="305"/>
      <c r="E213" s="305"/>
      <c r="F213" s="305"/>
      <c r="G213" s="281"/>
      <c r="H213" s="281"/>
      <c r="I213" s="89" t="s">
        <v>737</v>
      </c>
      <c r="J213" s="305"/>
      <c r="K213" s="305"/>
      <c r="L213" s="305"/>
      <c r="M213" s="305">
        <v>0</v>
      </c>
      <c r="N213" s="305">
        <v>0</v>
      </c>
      <c r="O213" s="303"/>
      <c r="P213" s="303"/>
      <c r="Q213" s="303"/>
      <c r="R213" s="303"/>
      <c r="S213" s="51"/>
      <c r="T213" s="51"/>
      <c r="U213" s="51"/>
      <c r="V213" s="51"/>
      <c r="W213" s="51"/>
      <c r="X213" s="51"/>
      <c r="Y213" s="51"/>
      <c r="Z213" s="51"/>
    </row>
    <row r="214" spans="1:26">
      <c r="A214" s="89"/>
      <c r="B214" s="305"/>
      <c r="C214" s="305"/>
      <c r="D214" s="305"/>
      <c r="E214" s="305"/>
      <c r="F214" s="305"/>
      <c r="G214" s="281"/>
      <c r="H214" s="281"/>
      <c r="I214" s="89" t="s">
        <v>738</v>
      </c>
      <c r="J214" s="305"/>
      <c r="K214" s="305"/>
      <c r="L214" s="305"/>
      <c r="M214" s="305">
        <v>-11880</v>
      </c>
      <c r="N214" s="305">
        <v>-8507</v>
      </c>
      <c r="O214" s="303"/>
      <c r="P214" s="303"/>
      <c r="Q214" s="303"/>
      <c r="R214" s="303"/>
      <c r="S214" s="51"/>
      <c r="T214" s="51"/>
      <c r="U214" s="51"/>
      <c r="V214" s="51"/>
      <c r="W214" s="51"/>
      <c r="X214" s="51"/>
      <c r="Y214" s="51"/>
      <c r="Z214" s="51"/>
    </row>
    <row r="215" spans="1:26">
      <c r="A215" s="89"/>
      <c r="B215" s="305"/>
      <c r="C215" s="305"/>
      <c r="D215" s="305"/>
      <c r="E215" s="305"/>
      <c r="F215" s="305"/>
      <c r="G215" s="281"/>
      <c r="H215" s="281"/>
      <c r="I215" s="89" t="s">
        <v>739</v>
      </c>
      <c r="J215" s="305"/>
      <c r="K215" s="305"/>
      <c r="L215" s="305"/>
      <c r="M215" s="305">
        <v>21727</v>
      </c>
      <c r="N215" s="305">
        <v>20019</v>
      </c>
      <c r="O215" s="303"/>
      <c r="P215" s="303"/>
      <c r="Q215" s="303"/>
      <c r="R215" s="303"/>
      <c r="S215" s="51"/>
      <c r="T215" s="51"/>
      <c r="U215" s="51"/>
      <c r="V215" s="51"/>
      <c r="W215" s="51"/>
      <c r="X215" s="51"/>
      <c r="Y215" s="51"/>
      <c r="Z215" s="51"/>
    </row>
    <row r="216" spans="1:26">
      <c r="A216" s="89"/>
      <c r="B216" s="305"/>
      <c r="C216" s="305"/>
      <c r="D216" s="305"/>
      <c r="E216" s="305"/>
      <c r="F216" s="305"/>
      <c r="G216" s="281"/>
      <c r="H216" s="281"/>
      <c r="I216" s="89" t="s">
        <v>648</v>
      </c>
      <c r="J216" s="305">
        <v>541</v>
      </c>
      <c r="K216" s="305">
        <v>563</v>
      </c>
      <c r="L216" s="305"/>
      <c r="M216" s="305"/>
      <c r="N216" s="305"/>
      <c r="O216" s="303"/>
      <c r="P216" s="303"/>
      <c r="Q216" s="303"/>
      <c r="R216" s="303"/>
      <c r="S216" s="51"/>
      <c r="T216" s="51"/>
      <c r="U216" s="51"/>
      <c r="V216" s="51"/>
      <c r="W216" s="51"/>
      <c r="X216" s="51"/>
      <c r="Y216" s="51"/>
      <c r="Z216" s="51"/>
    </row>
    <row r="217" spans="1:26">
      <c r="A217" s="89"/>
      <c r="B217" s="305"/>
      <c r="C217" s="305"/>
      <c r="D217" s="305"/>
      <c r="E217" s="305"/>
      <c r="F217" s="305"/>
      <c r="G217" s="281"/>
      <c r="H217" s="281"/>
      <c r="I217" s="89" t="s">
        <v>649</v>
      </c>
      <c r="J217" s="305">
        <v>6422</v>
      </c>
      <c r="K217" s="305">
        <v>5433</v>
      </c>
      <c r="L217" s="305"/>
      <c r="M217" s="305"/>
      <c r="N217" s="305"/>
      <c r="O217" s="303"/>
      <c r="P217" s="303"/>
      <c r="Q217" s="303"/>
      <c r="R217" s="303"/>
      <c r="S217" s="51"/>
      <c r="T217" s="51"/>
      <c r="U217" s="51"/>
      <c r="V217" s="51"/>
      <c r="W217" s="51"/>
      <c r="X217" s="51"/>
      <c r="Y217" s="51"/>
      <c r="Z217" s="51"/>
    </row>
    <row r="218" spans="1:26">
      <c r="A218" s="89"/>
      <c r="B218" s="305"/>
      <c r="C218" s="305"/>
      <c r="D218" s="305"/>
      <c r="E218" s="305"/>
      <c r="F218" s="305"/>
      <c r="G218" s="281"/>
      <c r="H218" s="281"/>
      <c r="I218" s="89" t="s">
        <v>656</v>
      </c>
      <c r="J218" s="305">
        <v>2939</v>
      </c>
      <c r="K218" s="305">
        <v>2973</v>
      </c>
      <c r="L218" s="305"/>
      <c r="M218" s="305"/>
      <c r="N218" s="305"/>
      <c r="O218" s="303"/>
      <c r="P218" s="303"/>
      <c r="Q218" s="303"/>
      <c r="R218" s="303"/>
      <c r="S218" s="51"/>
      <c r="T218" s="51"/>
      <c r="U218" s="51"/>
      <c r="V218" s="51"/>
      <c r="W218" s="51"/>
      <c r="X218" s="51"/>
      <c r="Y218" s="51"/>
      <c r="Z218" s="51"/>
    </row>
    <row r="219" spans="1:26">
      <c r="A219" s="89"/>
      <c r="B219" s="305"/>
      <c r="C219" s="305"/>
      <c r="D219" s="305"/>
      <c r="E219" s="305"/>
      <c r="F219" s="305"/>
      <c r="G219" s="281"/>
      <c r="H219" s="281"/>
      <c r="I219" s="89" t="s">
        <v>658</v>
      </c>
      <c r="J219" s="305">
        <v>0</v>
      </c>
      <c r="K219" s="305">
        <v>0</v>
      </c>
      <c r="L219" s="305"/>
      <c r="M219" s="305"/>
      <c r="N219" s="305"/>
      <c r="O219" s="303"/>
      <c r="P219" s="303"/>
      <c r="Q219" s="303"/>
      <c r="R219" s="303"/>
      <c r="S219" s="51"/>
      <c r="T219" s="51"/>
      <c r="U219" s="51"/>
      <c r="V219" s="51"/>
      <c r="W219" s="51"/>
      <c r="X219" s="51"/>
      <c r="Y219" s="51"/>
      <c r="Z219" s="51"/>
    </row>
    <row r="220" spans="1:26">
      <c r="A220" s="89"/>
      <c r="B220" s="305"/>
      <c r="C220" s="305"/>
      <c r="D220" s="305"/>
      <c r="E220" s="305"/>
      <c r="F220" s="305"/>
      <c r="G220" s="281"/>
      <c r="H220" s="281"/>
      <c r="I220" s="89" t="s">
        <v>660</v>
      </c>
      <c r="J220" s="305">
        <v>-27085</v>
      </c>
      <c r="K220" s="305">
        <v>-21045</v>
      </c>
      <c r="L220" s="305"/>
      <c r="M220" s="305"/>
      <c r="N220" s="305"/>
      <c r="O220" s="303"/>
      <c r="P220" s="303"/>
      <c r="Q220" s="303"/>
      <c r="R220" s="303"/>
      <c r="S220" s="51"/>
      <c r="T220" s="51"/>
      <c r="U220" s="51"/>
      <c r="V220" s="51"/>
      <c r="W220" s="51"/>
      <c r="X220" s="51"/>
      <c r="Y220" s="51"/>
      <c r="Z220" s="51"/>
    </row>
    <row r="221" spans="1:26">
      <c r="A221" s="192" t="s">
        <v>678</v>
      </c>
      <c r="B221" s="305"/>
      <c r="C221" s="305"/>
      <c r="D221" s="305"/>
      <c r="E221" s="305"/>
      <c r="F221" s="305"/>
      <c r="G221" s="281"/>
      <c r="H221" s="281"/>
      <c r="I221" s="202" t="s">
        <v>1425</v>
      </c>
      <c r="J221" s="305"/>
      <c r="K221" s="305"/>
      <c r="L221" s="305"/>
      <c r="M221" s="305"/>
      <c r="N221" s="305"/>
      <c r="O221" s="303"/>
      <c r="P221" s="303"/>
      <c r="Q221" s="303"/>
      <c r="R221" s="303"/>
      <c r="S221" s="51"/>
      <c r="T221" s="51"/>
      <c r="U221" s="51"/>
      <c r="V221" s="51"/>
      <c r="W221" s="51"/>
      <c r="X221" s="51"/>
      <c r="Y221" s="51"/>
      <c r="Z221" s="51"/>
    </row>
    <row r="222" spans="1:26">
      <c r="A222" s="192" t="s">
        <v>661</v>
      </c>
      <c r="B222" s="305"/>
      <c r="C222" s="305" t="s">
        <v>520</v>
      </c>
      <c r="D222" s="305"/>
      <c r="E222" s="305"/>
      <c r="F222" s="305"/>
      <c r="G222" s="281"/>
      <c r="H222" s="281"/>
      <c r="I222" s="192" t="s">
        <v>678</v>
      </c>
      <c r="J222" s="305"/>
      <c r="K222" s="305" t="s">
        <v>520</v>
      </c>
      <c r="L222" s="305"/>
      <c r="M222" s="305"/>
      <c r="N222" s="305"/>
      <c r="O222" s="303"/>
      <c r="P222" s="303"/>
      <c r="Q222" s="303"/>
      <c r="R222" s="303"/>
      <c r="S222" s="51"/>
      <c r="T222" s="51"/>
      <c r="U222" s="51"/>
      <c r="V222" s="51"/>
      <c r="W222" s="51"/>
      <c r="X222" s="51"/>
      <c r="Y222" s="51"/>
      <c r="Z222" s="51"/>
    </row>
    <row r="223" spans="1:26">
      <c r="A223" s="30" t="s">
        <v>721</v>
      </c>
      <c r="B223" s="99" t="s">
        <v>867</v>
      </c>
      <c r="C223" s="99" t="s">
        <v>868</v>
      </c>
      <c r="D223" s="99" t="s">
        <v>869</v>
      </c>
      <c r="E223" s="99" t="s">
        <v>870</v>
      </c>
      <c r="F223" s="99" t="s">
        <v>871</v>
      </c>
      <c r="G223" s="281"/>
      <c r="H223" s="281"/>
      <c r="I223" s="193" t="s">
        <v>721</v>
      </c>
      <c r="J223" s="306" t="s">
        <v>867</v>
      </c>
      <c r="K223" s="306" t="s">
        <v>868</v>
      </c>
      <c r="L223" s="306" t="s">
        <v>869</v>
      </c>
      <c r="M223" s="306" t="s">
        <v>870</v>
      </c>
      <c r="N223" s="306" t="s">
        <v>871</v>
      </c>
      <c r="O223" s="303"/>
      <c r="P223" s="303"/>
      <c r="Q223" s="303"/>
      <c r="R223" s="303"/>
      <c r="S223" s="51"/>
      <c r="T223" s="51"/>
      <c r="U223" s="51"/>
      <c r="V223" s="51"/>
      <c r="W223" s="51"/>
      <c r="X223" s="51"/>
      <c r="Y223" s="51"/>
      <c r="Z223" s="51"/>
    </row>
    <row r="224" spans="1:26">
      <c r="A224" s="30" t="s">
        <v>492</v>
      </c>
      <c r="B224" s="99">
        <v>24121.053</v>
      </c>
      <c r="C224" s="99">
        <v>21915.623</v>
      </c>
      <c r="D224" s="99">
        <v>17531.587</v>
      </c>
      <c r="E224" s="99">
        <v>17661.203000000001</v>
      </c>
      <c r="F224" s="99">
        <v>9497.5779999999995</v>
      </c>
      <c r="G224" s="281"/>
      <c r="H224" s="281"/>
      <c r="I224" s="193" t="s">
        <v>31</v>
      </c>
      <c r="J224" s="306">
        <v>8075.2470000000003</v>
      </c>
      <c r="K224" s="306">
        <v>4996.4650000000001</v>
      </c>
      <c r="L224" s="306">
        <v>4544.2020000000002</v>
      </c>
      <c r="M224" s="306">
        <v>4443.6689999999999</v>
      </c>
      <c r="N224" s="306">
        <v>3158.058</v>
      </c>
      <c r="O224" s="303"/>
      <c r="P224" s="303"/>
      <c r="Q224" s="303"/>
      <c r="R224" s="303"/>
      <c r="S224" s="51"/>
      <c r="T224" s="51"/>
      <c r="U224" s="51"/>
      <c r="V224" s="51"/>
      <c r="W224" s="51"/>
      <c r="X224" s="51"/>
      <c r="Y224" s="51"/>
      <c r="Z224" s="51"/>
    </row>
    <row r="225" spans="1:26">
      <c r="A225" s="30" t="s">
        <v>662</v>
      </c>
      <c r="B225" s="99">
        <v>68.364000000000004</v>
      </c>
      <c r="C225" s="99">
        <v>72.828999999999994</v>
      </c>
      <c r="D225" s="99">
        <v>70.194000000000003</v>
      </c>
      <c r="E225" s="99">
        <v>22.645</v>
      </c>
      <c r="F225" s="99">
        <v>11.173999999999999</v>
      </c>
      <c r="G225" s="281"/>
      <c r="H225" s="281"/>
      <c r="I225" s="193" t="s">
        <v>679</v>
      </c>
      <c r="J225" s="306">
        <v>403.42599999999999</v>
      </c>
      <c r="K225" s="306">
        <v>851.90099999999995</v>
      </c>
      <c r="L225" s="306">
        <v>1081.8510000000001</v>
      </c>
      <c r="M225" s="306">
        <v>869.28300000000002</v>
      </c>
      <c r="N225" s="306">
        <v>695.11199999999997</v>
      </c>
      <c r="O225" s="303"/>
      <c r="P225" s="303"/>
      <c r="Q225" s="303"/>
      <c r="R225" s="303"/>
      <c r="S225" s="51"/>
      <c r="T225" s="51"/>
      <c r="U225" s="51"/>
      <c r="V225" s="51"/>
      <c r="W225" s="51"/>
      <c r="X225" s="51"/>
      <c r="Y225" s="51"/>
      <c r="Z225" s="51"/>
    </row>
    <row r="226" spans="1:26">
      <c r="A226" s="30" t="s">
        <v>663</v>
      </c>
      <c r="B226" s="99">
        <v>15232.017</v>
      </c>
      <c r="C226" s="99">
        <v>14410.736999999999</v>
      </c>
      <c r="D226" s="99">
        <v>11539.695</v>
      </c>
      <c r="E226" s="99">
        <v>13241.38</v>
      </c>
      <c r="F226" s="99">
        <v>6764.1689999999999</v>
      </c>
      <c r="G226" s="281"/>
      <c r="H226" s="281"/>
      <c r="I226" s="193" t="s">
        <v>680</v>
      </c>
      <c r="J226" s="306">
        <v>1060.9659999999999</v>
      </c>
      <c r="K226" s="306">
        <v>3226.2939999999999</v>
      </c>
      <c r="L226" s="306">
        <v>2416.3240000000001</v>
      </c>
      <c r="M226" s="306">
        <v>1171.6120000000001</v>
      </c>
      <c r="N226" s="306">
        <v>1024.895</v>
      </c>
      <c r="O226" s="303"/>
      <c r="P226" s="303"/>
      <c r="Q226" s="303"/>
      <c r="R226" s="303"/>
      <c r="S226" s="51"/>
      <c r="T226" s="51"/>
      <c r="U226" s="51"/>
      <c r="V226" s="51"/>
      <c r="W226" s="51"/>
      <c r="X226" s="51"/>
      <c r="Y226" s="51"/>
      <c r="Z226" s="51"/>
    </row>
    <row r="227" spans="1:26">
      <c r="A227" s="30" t="s">
        <v>664</v>
      </c>
      <c r="B227" s="99">
        <v>8889.0360000000001</v>
      </c>
      <c r="C227" s="99">
        <v>7504.8860000000004</v>
      </c>
      <c r="D227" s="99">
        <v>5991.8919999999998</v>
      </c>
      <c r="E227" s="99">
        <v>4419.8230000000003</v>
      </c>
      <c r="F227" s="99">
        <v>2733.4090000000001</v>
      </c>
      <c r="G227" s="281"/>
      <c r="H227" s="281"/>
      <c r="I227" s="193" t="s">
        <v>681</v>
      </c>
      <c r="J227" s="306">
        <v>4182.8720000000003</v>
      </c>
      <c r="K227" s="306">
        <v>3170.43</v>
      </c>
      <c r="L227" s="306">
        <v>3180.3240000000001</v>
      </c>
      <c r="M227" s="306">
        <v>2830.9949999999999</v>
      </c>
      <c r="N227" s="306">
        <v>2037.8320000000001</v>
      </c>
      <c r="O227" s="303"/>
      <c r="P227" s="303"/>
      <c r="Q227" s="303"/>
      <c r="R227" s="303"/>
      <c r="S227" s="51"/>
      <c r="T227" s="51"/>
      <c r="U227" s="51"/>
      <c r="V227" s="51"/>
      <c r="W227" s="51"/>
      <c r="X227" s="51"/>
      <c r="Y227" s="51"/>
      <c r="Z227" s="51"/>
    </row>
    <row r="228" spans="1:26">
      <c r="A228" s="30" t="s">
        <v>665</v>
      </c>
      <c r="B228" s="99">
        <v>2914.415</v>
      </c>
      <c r="C228" s="99">
        <v>2720.819</v>
      </c>
      <c r="D228" s="99">
        <v>2135.6120000000001</v>
      </c>
      <c r="E228" s="99">
        <v>1383.8409999999999</v>
      </c>
      <c r="F228" s="99">
        <v>881.82600000000002</v>
      </c>
      <c r="G228" s="281"/>
      <c r="H228" s="281"/>
      <c r="I228" s="193" t="s">
        <v>682</v>
      </c>
      <c r="J228" s="306">
        <v>652.48900000000003</v>
      </c>
      <c r="K228" s="306">
        <v>274.63</v>
      </c>
      <c r="L228" s="306">
        <v>474.036</v>
      </c>
      <c r="M228" s="306">
        <v>517.94000000000005</v>
      </c>
      <c r="N228" s="306">
        <v>462.66500000000002</v>
      </c>
      <c r="O228" s="303"/>
      <c r="P228" s="303"/>
      <c r="Q228" s="303"/>
      <c r="R228" s="303"/>
      <c r="S228" s="51"/>
      <c r="T228" s="51"/>
      <c r="U228" s="51"/>
      <c r="V228" s="51"/>
      <c r="W228" s="51"/>
      <c r="X228" s="51"/>
      <c r="Y228" s="51"/>
      <c r="Z228" s="51"/>
    </row>
    <row r="229" spans="1:26">
      <c r="A229" s="30" t="s">
        <v>638</v>
      </c>
      <c r="B229" s="99">
        <v>1984.2650000000001</v>
      </c>
      <c r="C229" s="99">
        <v>2019.009</v>
      </c>
      <c r="D229" s="99">
        <v>2057.951</v>
      </c>
      <c r="E229" s="99">
        <v>1617.1890000000001</v>
      </c>
      <c r="F229" s="99">
        <v>1109.67</v>
      </c>
      <c r="G229" s="281"/>
      <c r="H229" s="281"/>
      <c r="I229" s="193" t="s">
        <v>683</v>
      </c>
      <c r="J229" s="306">
        <v>2541.7040000000002</v>
      </c>
      <c r="K229" s="306">
        <v>2353.4879999999998</v>
      </c>
      <c r="L229" s="306">
        <v>1627.2650000000001</v>
      </c>
      <c r="M229" s="306">
        <v>687.42899999999997</v>
      </c>
      <c r="N229" s="306">
        <v>383.06700000000001</v>
      </c>
      <c r="O229" s="303"/>
      <c r="P229" s="303"/>
      <c r="Q229" s="303"/>
      <c r="R229" s="303"/>
      <c r="S229" s="51"/>
      <c r="T229" s="51"/>
      <c r="U229" s="51"/>
      <c r="V229" s="51"/>
      <c r="W229" s="51"/>
      <c r="X229" s="51"/>
      <c r="Y229" s="51"/>
      <c r="Z229" s="51"/>
    </row>
    <row r="230" spans="1:26">
      <c r="A230" s="30" t="s">
        <v>5</v>
      </c>
      <c r="B230" s="99">
        <v>2149.0990000000002</v>
      </c>
      <c r="C230" s="99">
        <v>2209.19</v>
      </c>
      <c r="D230" s="99">
        <v>1686.8489999999999</v>
      </c>
      <c r="E230" s="99">
        <v>982.81700000000001</v>
      </c>
      <c r="F230" s="99">
        <v>579.20299999999997</v>
      </c>
      <c r="G230" s="281"/>
      <c r="H230" s="281"/>
      <c r="I230" s="193" t="s">
        <v>38</v>
      </c>
      <c r="J230" s="306">
        <v>19880.201000000001</v>
      </c>
      <c r="K230" s="306">
        <v>17818.697</v>
      </c>
      <c r="L230" s="306">
        <v>15623.405000000001</v>
      </c>
      <c r="M230" s="306">
        <v>10520.928</v>
      </c>
      <c r="N230" s="306">
        <v>7761.6289999999999</v>
      </c>
      <c r="O230" s="303"/>
      <c r="P230" s="303"/>
      <c r="Q230" s="303"/>
      <c r="R230" s="303"/>
      <c r="S230" s="51"/>
      <c r="T230" s="51"/>
      <c r="U230" s="51"/>
      <c r="V230" s="51"/>
      <c r="W230" s="51"/>
      <c r="X230" s="51"/>
      <c r="Y230" s="51"/>
      <c r="Z230" s="51"/>
    </row>
    <row r="231" spans="1:26">
      <c r="A231" s="30" t="s">
        <v>666</v>
      </c>
      <c r="B231" s="99">
        <v>794.221</v>
      </c>
      <c r="C231" s="99">
        <v>660.66300000000001</v>
      </c>
      <c r="D231" s="99">
        <v>550.68299999999999</v>
      </c>
      <c r="E231" s="99">
        <v>187.99100000000001</v>
      </c>
      <c r="F231" s="99">
        <v>177.67</v>
      </c>
      <c r="G231" s="281"/>
      <c r="H231" s="281"/>
      <c r="I231" s="193" t="s">
        <v>652</v>
      </c>
      <c r="J231" s="306">
        <v>314.43200000000002</v>
      </c>
      <c r="K231" s="306">
        <v>296.05599999999998</v>
      </c>
      <c r="L231" s="306">
        <v>329.30200000000002</v>
      </c>
      <c r="M231" s="306">
        <v>282.14</v>
      </c>
      <c r="N231" s="306">
        <v>233.52</v>
      </c>
      <c r="O231" s="303"/>
      <c r="P231" s="303"/>
      <c r="Q231" s="303"/>
      <c r="R231" s="303"/>
      <c r="S231" s="51"/>
      <c r="T231" s="51"/>
      <c r="U231" s="51"/>
      <c r="V231" s="51"/>
      <c r="W231" s="51"/>
      <c r="X231" s="51"/>
      <c r="Y231" s="51"/>
      <c r="Z231" s="51"/>
    </row>
    <row r="232" spans="1:26">
      <c r="A232" s="30" t="s">
        <v>667</v>
      </c>
      <c r="B232" s="99">
        <v>0</v>
      </c>
      <c r="C232" s="99">
        <v>0</v>
      </c>
      <c r="D232" s="99">
        <v>46.570999999999998</v>
      </c>
      <c r="E232" s="99">
        <v>71.126000000000005</v>
      </c>
      <c r="F232" s="99">
        <v>0</v>
      </c>
      <c r="G232" s="281"/>
      <c r="H232" s="281"/>
      <c r="I232" s="193" t="s">
        <v>41</v>
      </c>
      <c r="J232" s="306">
        <v>11417.422</v>
      </c>
      <c r="K232" s="306">
        <v>11919.72</v>
      </c>
      <c r="L232" s="306">
        <v>11966.761</v>
      </c>
      <c r="M232" s="306">
        <v>519.27599999999995</v>
      </c>
      <c r="N232" s="306">
        <v>316.70100000000002</v>
      </c>
      <c r="O232" s="303"/>
      <c r="P232" s="303"/>
      <c r="Q232" s="303"/>
      <c r="R232" s="303"/>
      <c r="S232" s="51"/>
      <c r="T232" s="51"/>
      <c r="U232" s="51"/>
      <c r="V232" s="51"/>
      <c r="W232" s="51"/>
      <c r="X232" s="51"/>
      <c r="Y232" s="51"/>
      <c r="Z232" s="51"/>
    </row>
    <row r="233" spans="1:26">
      <c r="A233" s="30" t="s">
        <v>668</v>
      </c>
      <c r="B233" s="99">
        <v>154.709</v>
      </c>
      <c r="C233" s="99">
        <v>174.04400000000001</v>
      </c>
      <c r="D233" s="99">
        <v>138.75800000000001</v>
      </c>
      <c r="E233" s="99">
        <v>15.747</v>
      </c>
      <c r="F233" s="99">
        <v>3.855</v>
      </c>
      <c r="G233" s="281"/>
      <c r="H233" s="281"/>
      <c r="I233" s="193" t="s">
        <v>684</v>
      </c>
      <c r="J233" s="306">
        <v>1433.067</v>
      </c>
      <c r="K233" s="306">
        <v>1761.521</v>
      </c>
      <c r="L233" s="306">
        <v>2014.0340000000001</v>
      </c>
      <c r="M233" s="306">
        <v>257.04899999999998</v>
      </c>
      <c r="N233" s="306">
        <v>137.61199999999999</v>
      </c>
      <c r="O233" s="303"/>
      <c r="P233" s="303"/>
      <c r="Q233" s="303"/>
      <c r="R233" s="303"/>
      <c r="S233" s="51"/>
      <c r="T233" s="51"/>
      <c r="U233" s="51"/>
      <c r="V233" s="51"/>
      <c r="W233" s="51"/>
      <c r="X233" s="51"/>
      <c r="Y233" s="51"/>
      <c r="Z233" s="51"/>
    </row>
    <row r="234" spans="1:26">
      <c r="A234" s="30" t="s">
        <v>9</v>
      </c>
      <c r="B234" s="99">
        <v>7996.7089999999998</v>
      </c>
      <c r="C234" s="99">
        <v>7783.7250000000004</v>
      </c>
      <c r="D234" s="99">
        <v>6616.424</v>
      </c>
      <c r="E234" s="99">
        <v>4258.7110000000002</v>
      </c>
      <c r="F234" s="99">
        <v>2752.2240000000002</v>
      </c>
      <c r="G234" s="281"/>
      <c r="H234" s="281"/>
      <c r="I234" s="193" t="s">
        <v>685</v>
      </c>
      <c r="J234" s="306">
        <v>471.97699999999998</v>
      </c>
      <c r="K234" s="306">
        <v>251.12700000000001</v>
      </c>
      <c r="L234" s="306">
        <v>573.42899999999997</v>
      </c>
      <c r="M234" s="306">
        <v>1526.43</v>
      </c>
      <c r="N234" s="306">
        <v>463.95</v>
      </c>
      <c r="O234" s="303"/>
      <c r="P234" s="303"/>
      <c r="Q234" s="303"/>
      <c r="R234" s="303"/>
      <c r="S234" s="51"/>
      <c r="T234" s="51"/>
      <c r="U234" s="51"/>
      <c r="V234" s="51"/>
      <c r="W234" s="51"/>
      <c r="X234" s="51"/>
      <c r="Y234" s="51"/>
      <c r="Z234" s="51"/>
    </row>
    <row r="235" spans="1:26">
      <c r="A235" s="30" t="s">
        <v>669</v>
      </c>
      <c r="B235" s="99">
        <v>892.327</v>
      </c>
      <c r="C235" s="99">
        <v>-278.839</v>
      </c>
      <c r="D235" s="99">
        <v>-624.53200000000004</v>
      </c>
      <c r="E235" s="99">
        <v>161.11199999999999</v>
      </c>
      <c r="F235" s="99">
        <v>-18.815000000000001</v>
      </c>
      <c r="G235" s="281"/>
      <c r="H235" s="281"/>
      <c r="I235" s="193" t="s">
        <v>686</v>
      </c>
      <c r="J235" s="306">
        <v>219.95400000000001</v>
      </c>
      <c r="K235" s="306">
        <v>244.70099999999999</v>
      </c>
      <c r="L235" s="306">
        <v>373.17200000000003</v>
      </c>
      <c r="M235" s="306">
        <v>449.40600000000001</v>
      </c>
      <c r="N235" s="306">
        <v>456.88799999999998</v>
      </c>
      <c r="O235" s="303"/>
      <c r="P235" s="303"/>
      <c r="Q235" s="303"/>
      <c r="R235" s="303"/>
      <c r="S235" s="51"/>
      <c r="T235" s="51"/>
      <c r="U235" s="51"/>
      <c r="V235" s="51"/>
      <c r="W235" s="51"/>
      <c r="X235" s="51"/>
      <c r="Y235" s="51"/>
      <c r="Z235" s="51"/>
    </row>
    <row r="236" spans="1:26">
      <c r="A236" s="30" t="s">
        <v>670</v>
      </c>
      <c r="B236" s="99">
        <v>9.3019999999999996</v>
      </c>
      <c r="C236" s="99">
        <v>-47.220999999999997</v>
      </c>
      <c r="D236" s="99">
        <v>36.228000000000002</v>
      </c>
      <c r="E236" s="99">
        <v>33.124000000000002</v>
      </c>
      <c r="F236" s="99">
        <v>56.942999999999998</v>
      </c>
      <c r="G236" s="281"/>
      <c r="H236" s="281"/>
      <c r="I236" s="193" t="s">
        <v>687</v>
      </c>
      <c r="J236" s="306">
        <v>1239.548</v>
      </c>
      <c r="K236" s="306">
        <v>730.08900000000006</v>
      </c>
      <c r="L236" s="306">
        <v>484.23700000000002</v>
      </c>
      <c r="M236" s="306">
        <v>370.53500000000003</v>
      </c>
      <c r="N236" s="306">
        <v>499.25</v>
      </c>
      <c r="O236" s="303"/>
      <c r="P236" s="303"/>
      <c r="Q236" s="303"/>
      <c r="R236" s="303"/>
      <c r="S236" s="51"/>
      <c r="T236" s="51"/>
      <c r="U236" s="51"/>
      <c r="V236" s="51"/>
      <c r="W236" s="51"/>
      <c r="X236" s="51"/>
      <c r="Y236" s="51"/>
      <c r="Z236" s="51"/>
    </row>
    <row r="237" spans="1:26">
      <c r="A237" s="30" t="s">
        <v>671</v>
      </c>
      <c r="B237" s="99">
        <v>-420.91800000000001</v>
      </c>
      <c r="C237" s="99">
        <v>-207.084</v>
      </c>
      <c r="D237" s="99">
        <v>0</v>
      </c>
      <c r="E237" s="99">
        <v>0</v>
      </c>
      <c r="F237" s="99">
        <v>0</v>
      </c>
      <c r="G237" s="281"/>
      <c r="H237" s="281"/>
      <c r="I237" s="193" t="s">
        <v>553</v>
      </c>
      <c r="J237" s="306">
        <v>36777.595000000001</v>
      </c>
      <c r="K237" s="306">
        <v>33031.307999999997</v>
      </c>
      <c r="L237" s="306">
        <v>31364.34</v>
      </c>
      <c r="M237" s="306">
        <v>13925.763999999999</v>
      </c>
      <c r="N237" s="306">
        <v>9869.5499999999993</v>
      </c>
      <c r="O237" s="303"/>
      <c r="P237" s="303"/>
      <c r="Q237" s="303"/>
      <c r="R237" s="303"/>
      <c r="S237" s="51"/>
      <c r="T237" s="51"/>
      <c r="U237" s="51"/>
      <c r="V237" s="51"/>
      <c r="W237" s="51"/>
      <c r="X237" s="51"/>
      <c r="Y237" s="51"/>
      <c r="Z237" s="51"/>
    </row>
    <row r="238" spans="1:26">
      <c r="A238" s="30" t="s">
        <v>672</v>
      </c>
      <c r="B238" s="99">
        <v>-53.210999999999999</v>
      </c>
      <c r="C238" s="99">
        <v>4.609</v>
      </c>
      <c r="D238" s="99">
        <v>-95.442999999999998</v>
      </c>
      <c r="E238" s="99">
        <v>-29.474</v>
      </c>
      <c r="F238" s="99">
        <v>-291.72500000000002</v>
      </c>
      <c r="G238" s="281"/>
      <c r="H238" s="281"/>
      <c r="I238" s="193" t="s">
        <v>688</v>
      </c>
      <c r="J238" s="306">
        <v>5837.152</v>
      </c>
      <c r="K238" s="306">
        <v>6795.34</v>
      </c>
      <c r="L238" s="306">
        <v>5548.6559999999999</v>
      </c>
      <c r="M238" s="306">
        <v>3979.6239999999998</v>
      </c>
      <c r="N238" s="306">
        <v>3009.0509999999999</v>
      </c>
      <c r="O238" s="303"/>
      <c r="P238" s="303"/>
      <c r="Q238" s="303"/>
      <c r="R238" s="303"/>
      <c r="S238" s="51"/>
      <c r="T238" s="51"/>
      <c r="U238" s="51"/>
      <c r="V238" s="51"/>
      <c r="W238" s="51"/>
      <c r="X238" s="51"/>
      <c r="Y238" s="51"/>
      <c r="Z238" s="51"/>
    </row>
    <row r="239" spans="1:26">
      <c r="A239" s="30" t="s">
        <v>673</v>
      </c>
      <c r="B239" s="99">
        <v>1357.154</v>
      </c>
      <c r="C239" s="99">
        <v>-29.143000000000001</v>
      </c>
      <c r="D239" s="99">
        <v>-565.31700000000001</v>
      </c>
      <c r="E239" s="99">
        <v>157.46199999999999</v>
      </c>
      <c r="F239" s="99">
        <v>215.96700000000001</v>
      </c>
      <c r="G239" s="281"/>
      <c r="H239" s="281"/>
      <c r="I239" s="193" t="s">
        <v>655</v>
      </c>
      <c r="J239" s="306">
        <v>1525.1489999999999</v>
      </c>
      <c r="K239" s="306">
        <v>1334.6690000000001</v>
      </c>
      <c r="L239" s="306">
        <v>1056.6759999999999</v>
      </c>
      <c r="M239" s="306">
        <v>639.30899999999997</v>
      </c>
      <c r="N239" s="306">
        <v>360.85</v>
      </c>
      <c r="O239" s="303"/>
      <c r="P239" s="303"/>
      <c r="Q239" s="303"/>
      <c r="R239" s="303"/>
      <c r="S239" s="51"/>
      <c r="T239" s="51"/>
      <c r="U239" s="51"/>
      <c r="V239" s="51"/>
      <c r="W239" s="51"/>
      <c r="X239" s="51"/>
      <c r="Y239" s="51"/>
      <c r="Z239" s="51"/>
    </row>
    <row r="240" spans="1:26">
      <c r="A240" s="30" t="s">
        <v>674</v>
      </c>
      <c r="B240" s="99">
        <v>-1509.3430000000001</v>
      </c>
      <c r="C240" s="99">
        <v>-8.0190000000000001</v>
      </c>
      <c r="D240" s="99">
        <v>-12.311999999999999</v>
      </c>
      <c r="E240" s="99">
        <v>-1.3640000000000001</v>
      </c>
      <c r="F240" s="99">
        <v>2.8620000000000001</v>
      </c>
      <c r="G240" s="281"/>
      <c r="H240" s="281"/>
      <c r="I240" s="193" t="s">
        <v>740</v>
      </c>
      <c r="J240" s="306">
        <v>185</v>
      </c>
      <c r="K240" s="306">
        <v>753.03499999999997</v>
      </c>
      <c r="L240" s="306">
        <v>461.24</v>
      </c>
      <c r="M240" s="306">
        <v>0</v>
      </c>
      <c r="N240" s="306">
        <v>0</v>
      </c>
      <c r="O240" s="303"/>
      <c r="P240" s="303"/>
      <c r="Q240" s="303"/>
      <c r="R240" s="303"/>
      <c r="S240" s="51"/>
      <c r="T240" s="51"/>
      <c r="U240" s="51"/>
      <c r="V240" s="51"/>
      <c r="W240" s="51"/>
      <c r="X240" s="51"/>
      <c r="Y240" s="51"/>
      <c r="Z240" s="51"/>
    </row>
    <row r="241" spans="1:26">
      <c r="A241" s="30" t="s">
        <v>641</v>
      </c>
      <c r="B241" s="99">
        <v>2866.4969999999998</v>
      </c>
      <c r="C241" s="99">
        <v>-21.123999999999999</v>
      </c>
      <c r="D241" s="99">
        <v>-553.005</v>
      </c>
      <c r="E241" s="99">
        <v>158.82599999999999</v>
      </c>
      <c r="F241" s="99">
        <v>213.10499999999999</v>
      </c>
      <c r="G241" s="281"/>
      <c r="H241" s="281"/>
      <c r="I241" s="193" t="s">
        <v>52</v>
      </c>
      <c r="J241" s="306">
        <v>8546.7980000000007</v>
      </c>
      <c r="K241" s="306">
        <v>8883.0439999999999</v>
      </c>
      <c r="L241" s="306">
        <v>8434.5159999999996</v>
      </c>
      <c r="M241" s="306">
        <v>5435.1040000000003</v>
      </c>
      <c r="N241" s="306">
        <v>4126.1040000000003</v>
      </c>
      <c r="O241" s="303"/>
      <c r="P241" s="303"/>
      <c r="Q241" s="303"/>
      <c r="R241" s="303"/>
      <c r="S241" s="51"/>
      <c r="T241" s="51"/>
      <c r="U241" s="51"/>
      <c r="V241" s="51"/>
      <c r="W241" s="51"/>
      <c r="X241" s="51"/>
      <c r="Y241" s="51"/>
      <c r="Z241" s="51"/>
    </row>
    <row r="242" spans="1:26">
      <c r="A242" s="30" t="s">
        <v>877</v>
      </c>
      <c r="B242" s="99">
        <v>-30.55</v>
      </c>
      <c r="C242" s="99">
        <v>-30.896000000000001</v>
      </c>
      <c r="D242" s="99">
        <v>-12.257999999999999</v>
      </c>
      <c r="E242" s="99">
        <v>-7.4580000000000002</v>
      </c>
      <c r="F242" s="99">
        <v>0</v>
      </c>
      <c r="G242" s="281"/>
      <c r="H242" s="281"/>
      <c r="I242" s="193" t="s">
        <v>741</v>
      </c>
      <c r="J242" s="306">
        <v>1296.68</v>
      </c>
      <c r="K242" s="306">
        <v>854.88199999999995</v>
      </c>
      <c r="L242" s="306">
        <v>877.06600000000003</v>
      </c>
      <c r="M242" s="306">
        <v>0</v>
      </c>
      <c r="N242" s="306">
        <v>0</v>
      </c>
      <c r="O242" s="303"/>
      <c r="P242" s="303"/>
      <c r="Q242" s="303"/>
      <c r="R242" s="303"/>
      <c r="S242" s="51"/>
      <c r="T242" s="51"/>
      <c r="U242" s="51"/>
      <c r="V242" s="51"/>
      <c r="W242" s="51"/>
      <c r="X242" s="51"/>
      <c r="Y242" s="51"/>
      <c r="Z242" s="51"/>
    </row>
    <row r="243" spans="1:26">
      <c r="A243" s="30" t="s">
        <v>878</v>
      </c>
      <c r="B243" s="99">
        <v>2897.047</v>
      </c>
      <c r="C243" s="99">
        <v>9.7720000000000002</v>
      </c>
      <c r="D243" s="99">
        <v>-540.74699999999996</v>
      </c>
      <c r="E243" s="99">
        <v>166.28399999999999</v>
      </c>
      <c r="F243" s="99">
        <v>213.10499999999999</v>
      </c>
      <c r="G243" s="281"/>
      <c r="H243" s="281"/>
      <c r="I243" s="193" t="s">
        <v>689</v>
      </c>
      <c r="J243" s="306">
        <v>278.61700000000002</v>
      </c>
      <c r="K243" s="306">
        <v>289.78800000000001</v>
      </c>
      <c r="L243" s="306">
        <v>357.41899999999998</v>
      </c>
      <c r="M243" s="306">
        <v>395.017</v>
      </c>
      <c r="N243" s="306">
        <v>389.66199999999998</v>
      </c>
      <c r="O243" s="303"/>
      <c r="P243" s="303"/>
      <c r="Q243" s="303"/>
      <c r="R243" s="303"/>
      <c r="S243" s="51"/>
      <c r="T243" s="51"/>
      <c r="U243" s="51"/>
      <c r="V243" s="51"/>
      <c r="W243" s="51"/>
      <c r="X243" s="51"/>
      <c r="Y243" s="51"/>
      <c r="Z243" s="51"/>
    </row>
    <row r="244" spans="1:26">
      <c r="A244" s="30" t="s">
        <v>875</v>
      </c>
      <c r="B244" s="99">
        <v>4.7000000000000002E-3</v>
      </c>
      <c r="C244" s="99">
        <v>2.0000000000000002E-5</v>
      </c>
      <c r="D244" s="99">
        <v>-9.3000000000000005E-4</v>
      </c>
      <c r="E244" s="99">
        <v>3.6000000000000002E-4</v>
      </c>
      <c r="F244" s="99">
        <v>4.8000000000000001E-4</v>
      </c>
      <c r="G244" s="281"/>
      <c r="H244" s="281"/>
      <c r="I244" s="193" t="s">
        <v>690</v>
      </c>
      <c r="J244" s="306">
        <v>152.16399999999999</v>
      </c>
      <c r="K244" s="306">
        <v>154.97200000000001</v>
      </c>
      <c r="L244" s="306">
        <v>201.65700000000001</v>
      </c>
      <c r="M244" s="306">
        <v>222.846</v>
      </c>
      <c r="N244" s="306">
        <v>85.290999999999997</v>
      </c>
      <c r="O244" s="303"/>
      <c r="P244" s="303"/>
      <c r="Q244" s="303"/>
      <c r="R244" s="303"/>
      <c r="S244" s="51"/>
      <c r="T244" s="51"/>
      <c r="U244" s="51"/>
      <c r="V244" s="51"/>
      <c r="W244" s="51"/>
      <c r="X244" s="51"/>
      <c r="Y244" s="51"/>
      <c r="Z244" s="51"/>
    </row>
    <row r="245" spans="1:26">
      <c r="A245" s="30" t="s">
        <v>876</v>
      </c>
      <c r="B245" s="99">
        <v>4.5599999999999998E-3</v>
      </c>
      <c r="C245" s="99">
        <v>2.0000000000000002E-5</v>
      </c>
      <c r="D245" s="99">
        <v>-9.3000000000000005E-4</v>
      </c>
      <c r="E245" s="99">
        <v>3.3E-4</v>
      </c>
      <c r="F245" s="99">
        <v>4.4000000000000002E-4</v>
      </c>
      <c r="G245" s="281"/>
      <c r="H245" s="281"/>
      <c r="I245" s="193" t="s">
        <v>558</v>
      </c>
      <c r="J245" s="306">
        <v>15542.633</v>
      </c>
      <c r="K245" s="306">
        <v>14338.472</v>
      </c>
      <c r="L245" s="306">
        <v>14112.985000000001</v>
      </c>
      <c r="M245" s="306">
        <v>10612.174999999999</v>
      </c>
      <c r="N245" s="306">
        <v>7187.9809999999998</v>
      </c>
      <c r="O245" s="303"/>
      <c r="P245" s="303"/>
      <c r="Q245" s="303"/>
      <c r="R245" s="303"/>
      <c r="S245" s="51"/>
      <c r="T245" s="51"/>
      <c r="U245" s="51"/>
      <c r="V245" s="51"/>
      <c r="W245" s="51"/>
      <c r="X245" s="51"/>
      <c r="Y245" s="51"/>
      <c r="Z245" s="51"/>
    </row>
    <row r="246" spans="1:26">
      <c r="A246" s="30" t="s">
        <v>879</v>
      </c>
      <c r="B246" s="99">
        <v>616.99300000000005</v>
      </c>
      <c r="C246" s="99">
        <v>608.85599999999999</v>
      </c>
      <c r="D246" s="99">
        <v>578.94899999999996</v>
      </c>
      <c r="E246" s="99">
        <v>458.43200000000002</v>
      </c>
      <c r="F246" s="99">
        <v>443.12599999999998</v>
      </c>
      <c r="G246" s="281"/>
      <c r="H246" s="281"/>
      <c r="I246" s="193" t="s">
        <v>561</v>
      </c>
      <c r="J246" s="306">
        <v>19900.379000000001</v>
      </c>
      <c r="K246" s="306">
        <v>19601.991999999998</v>
      </c>
      <c r="L246" s="306">
        <v>18314.681</v>
      </c>
      <c r="M246" s="306">
        <v>3317.2550000000001</v>
      </c>
      <c r="N246" s="306">
        <v>2955.4639999999999</v>
      </c>
      <c r="O246" s="303"/>
      <c r="P246" s="303"/>
      <c r="Q246" s="303"/>
      <c r="R246" s="303"/>
      <c r="S246" s="51"/>
      <c r="T246" s="51"/>
      <c r="U246" s="51"/>
      <c r="V246" s="51"/>
      <c r="W246" s="51"/>
      <c r="X246" s="51"/>
      <c r="Y246" s="51"/>
      <c r="Z246" s="51"/>
    </row>
    <row r="247" spans="1:26">
      <c r="A247" s="30" t="s">
        <v>880</v>
      </c>
      <c r="B247" s="99">
        <v>636.39</v>
      </c>
      <c r="C247" s="99">
        <v>614.024</v>
      </c>
      <c r="D247" s="99">
        <v>578.94899999999996</v>
      </c>
      <c r="E247" s="99">
        <v>501.779</v>
      </c>
      <c r="F247" s="99">
        <v>482.16699999999997</v>
      </c>
      <c r="G247" s="281"/>
      <c r="H247" s="281"/>
      <c r="I247" s="193" t="s">
        <v>691</v>
      </c>
      <c r="J247" s="306">
        <v>-1001.0650000000001</v>
      </c>
      <c r="K247" s="306">
        <v>-378.30700000000002</v>
      </c>
      <c r="L247" s="306">
        <v>-523.09</v>
      </c>
      <c r="M247" s="306">
        <v>-16.434999999999999</v>
      </c>
      <c r="N247" s="306">
        <v>0</v>
      </c>
      <c r="O247" s="303"/>
      <c r="P247" s="303"/>
      <c r="Q247" s="303"/>
      <c r="R247" s="303"/>
      <c r="S247" s="51"/>
      <c r="T247" s="51"/>
      <c r="U247" s="51"/>
      <c r="V247" s="51"/>
      <c r="W247" s="51"/>
      <c r="X247" s="51"/>
      <c r="Y247" s="51"/>
      <c r="Z247" s="51"/>
    </row>
    <row r="248" spans="1:26">
      <c r="A248" s="30" t="s">
        <v>675</v>
      </c>
      <c r="B248" s="99">
        <v>6613.68</v>
      </c>
      <c r="C248" s="99">
        <v>6315.3010000000004</v>
      </c>
      <c r="D248" s="99">
        <v>5701.54</v>
      </c>
      <c r="E248" s="99">
        <v>4793.1459999999997</v>
      </c>
      <c r="F248" s="99">
        <v>3294.9780000000001</v>
      </c>
      <c r="G248" s="281"/>
      <c r="H248" s="281"/>
      <c r="I248" s="193" t="s">
        <v>886</v>
      </c>
      <c r="J248" s="306">
        <v>21267.932000000001</v>
      </c>
      <c r="K248" s="306">
        <v>18695.256000000001</v>
      </c>
      <c r="L248" s="306">
        <v>17222.879000000001</v>
      </c>
      <c r="M248" s="306">
        <v>3272.855</v>
      </c>
      <c r="N248" s="306">
        <v>2681.569</v>
      </c>
      <c r="O248" s="303"/>
      <c r="P248" s="303"/>
      <c r="Q248" s="303"/>
      <c r="R248" s="303"/>
      <c r="S248" s="51"/>
      <c r="T248" s="51"/>
      <c r="U248" s="51"/>
      <c r="V248" s="51"/>
      <c r="W248" s="51"/>
      <c r="X248" s="51"/>
      <c r="Y248" s="51"/>
      <c r="Z248" s="51"/>
    </row>
    <row r="249" spans="1:26">
      <c r="A249" s="30" t="s">
        <v>881</v>
      </c>
      <c r="B249" s="99">
        <v>3881.0129999999999</v>
      </c>
      <c r="C249" s="99">
        <v>3702.0160000000001</v>
      </c>
      <c r="D249" s="99">
        <v>3364.0279999999998</v>
      </c>
      <c r="E249" s="99">
        <v>2719.502</v>
      </c>
      <c r="F249" s="99">
        <v>1911.848</v>
      </c>
      <c r="G249" s="281"/>
      <c r="H249" s="281"/>
      <c r="I249" s="193" t="s">
        <v>742</v>
      </c>
      <c r="J249" s="306">
        <v>-32.97</v>
      </c>
      <c r="K249" s="306">
        <v>-2.42</v>
      </c>
      <c r="L249" s="306">
        <v>28.475999999999999</v>
      </c>
      <c r="M249" s="306">
        <v>40.734000000000002</v>
      </c>
      <c r="N249" s="306">
        <v>0</v>
      </c>
      <c r="O249" s="303"/>
      <c r="P249" s="303"/>
      <c r="Q249" s="303"/>
      <c r="R249" s="303"/>
      <c r="S249" s="51"/>
      <c r="T249" s="51"/>
      <c r="U249" s="51"/>
      <c r="V249" s="51"/>
      <c r="W249" s="51"/>
      <c r="X249" s="51"/>
      <c r="Y249" s="51"/>
      <c r="Z249" s="51"/>
    </row>
    <row r="250" spans="1:26">
      <c r="A250" s="30" t="s">
        <v>882</v>
      </c>
      <c r="B250" s="99">
        <v>7164.799</v>
      </c>
      <c r="C250" s="99">
        <v>5944.8419999999996</v>
      </c>
      <c r="D250" s="99">
        <v>4552.7730000000001</v>
      </c>
      <c r="E250" s="99">
        <v>2709.7310000000002</v>
      </c>
      <c r="F250" s="99">
        <v>1539.403</v>
      </c>
      <c r="G250" s="281"/>
      <c r="H250" s="281"/>
      <c r="I250" s="193" t="s">
        <v>887</v>
      </c>
      <c r="J250" s="306">
        <v>21234.962</v>
      </c>
      <c r="K250" s="306">
        <v>18692.835999999999</v>
      </c>
      <c r="L250" s="306">
        <v>17251.355</v>
      </c>
      <c r="M250" s="306">
        <v>3313.5889999999999</v>
      </c>
      <c r="N250" s="306">
        <v>2681.569</v>
      </c>
      <c r="O250" s="303"/>
      <c r="P250" s="303"/>
      <c r="Q250" s="303"/>
      <c r="R250" s="303"/>
      <c r="S250" s="51"/>
      <c r="T250" s="51"/>
      <c r="U250" s="51"/>
      <c r="V250" s="51"/>
      <c r="W250" s="51"/>
      <c r="X250" s="51"/>
      <c r="Y250" s="51"/>
      <c r="Z250" s="51"/>
    </row>
    <row r="251" spans="1:26">
      <c r="A251" s="30" t="s">
        <v>883</v>
      </c>
      <c r="B251" s="99">
        <v>1135.8130000000001</v>
      </c>
      <c r="C251" s="99">
        <v>1075.1289999999999</v>
      </c>
      <c r="D251" s="99">
        <v>861.745</v>
      </c>
      <c r="E251" s="99">
        <v>483.05599999999998</v>
      </c>
      <c r="F251" s="99">
        <v>222.71199999999999</v>
      </c>
      <c r="G251" s="281"/>
      <c r="H251" s="281"/>
      <c r="I251" s="193" t="s">
        <v>888</v>
      </c>
      <c r="J251" s="306">
        <v>36777.595000000001</v>
      </c>
      <c r="K251" s="306">
        <v>33031.307999999997</v>
      </c>
      <c r="L251" s="306">
        <v>31364.34</v>
      </c>
      <c r="M251" s="306">
        <v>13925.763999999999</v>
      </c>
      <c r="N251" s="306">
        <v>9869.5499999999993</v>
      </c>
      <c r="O251" s="303"/>
      <c r="P251" s="303"/>
      <c r="Q251" s="303"/>
      <c r="R251" s="303"/>
      <c r="S251" s="51"/>
      <c r="T251" s="51"/>
      <c r="U251" s="51"/>
      <c r="V251" s="51"/>
      <c r="W251" s="51"/>
      <c r="X251" s="51"/>
      <c r="Y251" s="51"/>
      <c r="Z251" s="51"/>
    </row>
    <row r="252" spans="1:26">
      <c r="A252" s="30" t="s">
        <v>676</v>
      </c>
      <c r="B252" s="99">
        <v>143.369</v>
      </c>
      <c r="C252" s="99">
        <v>157.178</v>
      </c>
      <c r="D252" s="99">
        <v>164.41800000000001</v>
      </c>
      <c r="E252" s="99">
        <v>145.679</v>
      </c>
      <c r="F252" s="99">
        <v>91.653999999999996</v>
      </c>
      <c r="G252" s="281"/>
      <c r="H252" s="281"/>
      <c r="I252" s="193" t="s">
        <v>692</v>
      </c>
      <c r="J252" s="306">
        <v>2504.8789999999999</v>
      </c>
      <c r="K252" s="306">
        <v>2444.6950000000002</v>
      </c>
      <c r="L252" s="306">
        <v>1871.16</v>
      </c>
      <c r="M252" s="306">
        <v>0</v>
      </c>
      <c r="N252" s="306">
        <v>0</v>
      </c>
      <c r="O252" s="303"/>
      <c r="P252" s="303"/>
      <c r="Q252" s="303"/>
      <c r="R252" s="303"/>
      <c r="S252" s="51"/>
      <c r="T252" s="51"/>
      <c r="U252" s="51"/>
      <c r="V252" s="51"/>
      <c r="W252" s="51"/>
      <c r="X252" s="51"/>
      <c r="Y252" s="51"/>
      <c r="Z252" s="51"/>
    </row>
    <row r="253" spans="1:26">
      <c r="A253" s="30" t="s">
        <v>884</v>
      </c>
      <c r="B253" s="99">
        <v>236.441</v>
      </c>
      <c r="C253" s="99">
        <v>267.64999999999998</v>
      </c>
      <c r="D253" s="99">
        <v>286.995</v>
      </c>
      <c r="E253" s="99">
        <v>221.185</v>
      </c>
      <c r="F253" s="99">
        <v>143.90100000000001</v>
      </c>
      <c r="G253" s="281"/>
      <c r="H253" s="281"/>
      <c r="I253" s="193" t="s">
        <v>889</v>
      </c>
      <c r="J253" s="306">
        <v>1800.9939999999999</v>
      </c>
      <c r="K253" s="306">
        <v>9.3970000000000002</v>
      </c>
      <c r="L253" s="306">
        <v>0</v>
      </c>
      <c r="M253" s="306">
        <v>0</v>
      </c>
      <c r="N253" s="306">
        <v>0</v>
      </c>
      <c r="O253" s="303"/>
      <c r="P253" s="303"/>
      <c r="Q253" s="303"/>
      <c r="R253" s="303"/>
      <c r="S253" s="51"/>
      <c r="T253" s="51"/>
      <c r="U253" s="51"/>
      <c r="V253" s="51"/>
      <c r="W253" s="51"/>
      <c r="X253" s="51"/>
      <c r="Y253" s="51"/>
      <c r="Z253" s="51"/>
    </row>
    <row r="254" spans="1:26">
      <c r="A254" s="30" t="s">
        <v>677</v>
      </c>
      <c r="B254" s="99">
        <v>10199.205</v>
      </c>
      <c r="C254" s="99">
        <v>9498.3019999999997</v>
      </c>
      <c r="D254" s="99">
        <v>7112.8559999999998</v>
      </c>
      <c r="E254" s="99">
        <v>10012.647000000001</v>
      </c>
      <c r="F254" s="99">
        <v>4571.5429999999997</v>
      </c>
      <c r="G254" s="281"/>
      <c r="H254" s="281"/>
      <c r="I254" s="193" t="s">
        <v>50</v>
      </c>
      <c r="J254" s="306">
        <v>999.49699999999996</v>
      </c>
      <c r="K254" s="306">
        <v>0</v>
      </c>
      <c r="L254" s="306">
        <v>0</v>
      </c>
      <c r="M254" s="306">
        <v>0</v>
      </c>
      <c r="N254" s="306">
        <v>0</v>
      </c>
      <c r="O254" s="303"/>
      <c r="P254" s="303"/>
      <c r="Q254" s="303"/>
      <c r="R254" s="303"/>
      <c r="S254" s="51"/>
      <c r="T254" s="51"/>
      <c r="U254" s="51"/>
      <c r="V254" s="51"/>
      <c r="W254" s="51"/>
      <c r="X254" s="51"/>
      <c r="Y254" s="51"/>
      <c r="Z254" s="51"/>
    </row>
    <row r="255" spans="1:26">
      <c r="A255" s="30" t="s">
        <v>885</v>
      </c>
      <c r="B255" s="99">
        <v>9910.3860000000004</v>
      </c>
      <c r="C255" s="99">
        <v>9293.1129999999994</v>
      </c>
      <c r="D255" s="99">
        <v>6956.7330000000002</v>
      </c>
      <c r="E255" s="99">
        <v>9794.9920000000002</v>
      </c>
      <c r="F255" s="99">
        <v>4474.5339999999997</v>
      </c>
      <c r="G255" s="281"/>
      <c r="H255" s="281"/>
      <c r="I255" s="193" t="s">
        <v>557</v>
      </c>
      <c r="J255" s="306">
        <v>162.435</v>
      </c>
      <c r="K255" s="306">
        <v>35.695</v>
      </c>
      <c r="L255" s="306">
        <v>0</v>
      </c>
      <c r="M255" s="306">
        <v>0</v>
      </c>
      <c r="N255" s="306">
        <v>0</v>
      </c>
      <c r="O255" s="303"/>
      <c r="P255" s="303"/>
      <c r="Q255" s="303"/>
      <c r="R255" s="303"/>
      <c r="S255" s="51"/>
      <c r="T255" s="51"/>
      <c r="U255" s="51"/>
      <c r="V255" s="51"/>
      <c r="W255" s="51"/>
      <c r="X255" s="51"/>
      <c r="Y255" s="51"/>
      <c r="Z255" s="51"/>
    </row>
    <row r="256" spans="1:26">
      <c r="A256" s="30"/>
      <c r="B256" s="99"/>
      <c r="C256" s="99"/>
      <c r="D256" s="99"/>
      <c r="E256" s="99"/>
      <c r="F256" s="99"/>
      <c r="G256" s="281"/>
      <c r="H256" s="281"/>
      <c r="I256" s="193" t="s">
        <v>53</v>
      </c>
      <c r="J256" s="306">
        <v>5105.9390000000003</v>
      </c>
      <c r="K256" s="306">
        <v>4120.0910000000003</v>
      </c>
      <c r="L256" s="306">
        <v>0</v>
      </c>
      <c r="M256" s="306">
        <v>4559.2079999999996</v>
      </c>
      <c r="N256" s="306">
        <v>2586.924</v>
      </c>
      <c r="O256" s="303"/>
      <c r="P256" s="303"/>
      <c r="Q256" s="303"/>
      <c r="R256" s="303"/>
      <c r="S256" s="51"/>
      <c r="T256" s="51"/>
      <c r="U256" s="51"/>
      <c r="V256" s="51"/>
      <c r="W256" s="51"/>
      <c r="X256" s="51"/>
      <c r="Y256" s="51"/>
      <c r="Z256" s="51"/>
    </row>
    <row r="257" spans="1:26">
      <c r="A257" s="89"/>
      <c r="B257" s="305"/>
      <c r="C257" s="305"/>
      <c r="D257" s="305"/>
      <c r="E257" s="305"/>
      <c r="F257" s="305"/>
      <c r="G257" s="281"/>
      <c r="H257" s="281"/>
      <c r="I257" s="193" t="s">
        <v>743</v>
      </c>
      <c r="J257" s="306">
        <v>2368.6179999999999</v>
      </c>
      <c r="K257" s="306">
        <v>-528.42899999999997</v>
      </c>
      <c r="L257" s="306">
        <v>0</v>
      </c>
      <c r="M257" s="306">
        <v>0</v>
      </c>
      <c r="N257" s="306">
        <v>0</v>
      </c>
      <c r="O257" s="303"/>
      <c r="P257" s="303"/>
      <c r="Q257" s="303"/>
      <c r="R257" s="303"/>
      <c r="S257" s="51"/>
      <c r="T257" s="51"/>
      <c r="U257" s="51"/>
      <c r="V257" s="51"/>
      <c r="W257" s="51"/>
      <c r="X257" s="51"/>
      <c r="Y257" s="51"/>
      <c r="Z257" s="51"/>
    </row>
    <row r="258" spans="1:26">
      <c r="A258" s="89"/>
      <c r="B258" s="305"/>
      <c r="C258" s="305"/>
      <c r="D258" s="305"/>
      <c r="E258" s="305"/>
      <c r="F258" s="305"/>
      <c r="G258" s="281"/>
      <c r="H258" s="281"/>
      <c r="I258" s="193" t="s">
        <v>693</v>
      </c>
      <c r="J258" s="306">
        <v>0</v>
      </c>
      <c r="K258" s="306">
        <v>0</v>
      </c>
      <c r="L258" s="306">
        <v>0</v>
      </c>
      <c r="M258" s="306">
        <v>64.027000000000001</v>
      </c>
      <c r="N258" s="306">
        <v>52.747</v>
      </c>
      <c r="O258" s="303"/>
      <c r="P258" s="303"/>
      <c r="Q258" s="303"/>
      <c r="R258" s="303"/>
      <c r="S258" s="51"/>
      <c r="T258" s="51"/>
      <c r="U258" s="51"/>
      <c r="V258" s="51"/>
      <c r="W258" s="51"/>
      <c r="X258" s="51"/>
      <c r="Y258" s="51"/>
      <c r="Z258" s="51"/>
    </row>
    <row r="259" spans="1:26">
      <c r="A259" s="89"/>
      <c r="B259" s="305"/>
      <c r="C259" s="305"/>
      <c r="D259" s="305"/>
      <c r="E259" s="305"/>
      <c r="F259" s="305"/>
      <c r="G259" s="281"/>
      <c r="H259" s="281"/>
      <c r="I259" s="193" t="s">
        <v>695</v>
      </c>
      <c r="J259" s="306">
        <v>0</v>
      </c>
      <c r="K259" s="306">
        <v>0</v>
      </c>
      <c r="L259" s="306">
        <v>0</v>
      </c>
      <c r="M259" s="306">
        <v>-16.434999999999999</v>
      </c>
      <c r="N259" s="306">
        <v>23.327999999999999</v>
      </c>
      <c r="O259" s="303"/>
      <c r="P259" s="303"/>
      <c r="Q259" s="303"/>
      <c r="R259" s="303"/>
      <c r="S259" s="51"/>
      <c r="T259" s="51"/>
      <c r="U259" s="51"/>
      <c r="V259" s="51"/>
      <c r="W259" s="51"/>
      <c r="X259" s="51"/>
      <c r="Y259" s="51"/>
      <c r="Z259" s="51"/>
    </row>
    <row r="260" spans="1:26">
      <c r="A260" s="89"/>
      <c r="B260" s="305"/>
      <c r="C260" s="305"/>
      <c r="D260" s="305"/>
      <c r="E260" s="305"/>
      <c r="F260" s="305"/>
      <c r="G260" s="281"/>
      <c r="H260" s="281"/>
      <c r="I260" s="89"/>
      <c r="J260" s="305"/>
      <c r="K260" s="305"/>
      <c r="L260" s="305"/>
      <c r="M260" s="305"/>
      <c r="N260" s="305"/>
      <c r="O260" s="303"/>
      <c r="P260" s="303"/>
      <c r="Q260" s="303"/>
      <c r="R260" s="303"/>
      <c r="S260" s="51"/>
      <c r="T260" s="51"/>
      <c r="U260" s="51"/>
      <c r="V260" s="51"/>
      <c r="W260" s="51"/>
      <c r="X260" s="51"/>
      <c r="Y260" s="51"/>
      <c r="Z260" s="51"/>
    </row>
    <row r="261" spans="1:26">
      <c r="A261" s="89"/>
      <c r="B261" s="305"/>
      <c r="C261" s="305"/>
      <c r="D261" s="305"/>
      <c r="E261" s="305"/>
      <c r="F261" s="305"/>
      <c r="G261" s="281"/>
      <c r="H261" s="281"/>
      <c r="I261" s="89"/>
      <c r="J261" s="305"/>
      <c r="K261" s="305"/>
      <c r="L261" s="305"/>
      <c r="M261" s="305"/>
      <c r="N261" s="305"/>
      <c r="O261" s="303"/>
      <c r="P261" s="303"/>
      <c r="Q261" s="303"/>
      <c r="R261" s="303"/>
      <c r="S261" s="51"/>
      <c r="T261" s="51"/>
      <c r="U261" s="51"/>
      <c r="V261" s="51"/>
      <c r="W261" s="51"/>
      <c r="X261" s="51"/>
      <c r="Y261" s="51"/>
      <c r="Z261" s="51"/>
    </row>
    <row r="262" spans="1:26">
      <c r="A262" s="89"/>
      <c r="B262" s="305"/>
      <c r="C262" s="305"/>
      <c r="D262" s="305"/>
      <c r="E262" s="305"/>
      <c r="F262" s="305"/>
      <c r="G262" s="281"/>
      <c r="H262" s="281"/>
      <c r="I262" s="89"/>
      <c r="J262" s="305"/>
      <c r="K262" s="305"/>
      <c r="L262" s="305"/>
      <c r="M262" s="305"/>
      <c r="N262" s="305"/>
      <c r="O262" s="303"/>
      <c r="P262" s="303"/>
      <c r="Q262" s="303"/>
      <c r="R262" s="303"/>
      <c r="S262" s="51"/>
      <c r="T262" s="51"/>
      <c r="U262" s="51"/>
      <c r="V262" s="51"/>
      <c r="W262" s="51"/>
      <c r="X262" s="51"/>
      <c r="Y262" s="51"/>
      <c r="Z262" s="51"/>
    </row>
    <row r="263" spans="1:26">
      <c r="A263" s="89"/>
      <c r="B263" s="305"/>
      <c r="C263" s="305"/>
      <c r="D263" s="305"/>
      <c r="E263" s="305"/>
      <c r="F263" s="305"/>
      <c r="G263" s="281"/>
      <c r="H263" s="281"/>
      <c r="I263" s="89"/>
      <c r="J263" s="305"/>
      <c r="K263" s="305"/>
      <c r="L263" s="305"/>
      <c r="M263" s="305"/>
      <c r="N263" s="305"/>
      <c r="O263" s="303"/>
      <c r="P263" s="303"/>
      <c r="Q263" s="303"/>
      <c r="R263" s="303"/>
      <c r="S263" s="51"/>
      <c r="T263" s="51"/>
      <c r="U263" s="51"/>
      <c r="V263" s="51"/>
      <c r="W263" s="51"/>
      <c r="X263" s="51"/>
      <c r="Y263" s="51"/>
      <c r="Z263" s="51"/>
    </row>
    <row r="264" spans="1:26">
      <c r="A264" s="89"/>
      <c r="B264" s="305"/>
      <c r="C264" s="305"/>
      <c r="D264" s="305"/>
      <c r="E264" s="305"/>
      <c r="F264" s="305"/>
      <c r="G264" s="281"/>
      <c r="H264" s="281"/>
      <c r="I264" s="89"/>
      <c r="J264" s="305"/>
      <c r="K264" s="305"/>
      <c r="L264" s="305"/>
      <c r="M264" s="305"/>
      <c r="N264" s="305"/>
      <c r="O264" s="303"/>
      <c r="P264" s="303"/>
      <c r="Q264" s="303"/>
      <c r="R264" s="303"/>
      <c r="S264" s="51"/>
      <c r="T264" s="51"/>
      <c r="U264" s="51"/>
      <c r="V264" s="51"/>
      <c r="W264" s="51"/>
      <c r="X264" s="51"/>
      <c r="Y264" s="51"/>
      <c r="Z264" s="51"/>
    </row>
    <row r="265" spans="1:26">
      <c r="A265" s="89"/>
      <c r="B265" s="305"/>
      <c r="C265" s="305"/>
      <c r="D265" s="305"/>
      <c r="E265" s="305"/>
      <c r="F265" s="305"/>
      <c r="G265" s="281"/>
      <c r="H265" s="281"/>
      <c r="I265" s="202" t="s">
        <v>1425</v>
      </c>
      <c r="J265" s="305"/>
      <c r="K265" s="305"/>
      <c r="L265" s="305"/>
      <c r="M265" s="305"/>
      <c r="N265" s="305"/>
      <c r="O265" s="303"/>
      <c r="P265" s="303"/>
      <c r="Q265" s="303"/>
      <c r="R265" s="303"/>
      <c r="S265" s="51"/>
      <c r="T265" s="51"/>
      <c r="U265" s="51"/>
      <c r="V265" s="51"/>
      <c r="W265" s="51"/>
      <c r="X265" s="51"/>
      <c r="Y265" s="51"/>
      <c r="Z265" s="51"/>
    </row>
    <row r="266" spans="1:26">
      <c r="A266" s="89"/>
      <c r="B266" s="305"/>
      <c r="C266" s="305"/>
      <c r="D266" s="305"/>
      <c r="E266" s="305"/>
      <c r="F266" s="305"/>
      <c r="G266" s="281"/>
      <c r="H266" s="281"/>
      <c r="I266" s="89"/>
      <c r="J266" s="305"/>
      <c r="K266" s="305"/>
      <c r="L266" s="305"/>
      <c r="M266" s="305"/>
      <c r="N266" s="305"/>
      <c r="O266" s="303"/>
      <c r="P266" s="303"/>
      <c r="Q266" s="303"/>
      <c r="R266" s="303"/>
      <c r="S266" s="51"/>
      <c r="T266" s="51"/>
      <c r="U266" s="51"/>
      <c r="V266" s="51"/>
      <c r="W266" s="51"/>
      <c r="X266" s="51"/>
      <c r="Y266" s="51"/>
      <c r="Z266" s="51"/>
    </row>
    <row r="267" spans="1:26">
      <c r="A267" s="202" t="s">
        <v>1425</v>
      </c>
      <c r="B267" s="305"/>
      <c r="C267" s="305"/>
      <c r="D267" s="305"/>
      <c r="E267" s="305"/>
      <c r="F267" s="305"/>
      <c r="G267" s="281"/>
      <c r="H267" s="281"/>
      <c r="I267" s="89"/>
      <c r="J267" s="305"/>
      <c r="K267" s="305"/>
      <c r="L267" s="305"/>
      <c r="M267" s="305"/>
      <c r="N267" s="305"/>
      <c r="O267" s="303"/>
      <c r="P267" s="303"/>
      <c r="Q267" s="303"/>
      <c r="R267" s="303"/>
      <c r="S267" s="51"/>
      <c r="T267" s="51"/>
      <c r="U267" s="51"/>
      <c r="V267" s="51"/>
      <c r="W267" s="51"/>
      <c r="X267" s="51"/>
      <c r="Y267" s="51"/>
      <c r="Z267" s="51"/>
    </row>
    <row r="268" spans="1:26">
      <c r="A268" s="89"/>
      <c r="B268" s="305"/>
      <c r="C268" s="305"/>
      <c r="D268" s="305"/>
      <c r="E268" s="305"/>
      <c r="F268" s="305"/>
      <c r="G268" s="281"/>
      <c r="H268" s="281"/>
      <c r="I268" s="89"/>
      <c r="J268" s="305"/>
      <c r="K268" s="305"/>
      <c r="L268" s="305"/>
      <c r="M268" s="305"/>
      <c r="N268" s="305"/>
      <c r="O268" s="303"/>
      <c r="P268" s="303"/>
      <c r="Q268" s="303"/>
      <c r="R268" s="303"/>
      <c r="S268" s="51"/>
      <c r="T268" s="51"/>
      <c r="U268" s="51"/>
      <c r="V268" s="51"/>
      <c r="W268" s="51"/>
      <c r="X268" s="51"/>
      <c r="Y268" s="51"/>
      <c r="Z268" s="51"/>
    </row>
    <row r="269" spans="1:26">
      <c r="A269" s="89"/>
      <c r="B269" s="305"/>
      <c r="C269" s="305"/>
      <c r="D269" s="305"/>
      <c r="E269" s="305"/>
      <c r="F269" s="305"/>
      <c r="G269" s="281"/>
      <c r="H269" s="281"/>
      <c r="I269" s="89"/>
      <c r="J269" s="305"/>
      <c r="K269" s="305"/>
      <c r="L269" s="305"/>
      <c r="M269" s="305"/>
      <c r="N269" s="305"/>
      <c r="O269" s="303"/>
      <c r="P269" s="303"/>
      <c r="Q269" s="303"/>
      <c r="R269" s="303"/>
      <c r="S269" s="51"/>
      <c r="T269" s="51"/>
      <c r="U269" s="51"/>
      <c r="V269" s="51"/>
      <c r="W269" s="51"/>
      <c r="X269" s="51"/>
      <c r="Y269" s="51"/>
      <c r="Z269" s="51"/>
    </row>
    <row r="270" spans="1:26">
      <c r="A270" s="89"/>
      <c r="B270" s="305"/>
      <c r="C270" s="305"/>
      <c r="D270" s="305"/>
      <c r="E270" s="305"/>
      <c r="F270" s="305"/>
      <c r="G270" s="281"/>
      <c r="H270" s="281"/>
      <c r="I270" s="89"/>
      <c r="J270" s="305"/>
      <c r="K270" s="305"/>
      <c r="L270" s="305"/>
      <c r="M270" s="305"/>
      <c r="N270" s="305"/>
      <c r="O270" s="303"/>
      <c r="P270" s="303"/>
      <c r="Q270" s="303"/>
      <c r="R270" s="303"/>
      <c r="S270" s="51"/>
      <c r="T270" s="51"/>
      <c r="U270" s="51"/>
      <c r="V270" s="51"/>
      <c r="W270" s="51"/>
      <c r="X270" s="51"/>
      <c r="Y270" s="51"/>
      <c r="Z270" s="51"/>
    </row>
    <row r="271" spans="1:26">
      <c r="A271" s="89"/>
      <c r="B271" s="305"/>
      <c r="C271" s="305"/>
      <c r="D271" s="305"/>
      <c r="E271" s="305"/>
      <c r="F271" s="305"/>
      <c r="G271" s="281"/>
      <c r="H271" s="281"/>
      <c r="I271" s="89"/>
      <c r="J271" s="305"/>
      <c r="K271" s="305"/>
      <c r="L271" s="305"/>
      <c r="M271" s="305"/>
      <c r="N271" s="305"/>
      <c r="O271" s="303"/>
      <c r="P271" s="303"/>
      <c r="Q271" s="303"/>
      <c r="R271" s="303"/>
      <c r="S271" s="51"/>
      <c r="T271" s="51"/>
      <c r="U271" s="51"/>
      <c r="V271" s="51"/>
      <c r="W271" s="51"/>
      <c r="X271" s="51"/>
      <c r="Y271" s="51"/>
      <c r="Z271" s="51"/>
    </row>
    <row r="272" spans="1:26">
      <c r="A272" s="89"/>
      <c r="B272" s="305"/>
      <c r="C272" s="305"/>
      <c r="D272" s="305"/>
      <c r="E272" s="305"/>
      <c r="F272" s="305"/>
      <c r="G272" s="281"/>
      <c r="H272" s="281"/>
      <c r="I272" s="89"/>
      <c r="J272" s="305"/>
      <c r="K272" s="305"/>
      <c r="L272" s="305"/>
      <c r="M272" s="305"/>
      <c r="N272" s="305"/>
      <c r="O272" s="303"/>
      <c r="P272" s="303"/>
      <c r="Q272" s="303"/>
      <c r="R272" s="303"/>
      <c r="S272" s="51"/>
      <c r="T272" s="51"/>
      <c r="U272" s="51"/>
      <c r="V272" s="51"/>
      <c r="W272" s="51"/>
      <c r="X272" s="51"/>
      <c r="Y272" s="51"/>
      <c r="Z272" s="51"/>
    </row>
    <row r="273" spans="1:26">
      <c r="A273" s="89"/>
      <c r="B273" s="305"/>
      <c r="C273" s="305"/>
      <c r="D273" s="305"/>
      <c r="E273" s="305"/>
      <c r="F273" s="305"/>
      <c r="G273" s="281"/>
      <c r="H273" s="281"/>
      <c r="I273" s="89"/>
      <c r="J273" s="305"/>
      <c r="K273" s="305"/>
      <c r="L273" s="305"/>
      <c r="M273" s="305"/>
      <c r="N273" s="305"/>
      <c r="O273" s="303"/>
      <c r="P273" s="303"/>
      <c r="Q273" s="303"/>
      <c r="R273" s="303"/>
      <c r="S273" s="51"/>
      <c r="T273" s="51"/>
      <c r="U273" s="51"/>
      <c r="V273" s="51"/>
      <c r="W273" s="51"/>
      <c r="X273" s="51"/>
      <c r="Y273" s="51"/>
      <c r="Z273" s="51"/>
    </row>
    <row r="274" spans="1:26">
      <c r="A274" s="89"/>
      <c r="B274" s="305"/>
      <c r="C274" s="305"/>
      <c r="D274" s="305"/>
      <c r="E274" s="305"/>
      <c r="F274" s="305"/>
      <c r="G274" s="281"/>
      <c r="H274" s="281"/>
      <c r="I274" s="89"/>
      <c r="J274" s="305"/>
      <c r="K274" s="305"/>
      <c r="L274" s="305"/>
      <c r="M274" s="305"/>
      <c r="N274" s="305"/>
      <c r="O274" s="303"/>
      <c r="P274" s="303"/>
      <c r="Q274" s="303"/>
      <c r="R274" s="303"/>
      <c r="S274" s="51"/>
      <c r="T274" s="51"/>
      <c r="U274" s="51"/>
      <c r="V274" s="51"/>
      <c r="W274" s="51"/>
      <c r="X274" s="51"/>
      <c r="Y274" s="51"/>
      <c r="Z274" s="51"/>
    </row>
    <row r="275" spans="1:26">
      <c r="A275" s="89"/>
      <c r="B275" s="305"/>
      <c r="C275" s="305"/>
      <c r="D275" s="305"/>
      <c r="E275" s="305"/>
      <c r="F275" s="305"/>
      <c r="G275" s="281"/>
      <c r="H275" s="281"/>
      <c r="I275" s="89"/>
      <c r="J275" s="305"/>
      <c r="K275" s="305"/>
      <c r="L275" s="305"/>
      <c r="M275" s="305"/>
      <c r="N275" s="305"/>
      <c r="O275" s="303"/>
      <c r="P275" s="303"/>
      <c r="Q275" s="303"/>
      <c r="R275" s="303"/>
      <c r="S275" s="51"/>
      <c r="T275" s="51"/>
      <c r="U275" s="51"/>
      <c r="V275" s="51"/>
      <c r="W275" s="51"/>
      <c r="X275" s="51"/>
      <c r="Y275" s="51"/>
      <c r="Z275" s="51"/>
    </row>
    <row r="276" spans="1:26">
      <c r="A276" s="89"/>
      <c r="B276" s="305"/>
      <c r="C276" s="305"/>
      <c r="D276" s="305"/>
      <c r="E276" s="305"/>
      <c r="F276" s="305"/>
      <c r="G276" s="281"/>
      <c r="H276" s="281"/>
      <c r="I276" s="89"/>
      <c r="J276" s="305"/>
      <c r="K276" s="305"/>
      <c r="L276" s="305"/>
      <c r="M276" s="305"/>
      <c r="N276" s="305"/>
      <c r="O276" s="303"/>
      <c r="P276" s="303"/>
      <c r="Q276" s="303"/>
      <c r="R276" s="303"/>
      <c r="S276" s="51"/>
      <c r="T276" s="51"/>
      <c r="U276" s="51"/>
      <c r="V276" s="51"/>
      <c r="W276" s="51"/>
      <c r="X276" s="51"/>
      <c r="Y276" s="51"/>
      <c r="Z276" s="51"/>
    </row>
    <row r="277" spans="1:26">
      <c r="A277" s="89"/>
      <c r="B277" s="305"/>
      <c r="C277" s="305"/>
      <c r="D277" s="305"/>
      <c r="E277" s="305"/>
      <c r="F277" s="305"/>
      <c r="G277" s="281"/>
      <c r="H277" s="281"/>
      <c r="I277" s="89"/>
      <c r="J277" s="305"/>
      <c r="K277" s="305"/>
      <c r="L277" s="305"/>
      <c r="M277" s="305"/>
      <c r="N277" s="305"/>
      <c r="O277" s="303"/>
      <c r="P277" s="303"/>
      <c r="Q277" s="303"/>
      <c r="R277" s="303"/>
      <c r="S277" s="51"/>
      <c r="T277" s="51"/>
      <c r="U277" s="51"/>
      <c r="V277" s="51"/>
      <c r="W277" s="51"/>
      <c r="X277" s="51"/>
      <c r="Y277" s="51"/>
      <c r="Z277" s="51"/>
    </row>
    <row r="278" spans="1:26">
      <c r="A278" s="89"/>
      <c r="B278" s="305"/>
      <c r="C278" s="305"/>
      <c r="D278" s="305"/>
      <c r="E278" s="305"/>
      <c r="F278" s="305"/>
      <c r="G278" s="281"/>
      <c r="H278" s="281"/>
      <c r="I278" s="89"/>
      <c r="J278" s="305"/>
      <c r="K278" s="305"/>
      <c r="L278" s="305"/>
      <c r="M278" s="305"/>
      <c r="N278" s="305"/>
      <c r="O278" s="303"/>
      <c r="P278" s="303"/>
      <c r="Q278" s="303"/>
      <c r="R278" s="303"/>
      <c r="S278" s="51"/>
      <c r="T278" s="51"/>
      <c r="U278" s="51"/>
      <c r="V278" s="51"/>
      <c r="W278" s="51"/>
      <c r="X278" s="51"/>
      <c r="Y278" s="51"/>
      <c r="Z278" s="51"/>
    </row>
    <row r="279" spans="1:26">
      <c r="A279" s="89"/>
      <c r="B279" s="305"/>
      <c r="C279" s="305"/>
      <c r="D279" s="305"/>
      <c r="E279" s="305"/>
      <c r="F279" s="305"/>
      <c r="G279" s="281"/>
      <c r="H279" s="281"/>
      <c r="I279" s="89"/>
      <c r="J279" s="305"/>
      <c r="K279" s="305"/>
      <c r="L279" s="305"/>
      <c r="M279" s="305"/>
      <c r="N279" s="305"/>
      <c r="O279" s="303"/>
      <c r="P279" s="303"/>
      <c r="Q279" s="303"/>
      <c r="R279" s="303"/>
      <c r="S279" s="51"/>
      <c r="T279" s="51"/>
      <c r="U279" s="51"/>
      <c r="V279" s="51"/>
      <c r="W279" s="51"/>
      <c r="X279" s="51"/>
      <c r="Y279" s="51"/>
      <c r="Z279" s="51"/>
    </row>
    <row r="280" spans="1:26">
      <c r="A280" s="89"/>
      <c r="B280" s="305"/>
      <c r="C280" s="305"/>
      <c r="D280" s="305"/>
      <c r="E280" s="305"/>
      <c r="F280" s="305"/>
      <c r="G280" s="281"/>
      <c r="H280" s="281"/>
      <c r="I280" s="89"/>
      <c r="J280" s="305"/>
      <c r="K280" s="305"/>
      <c r="L280" s="305"/>
      <c r="M280" s="305"/>
      <c r="N280" s="305"/>
      <c r="O280" s="303"/>
      <c r="P280" s="303"/>
      <c r="Q280" s="303"/>
      <c r="R280" s="303"/>
      <c r="S280" s="51"/>
      <c r="T280" s="51"/>
      <c r="U280" s="51"/>
      <c r="V280" s="51"/>
      <c r="W280" s="51"/>
      <c r="X280" s="51"/>
      <c r="Y280" s="51"/>
      <c r="Z280" s="51"/>
    </row>
    <row r="281" spans="1:26">
      <c r="A281" s="89"/>
      <c r="B281" s="305"/>
      <c r="C281" s="305"/>
      <c r="D281" s="305"/>
      <c r="E281" s="305"/>
      <c r="F281" s="305"/>
      <c r="G281" s="281"/>
      <c r="H281" s="281"/>
      <c r="I281" s="89"/>
      <c r="J281" s="305"/>
      <c r="K281" s="305"/>
      <c r="L281" s="305"/>
      <c r="M281" s="305"/>
      <c r="N281" s="305"/>
      <c r="O281" s="303"/>
      <c r="P281" s="303"/>
      <c r="Q281" s="303"/>
      <c r="R281" s="303"/>
      <c r="S281" s="51"/>
      <c r="T281" s="51"/>
      <c r="U281" s="51"/>
      <c r="V281" s="51"/>
      <c r="W281" s="51"/>
      <c r="X281" s="51"/>
      <c r="Y281" s="51"/>
      <c r="Z281" s="51"/>
    </row>
    <row r="282" spans="1:26">
      <c r="A282" s="89"/>
      <c r="B282" s="305"/>
      <c r="C282" s="305"/>
      <c r="D282" s="305"/>
      <c r="E282" s="305"/>
      <c r="F282" s="305"/>
      <c r="G282" s="281"/>
      <c r="H282" s="281"/>
      <c r="I282" s="89"/>
      <c r="J282" s="305"/>
      <c r="K282" s="305"/>
      <c r="L282" s="305"/>
      <c r="M282" s="305"/>
      <c r="N282" s="305"/>
      <c r="O282" s="303"/>
      <c r="P282" s="303"/>
      <c r="Q282" s="303"/>
      <c r="R282" s="303"/>
      <c r="S282" s="51"/>
      <c r="T282" s="51"/>
      <c r="U282" s="51"/>
      <c r="V282" s="51"/>
      <c r="W282" s="51"/>
      <c r="X282" s="51"/>
      <c r="Y282" s="51"/>
      <c r="Z282" s="51"/>
    </row>
    <row r="283" spans="1:26">
      <c r="A283" s="192" t="s">
        <v>708</v>
      </c>
      <c r="B283" s="305"/>
      <c r="C283" s="305"/>
      <c r="D283" s="305"/>
      <c r="E283" s="305"/>
      <c r="F283" s="305"/>
      <c r="G283" s="281"/>
      <c r="H283" s="281"/>
      <c r="I283" s="30"/>
      <c r="J283" s="99"/>
      <c r="K283" s="99"/>
      <c r="L283" s="99"/>
      <c r="M283" s="99"/>
      <c r="N283" s="99"/>
      <c r="O283" s="303"/>
      <c r="P283" s="303"/>
      <c r="Q283" s="303"/>
      <c r="R283" s="303"/>
      <c r="S283" s="51"/>
      <c r="T283" s="51"/>
      <c r="U283" s="51"/>
      <c r="V283" s="51"/>
      <c r="W283" s="51"/>
      <c r="X283" s="51"/>
      <c r="Y283" s="51"/>
      <c r="Z283" s="51"/>
    </row>
    <row r="284" spans="1:26">
      <c r="A284" s="192" t="s">
        <v>696</v>
      </c>
      <c r="B284" s="305"/>
      <c r="C284" s="305"/>
      <c r="D284" s="305" t="s">
        <v>520</v>
      </c>
      <c r="E284" s="305"/>
      <c r="F284" s="305"/>
      <c r="G284" s="281"/>
      <c r="H284" s="281"/>
      <c r="I284" s="192" t="s">
        <v>708</v>
      </c>
      <c r="J284" s="305"/>
      <c r="K284" s="305" t="s">
        <v>520</v>
      </c>
      <c r="L284" s="305"/>
      <c r="M284" s="305"/>
      <c r="N284" s="305"/>
      <c r="O284" s="303"/>
      <c r="P284" s="303"/>
      <c r="Q284" s="303"/>
      <c r="R284" s="303"/>
      <c r="S284" s="51"/>
      <c r="T284" s="51"/>
      <c r="U284" s="51"/>
      <c r="V284" s="51"/>
      <c r="W284" s="51"/>
      <c r="X284" s="51"/>
      <c r="Y284" s="51"/>
      <c r="Z284" s="51"/>
    </row>
    <row r="285" spans="1:26">
      <c r="A285" s="193" t="s">
        <v>721</v>
      </c>
      <c r="B285" s="306" t="s">
        <v>867</v>
      </c>
      <c r="C285" s="306" t="s">
        <v>868</v>
      </c>
      <c r="D285" s="306" t="s">
        <v>869</v>
      </c>
      <c r="E285" s="306" t="s">
        <v>870</v>
      </c>
      <c r="F285" s="306" t="s">
        <v>871</v>
      </c>
      <c r="G285" s="281"/>
      <c r="H285" s="281"/>
      <c r="I285" s="30" t="s">
        <v>721</v>
      </c>
      <c r="J285" s="99" t="s">
        <v>867</v>
      </c>
      <c r="K285" s="99" t="s">
        <v>868</v>
      </c>
      <c r="L285" s="99" t="s">
        <v>869</v>
      </c>
      <c r="M285" s="99" t="s">
        <v>870</v>
      </c>
      <c r="N285" s="99" t="s">
        <v>871</v>
      </c>
      <c r="O285" s="303"/>
      <c r="P285" s="303"/>
      <c r="Q285" s="303"/>
      <c r="R285" s="303"/>
      <c r="S285" s="51"/>
      <c r="T285" s="51"/>
      <c r="U285" s="51"/>
      <c r="V285" s="51"/>
      <c r="W285" s="51"/>
      <c r="X285" s="51"/>
      <c r="Y285" s="51"/>
      <c r="Z285" s="51"/>
    </row>
    <row r="286" spans="1:26">
      <c r="A286" s="193" t="s">
        <v>697</v>
      </c>
      <c r="B286" s="306">
        <v>10105.894</v>
      </c>
      <c r="C286" s="306">
        <v>9654.4189999999999</v>
      </c>
      <c r="D286" s="306">
        <v>8975.5149999999994</v>
      </c>
      <c r="E286" s="306">
        <v>8523.7620000000006</v>
      </c>
      <c r="F286" s="306">
        <v>7423.558</v>
      </c>
      <c r="G286" s="281"/>
      <c r="H286" s="281"/>
      <c r="I286" s="30" t="s">
        <v>31</v>
      </c>
      <c r="J286" s="99">
        <v>2538.4160000000002</v>
      </c>
      <c r="K286" s="99">
        <v>2088.8870000000002</v>
      </c>
      <c r="L286" s="99">
        <v>1997.566</v>
      </c>
      <c r="M286" s="99">
        <v>1979.308</v>
      </c>
      <c r="N286" s="99">
        <v>1945.8679999999999</v>
      </c>
      <c r="O286" s="303"/>
      <c r="P286" s="303"/>
      <c r="Q286" s="303"/>
      <c r="R286" s="303"/>
      <c r="S286" s="51"/>
      <c r="T286" s="51"/>
      <c r="U286" s="51"/>
      <c r="V286" s="51"/>
      <c r="W286" s="51"/>
      <c r="X286" s="51"/>
      <c r="Y286" s="51"/>
      <c r="Z286" s="51"/>
    </row>
    <row r="287" spans="1:26">
      <c r="A287" s="193" t="s">
        <v>698</v>
      </c>
      <c r="B287" s="306">
        <v>3760.116</v>
      </c>
      <c r="C287" s="306">
        <v>3727.5210000000002</v>
      </c>
      <c r="D287" s="306">
        <v>3778.6170000000002</v>
      </c>
      <c r="E287" s="306">
        <v>3773.7249999999999</v>
      </c>
      <c r="F287" s="306">
        <v>3650.7269999999999</v>
      </c>
      <c r="G287" s="281"/>
      <c r="H287" s="281"/>
      <c r="I287" s="30" t="s">
        <v>647</v>
      </c>
      <c r="J287" s="99">
        <v>1081.74</v>
      </c>
      <c r="K287" s="99">
        <v>1120.078</v>
      </c>
      <c r="L287" s="99">
        <v>998.33199999999999</v>
      </c>
      <c r="M287" s="99">
        <v>946.24699999999996</v>
      </c>
      <c r="N287" s="99">
        <v>794.17200000000003</v>
      </c>
      <c r="O287" s="303"/>
      <c r="P287" s="303"/>
      <c r="Q287" s="303"/>
      <c r="R287" s="303"/>
      <c r="S287" s="51"/>
      <c r="T287" s="51"/>
      <c r="U287" s="51"/>
      <c r="V287" s="51"/>
      <c r="W287" s="51"/>
      <c r="X287" s="51"/>
      <c r="Y287" s="51"/>
      <c r="Z287" s="51"/>
    </row>
    <row r="288" spans="1:26">
      <c r="A288" s="193" t="s">
        <v>699</v>
      </c>
      <c r="B288" s="306">
        <v>4285.3069999999998</v>
      </c>
      <c r="C288" s="306">
        <v>4073.768</v>
      </c>
      <c r="D288" s="306">
        <v>3524.578</v>
      </c>
      <c r="E288" s="306">
        <v>3391.1610000000001</v>
      </c>
      <c r="F288" s="306">
        <v>2878.8780000000002</v>
      </c>
      <c r="G288" s="281"/>
      <c r="H288" s="281"/>
      <c r="I288" s="30" t="s">
        <v>709</v>
      </c>
      <c r="J288" s="99">
        <v>1620.921</v>
      </c>
      <c r="K288" s="99">
        <v>4097.4170000000004</v>
      </c>
      <c r="L288" s="99">
        <v>2519.114</v>
      </c>
      <c r="M288" s="99">
        <v>1143.539</v>
      </c>
      <c r="N288" s="99">
        <v>1230.8530000000001</v>
      </c>
      <c r="O288" s="303"/>
      <c r="P288" s="303"/>
      <c r="Q288" s="303"/>
      <c r="R288" s="303"/>
      <c r="S288" s="51"/>
      <c r="T288" s="51"/>
      <c r="U288" s="51"/>
      <c r="V288" s="51"/>
      <c r="W288" s="51"/>
      <c r="X288" s="51"/>
      <c r="Y288" s="51"/>
      <c r="Z288" s="51"/>
    </row>
    <row r="289" spans="1:26">
      <c r="A289" s="193" t="s">
        <v>700</v>
      </c>
      <c r="B289" s="306">
        <v>0</v>
      </c>
      <c r="C289" s="306">
        <v>0</v>
      </c>
      <c r="D289" s="306">
        <v>833.07500000000005</v>
      </c>
      <c r="E289" s="306">
        <v>0</v>
      </c>
      <c r="F289" s="306">
        <v>0</v>
      </c>
      <c r="G289" s="281"/>
      <c r="H289" s="281"/>
      <c r="I289" s="30" t="s">
        <v>37</v>
      </c>
      <c r="J289" s="99">
        <v>795.59299999999996</v>
      </c>
      <c r="K289" s="99">
        <v>767.37699999999995</v>
      </c>
      <c r="L289" s="99">
        <v>660.32100000000003</v>
      </c>
      <c r="M289" s="99">
        <v>641.89099999999996</v>
      </c>
      <c r="N289" s="99">
        <v>621.46699999999998</v>
      </c>
      <c r="O289" s="303"/>
      <c r="P289" s="303"/>
      <c r="Q289" s="303"/>
      <c r="R289" s="303"/>
      <c r="S289" s="51"/>
      <c r="T289" s="51"/>
      <c r="U289" s="51"/>
      <c r="V289" s="51"/>
      <c r="W289" s="51"/>
      <c r="X289" s="51"/>
      <c r="Y289" s="51"/>
      <c r="Z289" s="51"/>
    </row>
    <row r="290" spans="1:26">
      <c r="A290" s="193" t="s">
        <v>701</v>
      </c>
      <c r="B290" s="306">
        <v>-273.13400000000001</v>
      </c>
      <c r="C290" s="306">
        <v>136.744</v>
      </c>
      <c r="D290" s="306">
        <v>199.09399999999999</v>
      </c>
      <c r="E290" s="306">
        <v>0</v>
      </c>
      <c r="F290" s="306">
        <v>0</v>
      </c>
      <c r="G290" s="281"/>
      <c r="H290" s="281"/>
      <c r="I290" s="30" t="s">
        <v>38</v>
      </c>
      <c r="J290" s="99">
        <v>6036.67</v>
      </c>
      <c r="K290" s="99">
        <v>8073.759</v>
      </c>
      <c r="L290" s="99">
        <v>6314.1480000000001</v>
      </c>
      <c r="M290" s="99">
        <v>4710.9849999999997</v>
      </c>
      <c r="N290" s="99">
        <v>4592.3599999999997</v>
      </c>
      <c r="O290" s="303"/>
      <c r="P290" s="303"/>
      <c r="Q290" s="303"/>
      <c r="R290" s="303"/>
      <c r="S290" s="51"/>
      <c r="T290" s="51"/>
      <c r="U290" s="51"/>
      <c r="V290" s="51"/>
      <c r="W290" s="51"/>
      <c r="X290" s="51"/>
      <c r="Y290" s="51"/>
      <c r="Z290" s="51"/>
    </row>
    <row r="291" spans="1:26">
      <c r="A291" s="193" t="s">
        <v>702</v>
      </c>
      <c r="B291" s="306">
        <v>7772.2889999999998</v>
      </c>
      <c r="C291" s="306">
        <v>7938.0330000000004</v>
      </c>
      <c r="D291" s="306">
        <v>8335.3639999999996</v>
      </c>
      <c r="E291" s="306">
        <v>7164.8860000000004</v>
      </c>
      <c r="F291" s="306">
        <v>6529.6049999999996</v>
      </c>
      <c r="G291" s="281"/>
      <c r="H291" s="281"/>
      <c r="I291" s="30" t="s">
        <v>41</v>
      </c>
      <c r="J291" s="99">
        <v>26286.317999999999</v>
      </c>
      <c r="K291" s="99">
        <v>26743.523000000001</v>
      </c>
      <c r="L291" s="99">
        <v>23320.736000000001</v>
      </c>
      <c r="M291" s="99">
        <v>24813.274000000001</v>
      </c>
      <c r="N291" s="99">
        <v>23871.451000000001</v>
      </c>
      <c r="O291" s="303"/>
      <c r="P291" s="303"/>
      <c r="Q291" s="303"/>
      <c r="R291" s="303"/>
      <c r="S291" s="51"/>
      <c r="T291" s="51"/>
      <c r="U291" s="51"/>
      <c r="V291" s="51"/>
      <c r="W291" s="51"/>
      <c r="X291" s="51"/>
      <c r="Y291" s="51"/>
      <c r="Z291" s="51"/>
    </row>
    <row r="292" spans="1:26">
      <c r="A292" s="193" t="s">
        <v>10</v>
      </c>
      <c r="B292" s="306">
        <v>2333.605</v>
      </c>
      <c r="C292" s="306">
        <v>1716.386</v>
      </c>
      <c r="D292" s="306">
        <v>640.15099999999995</v>
      </c>
      <c r="E292" s="306">
        <v>1358.876</v>
      </c>
      <c r="F292" s="306">
        <v>893.95299999999997</v>
      </c>
      <c r="G292" s="281"/>
      <c r="H292" s="281"/>
      <c r="I292" s="30" t="s">
        <v>42</v>
      </c>
      <c r="J292" s="99">
        <v>8931.9429999999993</v>
      </c>
      <c r="K292" s="99">
        <v>10168.046</v>
      </c>
      <c r="L292" s="99">
        <v>9658.3739999999998</v>
      </c>
      <c r="M292" s="99">
        <v>11633.709000000001</v>
      </c>
      <c r="N292" s="99">
        <v>12015.883</v>
      </c>
      <c r="O292" s="303"/>
      <c r="P292" s="303"/>
      <c r="Q292" s="303"/>
      <c r="R292" s="303"/>
      <c r="S292" s="51"/>
      <c r="T292" s="51"/>
      <c r="U292" s="51"/>
      <c r="V292" s="51"/>
      <c r="W292" s="51"/>
      <c r="X292" s="51"/>
      <c r="Y292" s="51"/>
      <c r="Z292" s="51"/>
    </row>
    <row r="293" spans="1:26">
      <c r="A293" s="193" t="s">
        <v>703</v>
      </c>
      <c r="B293" s="306">
        <v>169.16800000000001</v>
      </c>
      <c r="C293" s="306">
        <v>113.711</v>
      </c>
      <c r="D293" s="306">
        <v>33.603999999999999</v>
      </c>
      <c r="E293" s="306">
        <v>19.32</v>
      </c>
      <c r="F293" s="306">
        <v>43.551000000000002</v>
      </c>
      <c r="G293" s="281"/>
      <c r="H293" s="281"/>
      <c r="I293" s="30" t="s">
        <v>652</v>
      </c>
      <c r="J293" s="99">
        <v>2277.5929999999998</v>
      </c>
      <c r="K293" s="99">
        <v>2190.0050000000001</v>
      </c>
      <c r="L293" s="99">
        <v>1838.809</v>
      </c>
      <c r="M293" s="99">
        <v>1687.586</v>
      </c>
      <c r="N293" s="99">
        <v>1578.5319999999999</v>
      </c>
      <c r="O293" s="303"/>
      <c r="P293" s="303"/>
      <c r="Q293" s="303"/>
      <c r="R293" s="303"/>
      <c r="S293" s="51"/>
      <c r="T293" s="51"/>
      <c r="U293" s="51"/>
      <c r="V293" s="51"/>
      <c r="W293" s="51"/>
      <c r="X293" s="51"/>
      <c r="Y293" s="51"/>
      <c r="Z293" s="51"/>
    </row>
    <row r="294" spans="1:26">
      <c r="A294" s="193" t="s">
        <v>704</v>
      </c>
      <c r="B294" s="306">
        <v>-633.98599999999999</v>
      </c>
      <c r="C294" s="306">
        <v>-660.15</v>
      </c>
      <c r="D294" s="306">
        <v>-449.43299999999999</v>
      </c>
      <c r="E294" s="306">
        <v>-333.65100000000001</v>
      </c>
      <c r="F294" s="306">
        <v>-343.548</v>
      </c>
      <c r="G294" s="281"/>
      <c r="H294" s="281"/>
      <c r="I294" s="30" t="s">
        <v>40</v>
      </c>
      <c r="J294" s="99">
        <v>1832.9960000000001</v>
      </c>
      <c r="K294" s="99">
        <v>2242.105</v>
      </c>
      <c r="L294" s="99">
        <v>2428.4119999999998</v>
      </c>
      <c r="M294" s="99">
        <v>2793.4270000000001</v>
      </c>
      <c r="N294" s="99">
        <v>2948.39</v>
      </c>
      <c r="O294" s="303"/>
      <c r="P294" s="303"/>
      <c r="Q294" s="303"/>
      <c r="R294" s="303"/>
      <c r="S294" s="51"/>
      <c r="T294" s="51"/>
      <c r="U294" s="51"/>
      <c r="V294" s="51"/>
      <c r="W294" s="51"/>
      <c r="X294" s="51"/>
      <c r="Y294" s="51"/>
      <c r="Z294" s="51"/>
    </row>
    <row r="295" spans="1:26">
      <c r="A295" s="193" t="s">
        <v>705</v>
      </c>
      <c r="B295" s="306">
        <v>-464.81799999999998</v>
      </c>
      <c r="C295" s="306">
        <v>-546.43899999999996</v>
      </c>
      <c r="D295" s="306">
        <v>-415.82900000000001</v>
      </c>
      <c r="E295" s="306">
        <v>-314.33100000000002</v>
      </c>
      <c r="F295" s="306">
        <v>-299.99700000000001</v>
      </c>
      <c r="G295" s="281"/>
      <c r="H295" s="281"/>
      <c r="I295" s="30" t="s">
        <v>711</v>
      </c>
      <c r="J295" s="99">
        <v>2479.3510000000001</v>
      </c>
      <c r="K295" s="99">
        <v>2570.018</v>
      </c>
      <c r="L295" s="99">
        <v>2343.241</v>
      </c>
      <c r="M295" s="99">
        <v>2422.0419999999999</v>
      </c>
      <c r="N295" s="99">
        <v>2135.692</v>
      </c>
      <c r="O295" s="303"/>
      <c r="P295" s="303"/>
      <c r="Q295" s="303"/>
      <c r="R295" s="303"/>
      <c r="S295" s="51"/>
      <c r="T295" s="51"/>
      <c r="U295" s="51"/>
      <c r="V295" s="51"/>
      <c r="W295" s="51"/>
      <c r="X295" s="51"/>
      <c r="Y295" s="51"/>
      <c r="Z295" s="51"/>
    </row>
    <row r="296" spans="1:26">
      <c r="A296" s="193" t="s">
        <v>872</v>
      </c>
      <c r="B296" s="306">
        <v>1868.787</v>
      </c>
      <c r="C296" s="306">
        <v>1169.9469999999999</v>
      </c>
      <c r="D296" s="306">
        <v>224.322</v>
      </c>
      <c r="E296" s="306">
        <v>1044.5450000000001</v>
      </c>
      <c r="F296" s="306">
        <v>593.95600000000002</v>
      </c>
      <c r="G296" s="281"/>
      <c r="H296" s="281"/>
      <c r="I296" s="30" t="s">
        <v>553</v>
      </c>
      <c r="J296" s="99">
        <v>46890.254999999997</v>
      </c>
      <c r="K296" s="99">
        <v>50570.186000000002</v>
      </c>
      <c r="L296" s="99">
        <v>44809.014000000003</v>
      </c>
      <c r="M296" s="99">
        <v>45279.713000000003</v>
      </c>
      <c r="N296" s="99">
        <v>44201.544999999998</v>
      </c>
      <c r="O296" s="303"/>
      <c r="P296" s="303"/>
      <c r="Q296" s="303"/>
      <c r="R296" s="303"/>
      <c r="S296" s="51"/>
      <c r="T296" s="51"/>
      <c r="U296" s="51"/>
      <c r="V296" s="51"/>
      <c r="W296" s="51"/>
      <c r="X296" s="51"/>
      <c r="Y296" s="51"/>
      <c r="Z296" s="51"/>
    </row>
    <row r="297" spans="1:26">
      <c r="A297" s="193" t="s">
        <v>18</v>
      </c>
      <c r="B297" s="306">
        <v>295.13299999999998</v>
      </c>
      <c r="C297" s="306">
        <v>209.02</v>
      </c>
      <c r="D297" s="306">
        <v>166.69399999999999</v>
      </c>
      <c r="E297" s="306">
        <v>169.03399999999999</v>
      </c>
      <c r="F297" s="306">
        <v>77.153000000000006</v>
      </c>
      <c r="G297" s="281"/>
      <c r="H297" s="281"/>
      <c r="I297" s="30" t="s">
        <v>712</v>
      </c>
      <c r="J297" s="99">
        <v>503.40699999999998</v>
      </c>
      <c r="K297" s="99">
        <v>981.24400000000003</v>
      </c>
      <c r="L297" s="99">
        <v>747.11099999999999</v>
      </c>
      <c r="M297" s="99">
        <v>484.202</v>
      </c>
      <c r="N297" s="99">
        <v>358.69799999999998</v>
      </c>
      <c r="O297" s="303"/>
      <c r="P297" s="303"/>
      <c r="Q297" s="303"/>
      <c r="R297" s="303"/>
      <c r="S297" s="51"/>
      <c r="T297" s="51"/>
      <c r="U297" s="51"/>
      <c r="V297" s="51"/>
      <c r="W297" s="51"/>
      <c r="X297" s="51"/>
      <c r="Y297" s="51"/>
      <c r="Z297" s="51"/>
    </row>
    <row r="298" spans="1:26">
      <c r="A298" s="193" t="s">
        <v>873</v>
      </c>
      <c r="B298" s="306">
        <v>1573.654</v>
      </c>
      <c r="C298" s="306">
        <v>960.92700000000002</v>
      </c>
      <c r="D298" s="306">
        <v>57.628</v>
      </c>
      <c r="E298" s="306">
        <v>875.51099999999997</v>
      </c>
      <c r="F298" s="306">
        <v>516.803</v>
      </c>
      <c r="G298" s="281"/>
      <c r="H298" s="281"/>
      <c r="I298" s="30" t="s">
        <v>50</v>
      </c>
      <c r="J298" s="99">
        <v>1075.7080000000001</v>
      </c>
      <c r="K298" s="99">
        <v>620.58500000000004</v>
      </c>
      <c r="L298" s="99">
        <v>1169.33</v>
      </c>
      <c r="M298" s="99">
        <v>78.504999999999995</v>
      </c>
      <c r="N298" s="99">
        <v>827.35699999999997</v>
      </c>
      <c r="O298" s="303"/>
      <c r="P298" s="303"/>
      <c r="Q298" s="303"/>
      <c r="R298" s="303"/>
      <c r="S298" s="51"/>
      <c r="T298" s="51"/>
      <c r="U298" s="51"/>
      <c r="V298" s="51"/>
      <c r="W298" s="51"/>
      <c r="X298" s="51"/>
      <c r="Y298" s="51"/>
      <c r="Z298" s="51"/>
    </row>
    <row r="299" spans="1:26">
      <c r="A299" s="193" t="s">
        <v>874</v>
      </c>
      <c r="B299" s="306">
        <v>70.498999999999995</v>
      </c>
      <c r="C299" s="306">
        <v>67.896000000000001</v>
      </c>
      <c r="D299" s="306">
        <v>85.685000000000002</v>
      </c>
      <c r="E299" s="306">
        <v>112.35299999999999</v>
      </c>
      <c r="F299" s="306">
        <v>88.296999999999997</v>
      </c>
      <c r="G299" s="281"/>
      <c r="H299" s="281"/>
      <c r="I299" s="30" t="s">
        <v>713</v>
      </c>
      <c r="J299" s="99">
        <v>3079.924</v>
      </c>
      <c r="K299" s="99">
        <v>2824.9789999999998</v>
      </c>
      <c r="L299" s="99">
        <v>2442.56</v>
      </c>
      <c r="M299" s="99">
        <v>2542.2559999999999</v>
      </c>
      <c r="N299" s="99">
        <v>2061.384</v>
      </c>
      <c r="O299" s="303"/>
      <c r="P299" s="303"/>
      <c r="Q299" s="303"/>
      <c r="R299" s="303"/>
      <c r="S299" s="51"/>
      <c r="T299" s="51"/>
      <c r="U299" s="51"/>
      <c r="V299" s="51"/>
      <c r="W299" s="51"/>
      <c r="X299" s="51"/>
      <c r="Y299" s="51"/>
      <c r="Z299" s="51"/>
    </row>
    <row r="300" spans="1:26">
      <c r="A300" s="193" t="s">
        <v>73</v>
      </c>
      <c r="B300" s="306">
        <v>1644.153</v>
      </c>
      <c r="C300" s="306">
        <v>1028.8230000000001</v>
      </c>
      <c r="D300" s="306">
        <v>143.31299999999999</v>
      </c>
      <c r="E300" s="306">
        <v>987.86400000000003</v>
      </c>
      <c r="F300" s="306">
        <v>605.1</v>
      </c>
      <c r="G300" s="281"/>
      <c r="H300" s="281"/>
      <c r="I300" s="30" t="s">
        <v>714</v>
      </c>
      <c r="J300" s="99">
        <v>1593.675</v>
      </c>
      <c r="K300" s="99">
        <v>3698.9209999999998</v>
      </c>
      <c r="L300" s="99">
        <v>2413.799</v>
      </c>
      <c r="M300" s="99">
        <v>1358.0509999999999</v>
      </c>
      <c r="N300" s="99">
        <v>1301.652</v>
      </c>
      <c r="O300" s="303"/>
      <c r="P300" s="303"/>
      <c r="Q300" s="303"/>
      <c r="R300" s="303"/>
      <c r="S300" s="51"/>
      <c r="T300" s="51"/>
      <c r="U300" s="51"/>
      <c r="V300" s="51"/>
      <c r="W300" s="51"/>
      <c r="X300" s="51"/>
      <c r="Y300" s="51"/>
      <c r="Z300" s="51"/>
    </row>
    <row r="301" spans="1:26">
      <c r="A301" s="193" t="s">
        <v>706</v>
      </c>
      <c r="B301" s="306">
        <v>-73.787999999999997</v>
      </c>
      <c r="C301" s="306">
        <v>-42.59</v>
      </c>
      <c r="D301" s="306">
        <v>-31.82</v>
      </c>
      <c r="E301" s="306">
        <v>-22.404</v>
      </c>
      <c r="F301" s="306">
        <v>-20.58</v>
      </c>
      <c r="G301" s="281"/>
      <c r="H301" s="281"/>
      <c r="I301" s="30" t="s">
        <v>52</v>
      </c>
      <c r="J301" s="99">
        <v>6252.7139999999999</v>
      </c>
      <c r="K301" s="99">
        <v>8125.7290000000003</v>
      </c>
      <c r="L301" s="99">
        <v>6898.6909999999998</v>
      </c>
      <c r="M301" s="99">
        <v>4463.0140000000001</v>
      </c>
      <c r="N301" s="99">
        <v>4549.0910000000003</v>
      </c>
      <c r="O301" s="303"/>
      <c r="P301" s="303"/>
      <c r="Q301" s="303"/>
      <c r="R301" s="303"/>
      <c r="S301" s="51"/>
      <c r="T301" s="51"/>
      <c r="U301" s="51"/>
      <c r="V301" s="51"/>
      <c r="W301" s="51"/>
      <c r="X301" s="51"/>
      <c r="Y301" s="51"/>
      <c r="Z301" s="51"/>
    </row>
    <row r="302" spans="1:26">
      <c r="A302" s="193" t="s">
        <v>707</v>
      </c>
      <c r="B302" s="306">
        <v>1570.365</v>
      </c>
      <c r="C302" s="306">
        <v>986.23299999999995</v>
      </c>
      <c r="D302" s="306">
        <v>111.49299999999999</v>
      </c>
      <c r="E302" s="306">
        <v>965.46</v>
      </c>
      <c r="F302" s="306">
        <v>584.52</v>
      </c>
      <c r="G302" s="281"/>
      <c r="H302" s="281"/>
      <c r="I302" s="30" t="s">
        <v>53</v>
      </c>
      <c r="J302" s="99">
        <v>15164.659</v>
      </c>
      <c r="K302" s="99">
        <v>15692.297</v>
      </c>
      <c r="L302" s="99">
        <v>12289.248</v>
      </c>
      <c r="M302" s="99">
        <v>11414.808999999999</v>
      </c>
      <c r="N302" s="99">
        <v>8466.4069999999992</v>
      </c>
      <c r="O302" s="303"/>
      <c r="P302" s="303"/>
      <c r="Q302" s="303"/>
      <c r="R302" s="303"/>
      <c r="S302" s="51"/>
      <c r="T302" s="51"/>
      <c r="U302" s="51"/>
      <c r="V302" s="51"/>
      <c r="W302" s="51"/>
      <c r="X302" s="51"/>
      <c r="Y302" s="51"/>
      <c r="Z302" s="51"/>
    </row>
    <row r="303" spans="1:26">
      <c r="A303" s="193" t="s">
        <v>875</v>
      </c>
      <c r="B303" s="306">
        <v>6.1799999999999997E-3</v>
      </c>
      <c r="C303" s="306">
        <v>3.7799999999999999E-3</v>
      </c>
      <c r="D303" s="306">
        <v>4.0999999999999999E-4</v>
      </c>
      <c r="E303" s="306">
        <v>3.3E-3</v>
      </c>
      <c r="F303" s="306">
        <v>1.9499999999999999E-3</v>
      </c>
      <c r="G303" s="281"/>
      <c r="H303" s="281"/>
      <c r="I303" s="30" t="s">
        <v>715</v>
      </c>
      <c r="J303" s="99">
        <v>623.31899999999996</v>
      </c>
      <c r="K303" s="99">
        <v>722.54</v>
      </c>
      <c r="L303" s="99">
        <v>647.97500000000002</v>
      </c>
      <c r="M303" s="99">
        <v>739.04600000000005</v>
      </c>
      <c r="N303" s="99">
        <v>750.61300000000006</v>
      </c>
      <c r="O303" s="303"/>
      <c r="P303" s="303"/>
      <c r="Q303" s="303"/>
      <c r="R303" s="303"/>
      <c r="S303" s="51"/>
      <c r="T303" s="51"/>
      <c r="U303" s="51"/>
      <c r="V303" s="51"/>
      <c r="W303" s="51"/>
      <c r="X303" s="51"/>
      <c r="Y303" s="51"/>
      <c r="Z303" s="51"/>
    </row>
    <row r="304" spans="1:26">
      <c r="A304" s="193" t="s">
        <v>876</v>
      </c>
      <c r="B304" s="306">
        <v>6.1600000000000014E-3</v>
      </c>
      <c r="C304" s="306">
        <v>3.7699999999999999E-3</v>
      </c>
      <c r="D304" s="306">
        <v>4.0000000000000002E-4</v>
      </c>
      <c r="E304" s="306">
        <v>3.29E-3</v>
      </c>
      <c r="F304" s="306">
        <v>1.9499999999999999E-3</v>
      </c>
      <c r="G304" s="281"/>
      <c r="H304" s="281"/>
      <c r="I304" s="30" t="s">
        <v>558</v>
      </c>
      <c r="J304" s="99">
        <v>23873.687999999998</v>
      </c>
      <c r="K304" s="99">
        <v>26782.670999999998</v>
      </c>
      <c r="L304" s="99">
        <v>22268.804</v>
      </c>
      <c r="M304" s="99">
        <v>19410.295999999998</v>
      </c>
      <c r="N304" s="99">
        <v>16714.501</v>
      </c>
      <c r="O304" s="303"/>
      <c r="P304" s="303"/>
      <c r="Q304" s="303"/>
      <c r="R304" s="303"/>
      <c r="S304" s="51"/>
      <c r="T304" s="51"/>
      <c r="U304" s="51"/>
      <c r="V304" s="51"/>
      <c r="W304" s="51"/>
      <c r="X304" s="51"/>
      <c r="Y304" s="51"/>
      <c r="Z304" s="51"/>
    </row>
    <row r="305" spans="1:26">
      <c r="A305" s="281"/>
      <c r="B305" s="281"/>
      <c r="C305" s="281"/>
      <c r="D305" s="281"/>
      <c r="E305" s="281"/>
      <c r="F305" s="281"/>
      <c r="G305" s="281"/>
      <c r="H305" s="281"/>
      <c r="I305" s="30" t="s">
        <v>717</v>
      </c>
      <c r="J305" s="99">
        <v>18118.941999999999</v>
      </c>
      <c r="K305" s="99">
        <v>19800.953000000001</v>
      </c>
      <c r="L305" s="99">
        <v>19978.095000000001</v>
      </c>
      <c r="M305" s="99">
        <v>22880.260999999999</v>
      </c>
      <c r="N305" s="99">
        <v>24963.769</v>
      </c>
      <c r="O305" s="303"/>
      <c r="P305" s="303"/>
      <c r="Q305" s="303"/>
      <c r="R305" s="303"/>
      <c r="S305" s="51"/>
      <c r="T305" s="51"/>
      <c r="U305" s="51"/>
      <c r="V305" s="51"/>
      <c r="W305" s="51"/>
      <c r="X305" s="51"/>
      <c r="Y305" s="51"/>
      <c r="Z305" s="51"/>
    </row>
    <row r="306" spans="1:26">
      <c r="A306" s="202" t="s">
        <v>1425</v>
      </c>
      <c r="B306" s="281"/>
      <c r="C306" s="281"/>
      <c r="D306" s="281"/>
      <c r="E306" s="281"/>
      <c r="F306" s="281"/>
      <c r="G306" s="281"/>
      <c r="H306" s="281"/>
      <c r="I306" s="30" t="s">
        <v>61</v>
      </c>
      <c r="J306" s="99">
        <v>4774.7359999999999</v>
      </c>
      <c r="K306" s="99">
        <v>3457.1819999999998</v>
      </c>
      <c r="L306" s="99">
        <v>2731.38</v>
      </c>
      <c r="M306" s="99">
        <v>2982.1219999999998</v>
      </c>
      <c r="N306" s="99">
        <v>2570.8739999999998</v>
      </c>
      <c r="O306" s="303"/>
      <c r="P306" s="303"/>
      <c r="Q306" s="303"/>
      <c r="R306" s="303"/>
      <c r="S306" s="51"/>
      <c r="T306" s="51"/>
      <c r="U306" s="51"/>
      <c r="V306" s="51"/>
      <c r="W306" s="51"/>
      <c r="X306" s="51"/>
      <c r="Y306" s="51"/>
      <c r="Z306" s="51"/>
    </row>
    <row r="307" spans="1:26">
      <c r="A307" s="281"/>
      <c r="B307" s="281"/>
      <c r="C307" s="281"/>
      <c r="D307" s="281"/>
      <c r="E307" s="281"/>
      <c r="F307" s="281"/>
      <c r="G307" s="281"/>
      <c r="H307" s="281"/>
      <c r="I307" s="30" t="s">
        <v>691</v>
      </c>
      <c r="J307" s="99">
        <v>-612.99199999999996</v>
      </c>
      <c r="K307" s="99">
        <v>-258.92500000000001</v>
      </c>
      <c r="L307" s="99">
        <v>-405.96899999999999</v>
      </c>
      <c r="M307" s="99">
        <v>-234.18199999999999</v>
      </c>
      <c r="N307" s="99">
        <v>-202.273</v>
      </c>
      <c r="O307" s="303"/>
      <c r="P307" s="303"/>
      <c r="Q307" s="303"/>
      <c r="R307" s="303"/>
      <c r="S307" s="51"/>
      <c r="T307" s="51"/>
      <c r="U307" s="51"/>
      <c r="V307" s="51"/>
      <c r="W307" s="51"/>
      <c r="X307" s="51"/>
      <c r="Y307" s="51"/>
      <c r="Z307" s="51"/>
    </row>
    <row r="308" spans="1:26">
      <c r="A308" s="281"/>
      <c r="B308" s="281"/>
      <c r="C308" s="281"/>
      <c r="D308" s="281"/>
      <c r="E308" s="281"/>
      <c r="F308" s="281"/>
      <c r="G308" s="281"/>
      <c r="H308" s="281"/>
      <c r="I308" s="30" t="s">
        <v>718</v>
      </c>
      <c r="J308" s="99">
        <v>22280.686000000002</v>
      </c>
      <c r="K308" s="99">
        <v>22999.21</v>
      </c>
      <c r="L308" s="99">
        <v>22303.506000000001</v>
      </c>
      <c r="M308" s="99">
        <v>25628.201000000001</v>
      </c>
      <c r="N308" s="99">
        <v>27332.37</v>
      </c>
      <c r="O308" s="303"/>
      <c r="P308" s="303"/>
      <c r="Q308" s="303"/>
      <c r="R308" s="303"/>
      <c r="S308" s="51"/>
      <c r="T308" s="51"/>
      <c r="U308" s="51"/>
      <c r="V308" s="51"/>
      <c r="W308" s="51"/>
      <c r="X308" s="51"/>
      <c r="Y308" s="51"/>
      <c r="Z308" s="51"/>
    </row>
    <row r="309" spans="1:26">
      <c r="A309" s="281"/>
      <c r="B309" s="281"/>
      <c r="C309" s="281"/>
      <c r="D309" s="281"/>
      <c r="E309" s="281"/>
      <c r="F309" s="281"/>
      <c r="G309" s="281"/>
      <c r="H309" s="281"/>
      <c r="I309" s="30" t="s">
        <v>742</v>
      </c>
      <c r="J309" s="99">
        <v>0</v>
      </c>
      <c r="K309" s="99">
        <v>0</v>
      </c>
      <c r="L309" s="99">
        <v>0</v>
      </c>
      <c r="M309" s="99">
        <v>241.21600000000001</v>
      </c>
      <c r="N309" s="99">
        <v>154.67400000000001</v>
      </c>
      <c r="O309" s="303"/>
      <c r="P309" s="303"/>
      <c r="Q309" s="303"/>
      <c r="R309" s="303"/>
      <c r="S309" s="51"/>
      <c r="T309" s="51"/>
      <c r="U309" s="51"/>
      <c r="V309" s="51"/>
      <c r="W309" s="51"/>
      <c r="X309" s="51"/>
      <c r="Y309" s="51"/>
      <c r="Z309" s="51"/>
    </row>
    <row r="310" spans="1:26">
      <c r="A310" s="281"/>
      <c r="B310" s="281"/>
      <c r="C310" s="281"/>
      <c r="D310" s="281"/>
      <c r="E310" s="281"/>
      <c r="F310" s="281"/>
      <c r="G310" s="281"/>
      <c r="H310" s="281"/>
      <c r="I310" s="30" t="s">
        <v>566</v>
      </c>
      <c r="J310" s="99">
        <v>22855.944</v>
      </c>
      <c r="K310" s="99">
        <v>23279.55</v>
      </c>
      <c r="L310" s="99">
        <v>22540.21</v>
      </c>
      <c r="M310" s="99">
        <v>25869.417000000001</v>
      </c>
      <c r="N310" s="99">
        <v>27487.044000000002</v>
      </c>
      <c r="O310" s="303"/>
      <c r="P310" s="303"/>
      <c r="Q310" s="303"/>
      <c r="R310" s="303"/>
      <c r="S310" s="51"/>
      <c r="T310" s="51"/>
      <c r="U310" s="51"/>
      <c r="V310" s="51"/>
      <c r="W310" s="51"/>
      <c r="X310" s="51"/>
      <c r="Y310" s="51"/>
      <c r="Z310" s="51"/>
    </row>
    <row r="311" spans="1:26">
      <c r="A311" s="281"/>
      <c r="B311" s="281"/>
      <c r="C311" s="281"/>
      <c r="D311" s="281"/>
      <c r="E311" s="281"/>
      <c r="F311" s="281"/>
      <c r="G311" s="281"/>
      <c r="H311" s="281"/>
      <c r="I311" s="30" t="s">
        <v>744</v>
      </c>
      <c r="J311" s="99">
        <v>0</v>
      </c>
      <c r="K311" s="99">
        <v>6.4509999999999996</v>
      </c>
      <c r="L311" s="99">
        <v>138.815</v>
      </c>
      <c r="M311" s="99">
        <v>0</v>
      </c>
      <c r="N311" s="99">
        <v>0</v>
      </c>
      <c r="O311" s="303"/>
      <c r="P311" s="303"/>
      <c r="Q311" s="303"/>
      <c r="R311" s="303"/>
      <c r="S311" s="51"/>
      <c r="T311" s="51"/>
      <c r="U311" s="51"/>
      <c r="V311" s="51"/>
      <c r="W311" s="51"/>
      <c r="X311" s="51"/>
      <c r="Y311" s="51"/>
      <c r="Z311" s="51"/>
    </row>
    <row r="312" spans="1:26">
      <c r="A312" s="281"/>
      <c r="B312" s="281"/>
      <c r="C312" s="281"/>
      <c r="D312" s="281"/>
      <c r="E312" s="281"/>
      <c r="F312" s="281"/>
      <c r="G312" s="281"/>
      <c r="H312" s="281"/>
      <c r="I312" s="30" t="s">
        <v>745</v>
      </c>
      <c r="J312" s="99">
        <v>0</v>
      </c>
      <c r="K312" s="99">
        <v>0.32700000000000001</v>
      </c>
      <c r="L312" s="99">
        <v>1295.799</v>
      </c>
      <c r="M312" s="99">
        <v>0</v>
      </c>
      <c r="N312" s="99">
        <v>0</v>
      </c>
      <c r="O312" s="303"/>
      <c r="P312" s="303"/>
      <c r="Q312" s="303"/>
      <c r="R312" s="303"/>
      <c r="S312" s="51"/>
      <c r="T312" s="51"/>
      <c r="U312" s="51"/>
      <c r="V312" s="51"/>
      <c r="W312" s="51"/>
      <c r="X312" s="51"/>
      <c r="Y312" s="51"/>
      <c r="Z312" s="51"/>
    </row>
    <row r="313" spans="1:26">
      <c r="A313" s="281"/>
      <c r="B313" s="281"/>
      <c r="C313" s="281"/>
      <c r="D313" s="281"/>
      <c r="E313" s="281"/>
      <c r="F313" s="281"/>
      <c r="G313" s="281"/>
      <c r="H313" s="281"/>
      <c r="I313" s="30" t="s">
        <v>710</v>
      </c>
      <c r="J313" s="99">
        <v>772.29700000000003</v>
      </c>
      <c r="K313" s="99">
        <v>713.12300000000005</v>
      </c>
      <c r="L313" s="99">
        <v>0</v>
      </c>
      <c r="M313" s="99">
        <v>0</v>
      </c>
      <c r="N313" s="99">
        <v>0</v>
      </c>
      <c r="O313" s="303"/>
      <c r="P313" s="303"/>
      <c r="Q313" s="303"/>
      <c r="R313" s="303"/>
      <c r="S313" s="51"/>
      <c r="T313" s="51"/>
      <c r="U313" s="51"/>
      <c r="V313" s="51"/>
      <c r="W313" s="51"/>
      <c r="X313" s="51"/>
      <c r="Y313" s="51"/>
      <c r="Z313" s="51"/>
    </row>
    <row r="314" spans="1:26">
      <c r="A314" s="281"/>
      <c r="B314" s="281"/>
      <c r="C314" s="281"/>
      <c r="D314" s="281"/>
      <c r="E314" s="281"/>
      <c r="F314" s="281"/>
      <c r="G314" s="281"/>
      <c r="H314" s="281"/>
      <c r="I314" s="30" t="s">
        <v>746</v>
      </c>
      <c r="J314" s="99">
        <v>0</v>
      </c>
      <c r="K314" s="99">
        <v>1.341</v>
      </c>
      <c r="L314" s="99">
        <v>125.89100000000001</v>
      </c>
      <c r="M314" s="99">
        <v>0</v>
      </c>
      <c r="N314" s="99">
        <v>0</v>
      </c>
      <c r="O314" s="303"/>
      <c r="P314" s="303"/>
      <c r="Q314" s="303"/>
      <c r="R314" s="303"/>
      <c r="S314" s="51"/>
      <c r="T314" s="51"/>
      <c r="U314" s="51"/>
      <c r="V314" s="51"/>
      <c r="W314" s="51"/>
      <c r="X314" s="51"/>
      <c r="Y314" s="51"/>
      <c r="Z314" s="51"/>
    </row>
    <row r="315" spans="1:26">
      <c r="A315" s="281"/>
      <c r="B315" s="281"/>
      <c r="C315" s="281"/>
      <c r="D315" s="281"/>
      <c r="E315" s="281"/>
      <c r="F315" s="281"/>
      <c r="G315" s="281"/>
      <c r="H315" s="281"/>
      <c r="I315" s="30" t="s">
        <v>747</v>
      </c>
      <c r="J315" s="99">
        <v>0</v>
      </c>
      <c r="K315" s="99">
        <v>0</v>
      </c>
      <c r="L315" s="99">
        <v>4.4779999999999998</v>
      </c>
      <c r="M315" s="99">
        <v>0</v>
      </c>
      <c r="N315" s="99">
        <v>0</v>
      </c>
      <c r="O315" s="303"/>
      <c r="P315" s="303"/>
      <c r="Q315" s="303"/>
      <c r="R315" s="303"/>
      <c r="S315" s="51"/>
      <c r="T315" s="51"/>
      <c r="U315" s="51"/>
      <c r="V315" s="51"/>
      <c r="W315" s="51"/>
      <c r="X315" s="51"/>
      <c r="Y315" s="51"/>
      <c r="Z315" s="51"/>
    </row>
    <row r="316" spans="1:26">
      <c r="A316" s="281"/>
      <c r="B316" s="281"/>
      <c r="C316" s="281"/>
      <c r="D316" s="281"/>
      <c r="E316" s="281"/>
      <c r="F316" s="281"/>
      <c r="G316" s="281"/>
      <c r="H316" s="281"/>
      <c r="I316" s="30" t="s">
        <v>716</v>
      </c>
      <c r="J316" s="99">
        <v>160.62299999999999</v>
      </c>
      <c r="K316" s="99">
        <v>507.96499999999997</v>
      </c>
      <c r="L316" s="99">
        <v>0</v>
      </c>
      <c r="M316" s="99">
        <v>0</v>
      </c>
      <c r="N316" s="99">
        <v>0</v>
      </c>
      <c r="O316" s="303"/>
      <c r="P316" s="303"/>
      <c r="Q316" s="303"/>
      <c r="R316" s="303"/>
      <c r="S316" s="51"/>
      <c r="T316" s="51"/>
      <c r="U316" s="51"/>
      <c r="V316" s="51"/>
      <c r="W316" s="51"/>
      <c r="X316" s="51"/>
      <c r="Y316" s="51"/>
      <c r="Z316" s="51"/>
    </row>
    <row r="317" spans="1:26">
      <c r="A317" s="281"/>
      <c r="B317" s="281"/>
      <c r="C317" s="281"/>
      <c r="D317" s="281"/>
      <c r="E317" s="281"/>
      <c r="F317" s="281"/>
      <c r="G317" s="281"/>
      <c r="H317" s="281"/>
      <c r="I317" s="30" t="s">
        <v>719</v>
      </c>
      <c r="J317" s="99">
        <v>575.25800000000004</v>
      </c>
      <c r="K317" s="99">
        <v>280.33999999999997</v>
      </c>
      <c r="L317" s="99">
        <v>236.70400000000001</v>
      </c>
      <c r="M317" s="99">
        <v>0</v>
      </c>
      <c r="N317" s="99">
        <v>0</v>
      </c>
      <c r="O317" s="303"/>
      <c r="P317" s="303"/>
      <c r="Q317" s="303"/>
      <c r="R317" s="303"/>
      <c r="S317" s="51"/>
      <c r="T317" s="51"/>
      <c r="U317" s="51"/>
      <c r="V317" s="51"/>
      <c r="W317" s="51"/>
      <c r="X317" s="51"/>
      <c r="Y317" s="51"/>
      <c r="Z317" s="51"/>
    </row>
    <row r="318" spans="1:26">
      <c r="A318" s="281"/>
      <c r="B318" s="281"/>
      <c r="C318" s="281"/>
      <c r="D318" s="281"/>
      <c r="E318" s="281"/>
      <c r="F318" s="281"/>
      <c r="G318" s="281"/>
      <c r="H318" s="281"/>
      <c r="I318" s="193" t="s">
        <v>720</v>
      </c>
      <c r="J318" s="306">
        <v>46890.254999999997</v>
      </c>
      <c r="K318" s="306">
        <v>50570.186000000002</v>
      </c>
      <c r="L318" s="306">
        <v>44809.014000000003</v>
      </c>
      <c r="M318" s="306">
        <v>0</v>
      </c>
      <c r="N318" s="306">
        <v>0</v>
      </c>
      <c r="O318" s="303"/>
      <c r="P318" s="303"/>
      <c r="Q318" s="303"/>
      <c r="R318" s="303"/>
      <c r="S318" s="51"/>
      <c r="T318" s="51"/>
      <c r="U318" s="51"/>
      <c r="V318" s="51"/>
      <c r="W318" s="51"/>
      <c r="X318" s="51"/>
      <c r="Y318" s="51"/>
      <c r="Z318" s="51"/>
    </row>
    <row r="319" spans="1:26">
      <c r="A319" s="302"/>
      <c r="B319" s="302"/>
      <c r="C319" s="302"/>
      <c r="D319" s="302"/>
      <c r="E319" s="302"/>
      <c r="F319" s="302"/>
      <c r="G319" s="302"/>
      <c r="H319" s="302"/>
      <c r="I319" s="302"/>
      <c r="J319" s="302"/>
      <c r="K319" s="302"/>
      <c r="L319" s="302"/>
      <c r="M319" s="302"/>
      <c r="N319" s="302"/>
      <c r="O319" s="303"/>
      <c r="P319" s="303"/>
      <c r="Q319" s="303"/>
      <c r="R319" s="303"/>
      <c r="S319" s="51"/>
      <c r="T319" s="51"/>
      <c r="U319" s="51"/>
      <c r="V319" s="51"/>
      <c r="W319" s="51"/>
      <c r="X319" s="51"/>
      <c r="Y319" s="51"/>
      <c r="Z319" s="51"/>
    </row>
    <row r="320" spans="1:26">
      <c r="A320" s="302"/>
      <c r="B320" s="302"/>
      <c r="C320" s="302"/>
      <c r="D320" s="302"/>
      <c r="E320" s="302"/>
      <c r="F320" s="302"/>
      <c r="G320" s="302"/>
      <c r="H320" s="302"/>
      <c r="I320" s="202" t="s">
        <v>1425</v>
      </c>
      <c r="J320" s="302"/>
      <c r="K320" s="302"/>
      <c r="L320" s="302"/>
      <c r="M320" s="302"/>
      <c r="N320" s="302"/>
      <c r="O320" s="303"/>
      <c r="P320" s="303"/>
      <c r="Q320" s="303"/>
      <c r="R320" s="303"/>
      <c r="S320" s="51"/>
      <c r="T320" s="51"/>
      <c r="U320" s="51"/>
      <c r="V320" s="51"/>
      <c r="W320" s="51"/>
      <c r="X320" s="51"/>
      <c r="Y320" s="51"/>
      <c r="Z320" s="51"/>
    </row>
    <row r="321" spans="1:26">
      <c r="A321" s="302"/>
      <c r="B321" s="302"/>
      <c r="C321" s="302"/>
      <c r="D321" s="302"/>
      <c r="E321" s="302"/>
      <c r="F321" s="302"/>
      <c r="G321" s="302"/>
      <c r="H321" s="302"/>
      <c r="I321" s="302"/>
      <c r="J321" s="302"/>
      <c r="K321" s="302"/>
      <c r="L321" s="302"/>
      <c r="M321" s="302"/>
      <c r="N321" s="302"/>
      <c r="O321" s="303"/>
      <c r="P321" s="303"/>
      <c r="Q321" s="303"/>
      <c r="R321" s="303"/>
      <c r="S321" s="51"/>
      <c r="T321" s="51"/>
      <c r="U321" s="51"/>
      <c r="V321" s="51"/>
      <c r="W321" s="51"/>
      <c r="X321" s="51"/>
      <c r="Y321" s="51"/>
      <c r="Z321" s="51"/>
    </row>
    <row r="322" spans="1:26">
      <c r="A322" s="302"/>
      <c r="B322" s="302"/>
      <c r="C322" s="302"/>
      <c r="D322" s="302"/>
      <c r="E322" s="302"/>
      <c r="F322" s="302"/>
      <c r="G322" s="302"/>
      <c r="H322" s="302"/>
      <c r="I322" s="302"/>
      <c r="J322" s="302"/>
      <c r="K322" s="302"/>
      <c r="L322" s="302"/>
      <c r="M322" s="302"/>
      <c r="N322" s="302"/>
      <c r="O322" s="303"/>
      <c r="P322" s="303"/>
      <c r="Q322" s="303"/>
      <c r="R322" s="303"/>
      <c r="S322" s="51"/>
      <c r="T322" s="51"/>
      <c r="U322" s="51"/>
      <c r="V322" s="51"/>
      <c r="W322" s="51"/>
      <c r="X322" s="51"/>
      <c r="Y322" s="51"/>
      <c r="Z322" s="51"/>
    </row>
    <row r="323" spans="1:26">
      <c r="A323" s="302"/>
      <c r="B323" s="302"/>
      <c r="C323" s="302"/>
      <c r="D323" s="302"/>
      <c r="E323" s="302"/>
      <c r="F323" s="302"/>
      <c r="G323" s="302"/>
      <c r="H323" s="302"/>
      <c r="I323" s="302"/>
      <c r="J323" s="302"/>
      <c r="K323" s="302"/>
      <c r="L323" s="302"/>
      <c r="M323" s="302"/>
      <c r="N323" s="302"/>
      <c r="O323" s="303"/>
      <c r="P323" s="303"/>
      <c r="Q323" s="303"/>
      <c r="R323" s="303"/>
      <c r="S323" s="51"/>
      <c r="T323" s="51"/>
      <c r="U323" s="51"/>
      <c r="V323" s="51"/>
      <c r="W323" s="51"/>
      <c r="X323" s="51"/>
      <c r="Y323" s="51"/>
      <c r="Z323" s="51"/>
    </row>
    <row r="324" spans="1:26">
      <c r="A324" s="302"/>
      <c r="B324" s="302"/>
      <c r="C324" s="302"/>
      <c r="D324" s="302"/>
      <c r="E324" s="302"/>
      <c r="F324" s="302"/>
      <c r="G324" s="302"/>
      <c r="H324" s="302"/>
      <c r="I324" s="302"/>
      <c r="J324" s="302"/>
      <c r="K324" s="302"/>
      <c r="L324" s="302"/>
      <c r="M324" s="302"/>
      <c r="N324" s="302"/>
      <c r="O324" s="303"/>
      <c r="P324" s="303"/>
      <c r="Q324" s="303"/>
      <c r="R324" s="303"/>
      <c r="S324" s="51"/>
      <c r="T324" s="51"/>
      <c r="U324" s="51"/>
      <c r="V324" s="51"/>
      <c r="W324" s="51"/>
      <c r="X324" s="51"/>
      <c r="Y324" s="51"/>
      <c r="Z324" s="51"/>
    </row>
    <row r="325" spans="1:26">
      <c r="A325" s="302"/>
      <c r="B325" s="302"/>
      <c r="C325" s="302"/>
      <c r="D325" s="302"/>
      <c r="E325" s="302"/>
      <c r="F325" s="302"/>
      <c r="G325" s="302"/>
      <c r="H325" s="302"/>
      <c r="I325" s="302"/>
      <c r="J325" s="302"/>
      <c r="K325" s="302"/>
      <c r="L325" s="302"/>
      <c r="M325" s="302"/>
      <c r="N325" s="302"/>
      <c r="O325" s="303"/>
      <c r="P325" s="303"/>
      <c r="Q325" s="303"/>
      <c r="R325" s="303"/>
      <c r="S325" s="51"/>
      <c r="T325" s="51"/>
      <c r="U325" s="51"/>
      <c r="V325" s="51"/>
      <c r="W325" s="51"/>
      <c r="X325" s="51"/>
      <c r="Y325" s="51"/>
      <c r="Z325" s="51"/>
    </row>
    <row r="326" spans="1:26">
      <c r="A326" s="303"/>
      <c r="B326" s="303"/>
      <c r="C326" s="303"/>
      <c r="D326" s="303"/>
      <c r="E326" s="303"/>
      <c r="F326" s="303"/>
      <c r="G326" s="303"/>
      <c r="H326" s="303"/>
      <c r="I326" s="303"/>
      <c r="J326" s="303"/>
      <c r="K326" s="303"/>
      <c r="L326" s="303"/>
      <c r="M326" s="303"/>
      <c r="N326" s="303"/>
      <c r="O326" s="303"/>
      <c r="P326" s="303"/>
      <c r="Q326" s="303"/>
      <c r="R326" s="303"/>
      <c r="S326" s="51"/>
      <c r="T326" s="51"/>
      <c r="U326" s="51"/>
      <c r="V326" s="51"/>
      <c r="W326" s="51"/>
      <c r="X326" s="51"/>
      <c r="Y326" s="51"/>
      <c r="Z326" s="51"/>
    </row>
    <row r="327" spans="1:26">
      <c r="A327" s="304"/>
      <c r="B327" s="304"/>
      <c r="C327" s="304"/>
      <c r="D327" s="304"/>
      <c r="E327" s="304"/>
      <c r="F327" s="304"/>
      <c r="G327" s="304"/>
      <c r="H327" s="304"/>
      <c r="I327" s="304"/>
      <c r="J327" s="304"/>
      <c r="K327" s="304"/>
      <c r="L327" s="304"/>
      <c r="M327" s="304"/>
      <c r="N327" s="304"/>
      <c r="O327" s="304"/>
      <c r="P327" s="304"/>
      <c r="Q327" s="304"/>
      <c r="R327" s="304"/>
      <c r="S327" s="51"/>
      <c r="T327" s="51"/>
      <c r="U327" s="51"/>
      <c r="V327" s="51"/>
      <c r="W327" s="51"/>
      <c r="X327" s="51"/>
      <c r="Y327" s="51"/>
      <c r="Z327" s="51"/>
    </row>
    <row r="328" spans="1:26">
      <c r="A328" s="304"/>
      <c r="B328" s="304"/>
      <c r="C328" s="304"/>
      <c r="D328" s="304"/>
      <c r="E328" s="304"/>
      <c r="F328" s="304"/>
      <c r="G328" s="304"/>
      <c r="H328" s="304"/>
      <c r="I328" s="304"/>
      <c r="J328" s="304"/>
      <c r="K328" s="304"/>
      <c r="L328" s="304"/>
      <c r="M328" s="304"/>
      <c r="N328" s="304"/>
      <c r="O328" s="304"/>
      <c r="P328" s="304"/>
      <c r="Q328" s="304"/>
      <c r="R328" s="304"/>
      <c r="S328" s="51"/>
      <c r="T328" s="51"/>
      <c r="U328" s="51"/>
      <c r="V328" s="51"/>
      <c r="W328" s="51"/>
      <c r="X328" s="51"/>
      <c r="Y328" s="51"/>
      <c r="Z328" s="51"/>
    </row>
    <row r="329" spans="1:26">
      <c r="A329" s="194"/>
      <c r="B329" s="194"/>
      <c r="C329" s="194"/>
      <c r="D329" s="194"/>
      <c r="E329" s="194"/>
      <c r="F329" s="194"/>
      <c r="G329" s="194"/>
      <c r="H329" s="194"/>
      <c r="I329" s="194"/>
      <c r="J329" s="194"/>
      <c r="K329" s="194"/>
      <c r="L329" s="194"/>
      <c r="M329" s="194"/>
      <c r="N329" s="194"/>
      <c r="O329" s="194"/>
      <c r="P329" s="194"/>
      <c r="Q329" s="194"/>
      <c r="R329" s="194"/>
      <c r="S329" s="51"/>
      <c r="T329" s="51"/>
      <c r="U329" s="51"/>
      <c r="V329" s="51"/>
      <c r="W329" s="51"/>
      <c r="X329" s="51"/>
      <c r="Y329" s="51"/>
      <c r="Z329" s="51"/>
    </row>
    <row r="330" spans="1:26">
      <c r="A330" s="194"/>
      <c r="B330" s="194"/>
      <c r="C330" s="194"/>
      <c r="D330" s="194"/>
      <c r="E330" s="194"/>
      <c r="F330" s="194"/>
      <c r="G330" s="194"/>
      <c r="H330" s="194"/>
      <c r="I330" s="194"/>
      <c r="J330" s="194"/>
      <c r="K330" s="194"/>
      <c r="L330" s="194"/>
      <c r="M330" s="194"/>
      <c r="N330" s="194"/>
      <c r="O330" s="194"/>
      <c r="P330" s="194"/>
      <c r="Q330" s="194"/>
      <c r="R330" s="194"/>
      <c r="S330" s="51"/>
      <c r="T330" s="51"/>
      <c r="U330" s="51"/>
      <c r="V330" s="51"/>
      <c r="W330" s="51"/>
      <c r="X330" s="51"/>
      <c r="Y330" s="51"/>
      <c r="Z330" s="51"/>
    </row>
    <row r="331" spans="1:26">
      <c r="A331" s="194"/>
      <c r="B331" s="194"/>
      <c r="C331" s="194"/>
      <c r="D331" s="194"/>
      <c r="E331" s="194"/>
      <c r="F331" s="194"/>
      <c r="G331" s="194"/>
      <c r="H331" s="194"/>
      <c r="I331" s="194"/>
      <c r="J331" s="194"/>
      <c r="K331" s="194"/>
      <c r="L331" s="194"/>
      <c r="M331" s="194"/>
      <c r="N331" s="194"/>
      <c r="O331" s="194"/>
      <c r="P331" s="194"/>
      <c r="Q331" s="194"/>
      <c r="R331" s="194"/>
      <c r="S331" s="51"/>
      <c r="T331" s="51"/>
      <c r="U331" s="51"/>
      <c r="V331" s="51"/>
      <c r="W331" s="51"/>
      <c r="X331" s="51"/>
      <c r="Y331" s="51"/>
      <c r="Z331" s="51"/>
    </row>
    <row r="332" spans="1:26">
      <c r="A332" s="194"/>
      <c r="B332" s="194"/>
      <c r="C332" s="194"/>
      <c r="D332" s="194"/>
      <c r="E332" s="194"/>
      <c r="F332" s="194"/>
      <c r="G332" s="194"/>
      <c r="H332" s="194"/>
      <c r="I332" s="194"/>
      <c r="J332" s="194"/>
      <c r="K332" s="194"/>
      <c r="L332" s="194"/>
      <c r="M332" s="194"/>
      <c r="N332" s="194"/>
      <c r="O332" s="194"/>
      <c r="P332" s="194"/>
      <c r="Q332" s="194"/>
      <c r="R332" s="194"/>
      <c r="S332" s="51"/>
      <c r="T332" s="51"/>
      <c r="U332" s="51"/>
      <c r="V332" s="51"/>
      <c r="W332" s="51"/>
      <c r="X332" s="51"/>
      <c r="Y332" s="51"/>
      <c r="Z332" s="51"/>
    </row>
    <row r="333" spans="1:26">
      <c r="A333" s="194"/>
      <c r="B333" s="194"/>
      <c r="C333" s="194"/>
      <c r="D333" s="194"/>
      <c r="E333" s="194"/>
      <c r="F333" s="194"/>
      <c r="G333" s="194"/>
      <c r="H333" s="194"/>
      <c r="I333" s="194"/>
      <c r="J333" s="194"/>
      <c r="K333" s="194"/>
      <c r="L333" s="194"/>
      <c r="M333" s="194"/>
      <c r="N333" s="194"/>
      <c r="O333" s="194"/>
      <c r="P333" s="194"/>
      <c r="Q333" s="194"/>
      <c r="R333" s="194"/>
      <c r="S333" s="51"/>
      <c r="T333" s="51"/>
      <c r="U333" s="51"/>
      <c r="V333" s="51"/>
      <c r="W333" s="51"/>
      <c r="X333" s="51"/>
      <c r="Y333" s="51"/>
      <c r="Z333" s="51"/>
    </row>
    <row r="334" spans="1:26">
      <c r="A334" s="194"/>
      <c r="B334" s="194"/>
      <c r="C334" s="194"/>
      <c r="D334" s="194"/>
      <c r="E334" s="194"/>
      <c r="F334" s="194"/>
      <c r="G334" s="194"/>
      <c r="H334" s="194"/>
      <c r="I334" s="194"/>
      <c r="J334" s="194"/>
      <c r="K334" s="194"/>
      <c r="L334" s="194"/>
      <c r="M334" s="194"/>
      <c r="N334" s="194"/>
      <c r="O334" s="194"/>
      <c r="P334" s="194"/>
      <c r="Q334" s="194"/>
      <c r="R334" s="194"/>
      <c r="S334" s="51"/>
      <c r="T334" s="51"/>
      <c r="U334" s="51"/>
      <c r="V334" s="51"/>
      <c r="W334" s="51"/>
      <c r="X334" s="51"/>
      <c r="Y334" s="51"/>
      <c r="Z334" s="51"/>
    </row>
    <row r="335" spans="1:26">
      <c r="A335" s="194"/>
      <c r="B335" s="194"/>
      <c r="C335" s="194"/>
      <c r="D335" s="194"/>
      <c r="E335" s="194"/>
      <c r="F335" s="194"/>
      <c r="G335" s="194"/>
      <c r="H335" s="194"/>
      <c r="I335" s="194"/>
      <c r="J335" s="194"/>
      <c r="K335" s="194"/>
      <c r="L335" s="194"/>
      <c r="M335" s="194"/>
      <c r="N335" s="194"/>
      <c r="O335" s="194"/>
      <c r="P335" s="194"/>
      <c r="Q335" s="194"/>
      <c r="R335" s="194"/>
      <c r="S335" s="51"/>
      <c r="T335" s="51"/>
      <c r="U335" s="51"/>
      <c r="V335" s="51"/>
      <c r="W335" s="51"/>
      <c r="X335" s="51"/>
      <c r="Y335" s="51"/>
      <c r="Z335" s="51"/>
    </row>
    <row r="336" spans="1:26">
      <c r="A336" s="194"/>
      <c r="B336" s="194"/>
      <c r="C336" s="194"/>
      <c r="D336" s="194"/>
      <c r="E336" s="194"/>
      <c r="F336" s="194"/>
      <c r="G336" s="194"/>
      <c r="H336" s="194"/>
      <c r="I336" s="194"/>
      <c r="J336" s="194"/>
      <c r="K336" s="194"/>
      <c r="L336" s="194"/>
      <c r="M336" s="194"/>
      <c r="N336" s="194"/>
      <c r="O336" s="194"/>
      <c r="P336" s="194"/>
      <c r="Q336" s="194"/>
      <c r="R336" s="194"/>
      <c r="S336" s="51"/>
      <c r="T336" s="51"/>
      <c r="U336" s="51"/>
      <c r="V336" s="51"/>
      <c r="W336" s="51"/>
      <c r="X336" s="51"/>
      <c r="Y336" s="51"/>
      <c r="Z336" s="51"/>
    </row>
    <row r="337" spans="1:26">
      <c r="A337" s="194"/>
      <c r="B337" s="194"/>
      <c r="C337" s="194"/>
      <c r="D337" s="194"/>
      <c r="E337" s="194"/>
      <c r="F337" s="194"/>
      <c r="G337" s="194"/>
      <c r="H337" s="194"/>
      <c r="I337" s="194"/>
      <c r="J337" s="194"/>
      <c r="K337" s="194"/>
      <c r="L337" s="194"/>
      <c r="M337" s="194"/>
      <c r="N337" s="194"/>
      <c r="O337" s="194"/>
      <c r="P337" s="194"/>
      <c r="Q337" s="194"/>
      <c r="R337" s="194"/>
      <c r="S337" s="51"/>
      <c r="T337" s="51"/>
      <c r="U337" s="51"/>
      <c r="V337" s="51"/>
      <c r="W337" s="51"/>
      <c r="X337" s="51"/>
      <c r="Y337" s="51"/>
      <c r="Z337" s="51"/>
    </row>
    <row r="338" spans="1:26">
      <c r="A338" s="194"/>
      <c r="B338" s="194"/>
      <c r="C338" s="194"/>
      <c r="D338" s="194"/>
      <c r="E338" s="194"/>
      <c r="F338" s="194"/>
      <c r="G338" s="194"/>
      <c r="H338" s="194"/>
      <c r="I338" s="194"/>
      <c r="J338" s="194"/>
      <c r="K338" s="194"/>
      <c r="L338" s="194"/>
      <c r="M338" s="194"/>
      <c r="N338" s="194"/>
      <c r="O338" s="194"/>
      <c r="P338" s="194"/>
      <c r="Q338" s="194"/>
      <c r="R338" s="194"/>
      <c r="S338" s="51"/>
      <c r="T338" s="51"/>
      <c r="U338" s="51"/>
      <c r="V338" s="51"/>
      <c r="W338" s="51"/>
      <c r="X338" s="51"/>
      <c r="Y338" s="51"/>
      <c r="Z338" s="51"/>
    </row>
    <row r="339" spans="1:26">
      <c r="A339" s="194"/>
      <c r="B339" s="194"/>
      <c r="C339" s="194"/>
      <c r="D339" s="194"/>
      <c r="E339" s="194"/>
      <c r="F339" s="194"/>
      <c r="G339" s="194"/>
      <c r="H339" s="194"/>
      <c r="I339" s="194"/>
      <c r="J339" s="194"/>
      <c r="K339" s="194"/>
      <c r="L339" s="194"/>
      <c r="M339" s="194"/>
      <c r="N339" s="194"/>
      <c r="O339" s="194"/>
      <c r="P339" s="194"/>
      <c r="Q339" s="194"/>
      <c r="R339" s="194"/>
      <c r="S339" s="51"/>
      <c r="T339" s="51"/>
      <c r="U339" s="51"/>
      <c r="V339" s="51"/>
      <c r="W339" s="51"/>
      <c r="X339" s="51"/>
      <c r="Y339" s="51"/>
      <c r="Z339" s="51"/>
    </row>
    <row r="340" spans="1:26">
      <c r="A340" s="194"/>
      <c r="B340" s="194"/>
      <c r="C340" s="194"/>
      <c r="D340" s="194"/>
      <c r="E340" s="194"/>
      <c r="F340" s="194"/>
      <c r="G340" s="194"/>
      <c r="H340" s="194"/>
      <c r="I340" s="194"/>
      <c r="J340" s="194"/>
      <c r="K340" s="194"/>
      <c r="L340" s="194"/>
      <c r="M340" s="194"/>
      <c r="N340" s="194"/>
      <c r="O340" s="194"/>
      <c r="P340" s="194"/>
      <c r="Q340" s="194"/>
      <c r="R340" s="194"/>
      <c r="S340" s="51"/>
      <c r="T340" s="51"/>
      <c r="U340" s="51"/>
      <c r="V340" s="51"/>
      <c r="W340" s="51"/>
      <c r="X340" s="51"/>
      <c r="Y340" s="51"/>
      <c r="Z340" s="51"/>
    </row>
    <row r="341" spans="1:26">
      <c r="A341" s="194"/>
      <c r="B341" s="194"/>
      <c r="C341" s="194"/>
      <c r="D341" s="194"/>
      <c r="E341" s="194"/>
      <c r="F341" s="194"/>
      <c r="G341" s="194"/>
      <c r="H341" s="194"/>
      <c r="I341" s="194"/>
      <c r="J341" s="194"/>
      <c r="K341" s="194"/>
      <c r="L341" s="194"/>
      <c r="M341" s="194"/>
      <c r="N341" s="194"/>
      <c r="O341" s="194"/>
      <c r="P341" s="194"/>
      <c r="Q341" s="194"/>
      <c r="R341" s="194"/>
      <c r="S341" s="51"/>
      <c r="T341" s="51"/>
      <c r="U341" s="51"/>
      <c r="V341" s="51"/>
      <c r="W341" s="51"/>
      <c r="X341" s="51"/>
      <c r="Y341" s="51"/>
      <c r="Z341" s="51"/>
    </row>
    <row r="342" spans="1:26">
      <c r="A342" s="194"/>
      <c r="B342" s="194"/>
      <c r="C342" s="194"/>
      <c r="D342" s="194"/>
      <c r="E342" s="194"/>
      <c r="F342" s="194"/>
      <c r="G342" s="194"/>
      <c r="H342" s="194"/>
      <c r="I342" s="194"/>
      <c r="J342" s="194"/>
      <c r="K342" s="194"/>
      <c r="L342" s="194"/>
      <c r="M342" s="194"/>
      <c r="N342" s="194"/>
      <c r="O342" s="194"/>
      <c r="P342" s="194"/>
      <c r="Q342" s="194"/>
      <c r="R342" s="194"/>
      <c r="S342" s="51"/>
      <c r="T342" s="51"/>
      <c r="U342" s="51"/>
      <c r="V342" s="51"/>
      <c r="W342" s="51"/>
      <c r="X342" s="51"/>
      <c r="Y342" s="51"/>
      <c r="Z342" s="51"/>
    </row>
    <row r="343" spans="1:26">
      <c r="A343" s="194"/>
      <c r="B343" s="194"/>
      <c r="C343" s="194"/>
      <c r="D343" s="194"/>
      <c r="E343" s="194"/>
      <c r="F343" s="194"/>
      <c r="G343" s="194"/>
      <c r="H343" s="194"/>
      <c r="I343" s="194"/>
      <c r="J343" s="194"/>
      <c r="K343" s="194"/>
      <c r="L343" s="194"/>
      <c r="M343" s="194"/>
      <c r="N343" s="194"/>
      <c r="O343" s="194"/>
      <c r="P343" s="194"/>
      <c r="Q343" s="194"/>
      <c r="R343" s="194"/>
      <c r="S343" s="51"/>
      <c r="T343" s="51"/>
      <c r="U343" s="51"/>
      <c r="V343" s="51"/>
      <c r="W343" s="51"/>
      <c r="X343" s="51"/>
      <c r="Y343" s="51"/>
      <c r="Z343" s="51"/>
    </row>
    <row r="344" spans="1:26">
      <c r="A344" s="194"/>
      <c r="B344" s="194"/>
      <c r="C344" s="194"/>
      <c r="D344" s="194"/>
      <c r="E344" s="194"/>
      <c r="F344" s="194"/>
      <c r="G344" s="194"/>
      <c r="H344" s="194"/>
      <c r="I344" s="194"/>
      <c r="J344" s="194"/>
      <c r="K344" s="194"/>
      <c r="L344" s="194"/>
      <c r="M344" s="194"/>
      <c r="N344" s="194"/>
      <c r="O344" s="194"/>
      <c r="P344" s="194"/>
      <c r="Q344" s="194"/>
      <c r="R344" s="194"/>
      <c r="S344" s="51"/>
      <c r="T344" s="51"/>
      <c r="U344" s="51"/>
      <c r="V344" s="51"/>
      <c r="W344" s="51"/>
      <c r="X344" s="51"/>
      <c r="Y344" s="51"/>
      <c r="Z344" s="51"/>
    </row>
    <row r="345" spans="1:26">
      <c r="A345" s="194"/>
      <c r="B345" s="194"/>
      <c r="C345" s="194"/>
      <c r="D345" s="194"/>
      <c r="E345" s="194"/>
      <c r="F345" s="194"/>
      <c r="G345" s="194"/>
      <c r="H345" s="194"/>
      <c r="I345" s="194"/>
      <c r="J345" s="194"/>
      <c r="K345" s="194"/>
      <c r="L345" s="194"/>
      <c r="M345" s="194"/>
      <c r="N345" s="194"/>
      <c r="O345" s="194"/>
      <c r="P345" s="194"/>
      <c r="Q345" s="194"/>
      <c r="R345" s="194"/>
      <c r="S345" s="51"/>
      <c r="T345" s="51"/>
      <c r="U345" s="51"/>
      <c r="V345" s="51"/>
      <c r="W345" s="51"/>
      <c r="X345" s="51"/>
      <c r="Y345" s="51"/>
      <c r="Z345" s="51"/>
    </row>
    <row r="346" spans="1:26">
      <c r="A346" s="194"/>
      <c r="B346" s="194"/>
      <c r="C346" s="194"/>
      <c r="D346" s="194"/>
      <c r="E346" s="194"/>
      <c r="F346" s="194"/>
      <c r="G346" s="194"/>
      <c r="H346" s="194"/>
      <c r="I346" s="194"/>
      <c r="J346" s="194"/>
      <c r="K346" s="194"/>
      <c r="L346" s="194"/>
      <c r="M346" s="194"/>
      <c r="N346" s="194"/>
      <c r="O346" s="194"/>
      <c r="P346" s="194"/>
      <c r="Q346" s="194"/>
      <c r="R346" s="194"/>
      <c r="S346" s="51"/>
      <c r="T346" s="51"/>
      <c r="U346" s="51"/>
      <c r="V346" s="51"/>
      <c r="W346" s="51"/>
      <c r="X346" s="51"/>
      <c r="Y346" s="51"/>
      <c r="Z346" s="51"/>
    </row>
    <row r="347" spans="1:26">
      <c r="A347" s="194"/>
      <c r="B347" s="194"/>
      <c r="C347" s="194"/>
      <c r="D347" s="194"/>
      <c r="E347" s="194"/>
      <c r="F347" s="194"/>
      <c r="G347" s="194"/>
      <c r="H347" s="194"/>
      <c r="I347" s="194"/>
      <c r="J347" s="194"/>
      <c r="K347" s="194"/>
      <c r="L347" s="194"/>
      <c r="M347" s="194"/>
      <c r="N347" s="194"/>
      <c r="O347" s="194"/>
      <c r="P347" s="194"/>
      <c r="Q347" s="194"/>
      <c r="R347" s="194"/>
      <c r="S347" s="51"/>
      <c r="T347" s="51"/>
      <c r="U347" s="51"/>
      <c r="V347" s="51"/>
      <c r="W347" s="51"/>
      <c r="X347" s="51"/>
      <c r="Y347" s="51"/>
      <c r="Z347" s="51"/>
    </row>
    <row r="348" spans="1:26">
      <c r="A348" s="194"/>
      <c r="B348" s="194"/>
      <c r="C348" s="194"/>
      <c r="D348" s="194"/>
      <c r="E348" s="194"/>
      <c r="F348" s="194"/>
      <c r="G348" s="194"/>
      <c r="H348" s="194"/>
      <c r="I348" s="194"/>
      <c r="J348" s="194"/>
      <c r="K348" s="194"/>
      <c r="L348" s="194"/>
      <c r="M348" s="194"/>
      <c r="N348" s="194"/>
      <c r="O348" s="194"/>
      <c r="P348" s="194"/>
      <c r="Q348" s="194"/>
      <c r="R348" s="194"/>
      <c r="S348" s="51"/>
      <c r="T348" s="51"/>
      <c r="U348" s="51"/>
      <c r="V348" s="51"/>
      <c r="W348" s="51"/>
      <c r="X348" s="51"/>
      <c r="Y348" s="51"/>
      <c r="Z348" s="51"/>
    </row>
    <row r="349" spans="1:26">
      <c r="A349" s="194"/>
      <c r="B349" s="194"/>
      <c r="C349" s="194"/>
      <c r="D349" s="194"/>
      <c r="E349" s="194"/>
      <c r="F349" s="194"/>
      <c r="G349" s="194"/>
      <c r="H349" s="194"/>
      <c r="I349" s="194"/>
      <c r="J349" s="194"/>
      <c r="K349" s="194"/>
      <c r="L349" s="194"/>
      <c r="M349" s="194"/>
      <c r="N349" s="194"/>
      <c r="O349" s="194"/>
      <c r="P349" s="194"/>
      <c r="Q349" s="194"/>
      <c r="R349" s="194"/>
      <c r="S349" s="51"/>
      <c r="T349" s="51"/>
      <c r="U349" s="51"/>
      <c r="V349" s="51"/>
      <c r="W349" s="51"/>
      <c r="X349" s="51"/>
      <c r="Y349" s="51"/>
      <c r="Z349" s="51"/>
    </row>
    <row r="350" spans="1:26">
      <c r="A350" s="194"/>
      <c r="B350" s="194"/>
      <c r="C350" s="194"/>
      <c r="D350" s="194"/>
      <c r="E350" s="194"/>
      <c r="F350" s="194"/>
      <c r="G350" s="194"/>
      <c r="H350" s="194"/>
      <c r="I350" s="194"/>
      <c r="J350" s="194"/>
      <c r="K350" s="194"/>
      <c r="L350" s="194"/>
      <c r="M350" s="194"/>
      <c r="N350" s="194"/>
      <c r="O350" s="194"/>
      <c r="P350" s="194"/>
      <c r="Q350" s="194"/>
      <c r="R350" s="194"/>
      <c r="S350" s="51"/>
      <c r="T350" s="51"/>
      <c r="U350" s="51"/>
      <c r="V350" s="51"/>
      <c r="W350" s="51"/>
      <c r="X350" s="51"/>
      <c r="Y350" s="51"/>
      <c r="Z350" s="51"/>
    </row>
    <row r="351" spans="1:26">
      <c r="A351" s="195"/>
      <c r="B351" s="195"/>
      <c r="C351" s="195"/>
      <c r="D351" s="195"/>
      <c r="E351" s="195"/>
      <c r="F351" s="195"/>
      <c r="G351" s="195"/>
      <c r="H351" s="195"/>
      <c r="I351" s="195"/>
      <c r="J351" s="195"/>
      <c r="K351" s="195"/>
      <c r="L351" s="195"/>
      <c r="M351" s="195"/>
      <c r="N351" s="195"/>
      <c r="O351" s="195"/>
      <c r="P351" s="195"/>
      <c r="Q351" s="195"/>
      <c r="R351" s="195"/>
    </row>
    <row r="352" spans="1:26">
      <c r="A352" s="195"/>
      <c r="B352" s="195"/>
      <c r="C352" s="195"/>
      <c r="D352" s="195"/>
      <c r="E352" s="195"/>
      <c r="F352" s="195"/>
      <c r="G352" s="195"/>
      <c r="H352" s="195"/>
      <c r="I352" s="195"/>
      <c r="J352" s="195"/>
      <c r="K352" s="195"/>
      <c r="L352" s="195"/>
      <c r="M352" s="195"/>
      <c r="N352" s="195"/>
      <c r="O352" s="195"/>
      <c r="P352" s="195"/>
      <c r="Q352" s="195"/>
      <c r="R352" s="195"/>
    </row>
  </sheetData>
  <pageMargins left="0.7" right="0.7" top="0.75" bottom="0.75" header="0.3" footer="0.3"/>
  <pageSetup orientation="portrait" r:id="rId1"/>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134D-AAE4-4F22-8003-7D0A7897C48D}">
  <dimension ref="A1:Z151"/>
  <sheetViews>
    <sheetView zoomScale="78" workbookViewId="0"/>
  </sheetViews>
  <sheetFormatPr defaultRowHeight="14"/>
  <cols>
    <col min="1" max="1" width="76.58203125" customWidth="1"/>
    <col min="2" max="2" width="21.4140625" customWidth="1"/>
    <col min="3" max="3" width="17.4140625" customWidth="1"/>
    <col min="4" max="4" width="18.1640625" customWidth="1"/>
    <col min="5" max="5" width="16" customWidth="1"/>
    <col min="6" max="6" width="18.4140625" customWidth="1"/>
    <col min="7" max="7" width="12" customWidth="1"/>
  </cols>
  <sheetData>
    <row r="1" spans="1:26">
      <c r="A1" s="12" t="s">
        <v>420</v>
      </c>
      <c r="B1" s="99" t="s">
        <v>421</v>
      </c>
      <c r="C1" s="99" t="s">
        <v>748</v>
      </c>
      <c r="D1" s="99" t="s">
        <v>749</v>
      </c>
      <c r="E1" s="99" t="s">
        <v>750</v>
      </c>
      <c r="F1" s="99" t="s">
        <v>751</v>
      </c>
      <c r="G1" s="187"/>
      <c r="H1" s="55"/>
      <c r="I1" s="55"/>
      <c r="J1" s="55"/>
      <c r="K1" s="55"/>
      <c r="L1" s="55"/>
      <c r="M1" s="55"/>
      <c r="N1" s="55"/>
      <c r="O1" s="52"/>
      <c r="P1" s="52"/>
      <c r="Q1" s="52"/>
      <c r="R1" s="52"/>
      <c r="S1" s="52"/>
      <c r="T1" s="52"/>
      <c r="U1" s="51"/>
      <c r="V1" s="51"/>
      <c r="W1" s="51"/>
      <c r="X1" s="51"/>
      <c r="Y1" s="51"/>
      <c r="Z1" s="51"/>
    </row>
    <row r="2" spans="1:26">
      <c r="A2" s="22" t="s">
        <v>116</v>
      </c>
      <c r="B2" s="99"/>
      <c r="C2" s="99"/>
      <c r="D2" s="99"/>
      <c r="E2" s="99"/>
      <c r="F2" s="99"/>
      <c r="G2" s="187"/>
      <c r="H2" s="55"/>
      <c r="I2" s="55"/>
      <c r="J2" s="55"/>
      <c r="K2" s="55"/>
      <c r="L2" s="55"/>
      <c r="M2" s="55"/>
      <c r="N2" s="55"/>
      <c r="O2" s="52"/>
      <c r="P2" s="52"/>
      <c r="Q2" s="52"/>
      <c r="R2" s="52"/>
      <c r="S2" s="52"/>
      <c r="T2" s="52"/>
      <c r="U2" s="51"/>
      <c r="V2" s="51"/>
      <c r="W2" s="51"/>
      <c r="X2" s="51"/>
      <c r="Y2" s="51"/>
      <c r="Z2" s="51"/>
    </row>
    <row r="3" spans="1:26">
      <c r="A3" s="196" t="s">
        <v>0</v>
      </c>
      <c r="B3" s="99" t="s">
        <v>513</v>
      </c>
      <c r="C3" s="99" t="s">
        <v>514</v>
      </c>
      <c r="D3" s="99" t="s">
        <v>515</v>
      </c>
      <c r="E3" s="99" t="s">
        <v>516</v>
      </c>
      <c r="F3" s="99" t="s">
        <v>517</v>
      </c>
      <c r="G3" s="187"/>
      <c r="H3" s="55"/>
      <c r="I3" s="55"/>
      <c r="J3" s="55"/>
      <c r="K3" s="55"/>
      <c r="L3" s="55"/>
      <c r="M3" s="55"/>
      <c r="N3" s="55"/>
      <c r="O3" s="52"/>
      <c r="P3" s="52"/>
      <c r="Q3" s="52"/>
      <c r="R3" s="52"/>
      <c r="S3" s="52"/>
      <c r="T3" s="52"/>
      <c r="U3" s="51"/>
      <c r="V3" s="51"/>
      <c r="W3" s="51"/>
      <c r="X3" s="51"/>
      <c r="Y3" s="51"/>
      <c r="Z3" s="51"/>
    </row>
    <row r="4" spans="1:26">
      <c r="A4" s="196" t="s">
        <v>116</v>
      </c>
      <c r="B4" s="99" t="s">
        <v>1</v>
      </c>
      <c r="C4" s="99" t="s">
        <v>24</v>
      </c>
      <c r="D4" s="99" t="s">
        <v>25</v>
      </c>
      <c r="E4" s="99" t="s">
        <v>27</v>
      </c>
      <c r="F4" s="99" t="s">
        <v>28</v>
      </c>
      <c r="G4" s="187"/>
      <c r="H4" s="55"/>
      <c r="I4" s="55"/>
      <c r="J4" s="55"/>
      <c r="K4" s="55"/>
      <c r="L4" s="55"/>
      <c r="M4" s="55"/>
      <c r="N4" s="55"/>
      <c r="O4" s="52"/>
      <c r="P4" s="52"/>
      <c r="Q4" s="52"/>
      <c r="R4" s="52"/>
      <c r="S4" s="52"/>
      <c r="T4" s="52"/>
      <c r="U4" s="51"/>
      <c r="V4" s="51"/>
      <c r="W4" s="51"/>
      <c r="X4" s="51"/>
      <c r="Y4" s="51"/>
      <c r="Z4" s="51"/>
    </row>
    <row r="5" spans="1:26">
      <c r="A5" s="30" t="s">
        <v>2</v>
      </c>
      <c r="B5" s="99"/>
      <c r="C5" s="99"/>
      <c r="D5" s="99" t="s">
        <v>26</v>
      </c>
      <c r="E5" s="99" t="s">
        <v>26</v>
      </c>
      <c r="F5" s="99" t="s">
        <v>26</v>
      </c>
      <c r="G5" s="187"/>
      <c r="H5" s="55"/>
      <c r="I5" s="55"/>
      <c r="J5" s="55"/>
      <c r="K5" s="55"/>
      <c r="L5" s="55"/>
      <c r="M5" s="55"/>
      <c r="N5" s="55"/>
      <c r="O5" s="52"/>
      <c r="P5" s="52"/>
      <c r="Q5" s="52"/>
      <c r="R5" s="52"/>
      <c r="S5" s="52"/>
      <c r="T5" s="52"/>
      <c r="U5" s="51"/>
      <c r="V5" s="51"/>
      <c r="W5" s="51"/>
      <c r="X5" s="51"/>
      <c r="Y5" s="51"/>
      <c r="Z5" s="51"/>
    </row>
    <row r="6" spans="1:26">
      <c r="A6" s="30" t="s">
        <v>3</v>
      </c>
      <c r="B6" s="99">
        <v>15301</v>
      </c>
      <c r="C6" s="99">
        <v>18884</v>
      </c>
      <c r="D6" s="99">
        <v>22237</v>
      </c>
      <c r="E6" s="99">
        <v>25098</v>
      </c>
      <c r="F6" s="99">
        <v>28167</v>
      </c>
      <c r="G6" s="187"/>
      <c r="H6" s="55"/>
      <c r="I6" s="55"/>
      <c r="J6" s="55"/>
      <c r="K6" s="55"/>
      <c r="L6" s="55"/>
      <c r="M6" s="55"/>
      <c r="N6" s="55"/>
      <c r="O6" s="52"/>
      <c r="P6" s="52"/>
      <c r="Q6" s="52"/>
      <c r="R6" s="52"/>
      <c r="S6" s="52"/>
      <c r="T6" s="52"/>
      <c r="U6" s="51"/>
      <c r="V6" s="51"/>
      <c r="W6" s="51"/>
      <c r="X6" s="51"/>
      <c r="Y6" s="51"/>
      <c r="Z6" s="51"/>
    </row>
    <row r="7" spans="1:26">
      <c r="A7" s="30" t="s">
        <v>4</v>
      </c>
      <c r="B7" s="99"/>
      <c r="C7" s="99"/>
      <c r="D7" s="99" t="s">
        <v>26</v>
      </c>
      <c r="E7" s="99" t="s">
        <v>26</v>
      </c>
      <c r="F7" s="99" t="s">
        <v>26</v>
      </c>
      <c r="G7" s="187"/>
      <c r="H7" s="55"/>
      <c r="I7" s="55"/>
      <c r="J7" s="55"/>
      <c r="K7" s="55"/>
      <c r="L7" s="55"/>
      <c r="M7" s="55"/>
      <c r="N7" s="55"/>
      <c r="O7" s="52"/>
      <c r="P7" s="52"/>
      <c r="Q7" s="52"/>
      <c r="R7" s="52"/>
      <c r="S7" s="52"/>
      <c r="T7" s="52"/>
      <c r="U7" s="51"/>
      <c r="V7" s="51"/>
      <c r="W7" s="51"/>
      <c r="X7" s="51"/>
      <c r="Y7" s="51"/>
      <c r="Z7" s="51"/>
    </row>
    <row r="8" spans="1:26">
      <c r="A8" s="30" t="s">
        <v>5</v>
      </c>
      <c r="B8" s="99">
        <v>5910</v>
      </c>
      <c r="C8" s="99">
        <v>7087</v>
      </c>
      <c r="D8" s="99">
        <v>8078</v>
      </c>
      <c r="E8" s="99">
        <v>8927</v>
      </c>
      <c r="F8" s="99">
        <v>10193</v>
      </c>
      <c r="G8" s="187"/>
      <c r="H8" s="55"/>
      <c r="I8" s="55"/>
      <c r="J8" s="55"/>
      <c r="K8" s="55"/>
      <c r="L8" s="55"/>
      <c r="M8" s="55"/>
      <c r="N8" s="55"/>
      <c r="O8" s="52"/>
      <c r="P8" s="52"/>
      <c r="Q8" s="52"/>
      <c r="R8" s="52"/>
      <c r="S8" s="52"/>
      <c r="T8" s="52"/>
      <c r="U8" s="51"/>
      <c r="V8" s="51"/>
      <c r="W8" s="51"/>
      <c r="X8" s="51"/>
      <c r="Y8" s="51"/>
      <c r="Z8" s="51"/>
    </row>
    <row r="9" spans="1:26">
      <c r="A9" s="30" t="s">
        <v>6</v>
      </c>
      <c r="B9" s="99">
        <v>657</v>
      </c>
      <c r="C9" s="99">
        <v>895</v>
      </c>
      <c r="D9" s="99">
        <v>789</v>
      </c>
      <c r="E9" s="99">
        <v>825</v>
      </c>
      <c r="F9" s="99">
        <v>815</v>
      </c>
      <c r="G9" s="187"/>
      <c r="H9" s="55"/>
      <c r="I9" s="55"/>
      <c r="J9" s="55"/>
      <c r="K9" s="55"/>
      <c r="L9" s="55"/>
      <c r="M9" s="55"/>
      <c r="N9" s="55"/>
      <c r="O9" s="52"/>
      <c r="P9" s="52"/>
      <c r="Q9" s="52"/>
      <c r="R9" s="52"/>
      <c r="S9" s="52"/>
      <c r="T9" s="52"/>
      <c r="U9" s="51"/>
      <c r="V9" s="51"/>
      <c r="W9" s="51"/>
      <c r="X9" s="51"/>
      <c r="Y9" s="51"/>
      <c r="Z9" s="51"/>
    </row>
    <row r="10" spans="1:26">
      <c r="A10" s="30" t="s">
        <v>7</v>
      </c>
      <c r="B10" s="99">
        <v>580</v>
      </c>
      <c r="C10" s="99">
        <v>726</v>
      </c>
      <c r="D10" s="99">
        <v>750</v>
      </c>
      <c r="E10" s="99">
        <v>799</v>
      </c>
      <c r="F10" s="99">
        <v>897</v>
      </c>
      <c r="G10" s="187"/>
      <c r="H10" s="55"/>
      <c r="I10" s="55"/>
      <c r="J10" s="55"/>
      <c r="K10" s="55"/>
      <c r="L10" s="55"/>
      <c r="M10" s="55"/>
      <c r="N10" s="55"/>
      <c r="O10" s="52"/>
      <c r="P10" s="52"/>
      <c r="Q10" s="52"/>
      <c r="R10" s="52"/>
      <c r="S10" s="52"/>
      <c r="T10" s="52"/>
      <c r="U10" s="51"/>
      <c r="V10" s="51"/>
      <c r="W10" s="51"/>
      <c r="X10" s="51"/>
      <c r="Y10" s="51"/>
      <c r="Z10" s="51"/>
    </row>
    <row r="11" spans="1:26">
      <c r="A11" s="30" t="s">
        <v>8</v>
      </c>
      <c r="B11" s="99">
        <v>73</v>
      </c>
      <c r="C11" s="99">
        <v>94</v>
      </c>
      <c r="D11" s="99">
        <v>356</v>
      </c>
      <c r="E11" s="99">
        <v>539</v>
      </c>
      <c r="F11" s="99">
        <v>680</v>
      </c>
      <c r="G11" s="187"/>
      <c r="H11" s="55"/>
      <c r="I11" s="55"/>
      <c r="J11" s="55"/>
      <c r="K11" s="55"/>
      <c r="L11" s="55"/>
      <c r="M11" s="55"/>
      <c r="N11" s="55"/>
      <c r="O11" s="52"/>
      <c r="P11" s="52"/>
      <c r="Q11" s="52"/>
      <c r="R11" s="52"/>
      <c r="S11" s="52"/>
      <c r="T11" s="52"/>
      <c r="U11" s="51"/>
      <c r="V11" s="51"/>
      <c r="W11" s="51"/>
      <c r="X11" s="51"/>
      <c r="Y11" s="51"/>
      <c r="Z11" s="51"/>
    </row>
    <row r="12" spans="1:26">
      <c r="A12" s="30" t="s">
        <v>9</v>
      </c>
      <c r="B12" s="99">
        <v>7220</v>
      </c>
      <c r="C12" s="99">
        <v>8802</v>
      </c>
      <c r="D12" s="99">
        <v>9973</v>
      </c>
      <c r="E12" s="99">
        <v>11090</v>
      </c>
      <c r="F12" s="99">
        <v>12585</v>
      </c>
      <c r="G12" s="187"/>
      <c r="H12" s="55"/>
      <c r="I12" s="55"/>
      <c r="J12" s="55"/>
      <c r="K12" s="55"/>
      <c r="L12" s="55"/>
      <c r="M12" s="55"/>
      <c r="N12" s="55"/>
      <c r="O12" s="52"/>
      <c r="P12" s="52"/>
      <c r="Q12" s="52"/>
      <c r="R12" s="52"/>
      <c r="S12" s="52"/>
      <c r="T12" s="52"/>
      <c r="U12" s="51"/>
      <c r="V12" s="51"/>
      <c r="W12" s="51"/>
      <c r="X12" s="51"/>
      <c r="Y12" s="51"/>
      <c r="Z12" s="51"/>
    </row>
    <row r="13" spans="1:26">
      <c r="A13" s="30" t="s">
        <v>10</v>
      </c>
      <c r="B13" s="99">
        <v>8081</v>
      </c>
      <c r="C13" s="99">
        <v>10082</v>
      </c>
      <c r="D13" s="99">
        <v>12264</v>
      </c>
      <c r="E13" s="99">
        <v>14008</v>
      </c>
      <c r="F13" s="99">
        <v>15582</v>
      </c>
      <c r="G13" s="187"/>
      <c r="H13" s="55"/>
      <c r="I13" s="55"/>
      <c r="J13" s="55"/>
      <c r="K13" s="55"/>
      <c r="L13" s="55"/>
      <c r="M13" s="55"/>
      <c r="N13" s="55"/>
      <c r="O13" s="52"/>
      <c r="P13" s="52"/>
      <c r="Q13" s="52"/>
      <c r="R13" s="52"/>
      <c r="S13" s="52"/>
      <c r="T13" s="52"/>
      <c r="U13" s="51"/>
      <c r="V13" s="51"/>
      <c r="W13" s="51"/>
      <c r="X13" s="51"/>
      <c r="Y13" s="51"/>
      <c r="Z13" s="51"/>
    </row>
    <row r="14" spans="1:26">
      <c r="A14" s="30" t="s">
        <v>11</v>
      </c>
      <c r="B14" s="99"/>
      <c r="C14" s="99"/>
      <c r="D14" s="99" t="s">
        <v>26</v>
      </c>
      <c r="E14" s="99" t="s">
        <v>26</v>
      </c>
      <c r="F14" s="99" t="s">
        <v>26</v>
      </c>
      <c r="G14" s="187"/>
      <c r="H14" s="55"/>
      <c r="I14" s="55"/>
      <c r="J14" s="55"/>
      <c r="K14" s="55"/>
      <c r="L14" s="55"/>
      <c r="M14" s="55"/>
      <c r="N14" s="55"/>
      <c r="O14" s="52"/>
      <c r="P14" s="52"/>
      <c r="Q14" s="52"/>
      <c r="R14" s="52"/>
      <c r="S14" s="52"/>
      <c r="T14" s="52"/>
      <c r="U14" s="51"/>
      <c r="V14" s="51"/>
      <c r="W14" s="51"/>
      <c r="X14" s="51"/>
      <c r="Y14" s="51"/>
      <c r="Z14" s="51"/>
    </row>
    <row r="15" spans="1:26">
      <c r="A15" s="30" t="s">
        <v>12</v>
      </c>
      <c r="B15" s="99">
        <v>24</v>
      </c>
      <c r="C15" s="99">
        <v>11</v>
      </c>
      <c r="D15" s="99">
        <v>61</v>
      </c>
      <c r="E15" s="99">
        <v>274</v>
      </c>
      <c r="F15" s="99">
        <v>327</v>
      </c>
      <c r="G15" s="187"/>
      <c r="H15" s="55"/>
      <c r="I15" s="55"/>
      <c r="J15" s="55"/>
      <c r="K15" s="55"/>
      <c r="L15" s="55"/>
      <c r="M15" s="55"/>
      <c r="N15" s="55"/>
      <c r="O15" s="52"/>
      <c r="P15" s="52"/>
      <c r="Q15" s="52"/>
      <c r="R15" s="52"/>
      <c r="S15" s="52"/>
      <c r="T15" s="52"/>
      <c r="U15" s="51"/>
      <c r="V15" s="51"/>
      <c r="W15" s="51"/>
      <c r="X15" s="51"/>
      <c r="Y15" s="51"/>
      <c r="Z15" s="51"/>
    </row>
    <row r="16" spans="1:26">
      <c r="A16" s="30" t="s">
        <v>13</v>
      </c>
      <c r="B16" s="99">
        <v>30</v>
      </c>
      <c r="C16" s="99">
        <v>645</v>
      </c>
      <c r="D16" s="99">
        <v>-145</v>
      </c>
      <c r="E16" s="99">
        <v>-61</v>
      </c>
      <c r="F16" s="99">
        <v>-29</v>
      </c>
      <c r="G16" s="187"/>
      <c r="H16" s="55"/>
      <c r="I16" s="55"/>
      <c r="J16" s="55"/>
      <c r="K16" s="55"/>
      <c r="L16" s="55"/>
      <c r="M16" s="55"/>
      <c r="N16" s="55"/>
      <c r="O16" s="52"/>
      <c r="P16" s="52"/>
      <c r="Q16" s="52"/>
      <c r="R16" s="52"/>
      <c r="S16" s="52"/>
      <c r="T16" s="52"/>
      <c r="U16" s="51"/>
      <c r="V16" s="51"/>
      <c r="W16" s="51"/>
      <c r="X16" s="51"/>
      <c r="Y16" s="51"/>
      <c r="Z16" s="51"/>
    </row>
    <row r="17" spans="1:26">
      <c r="A17" s="30" t="s">
        <v>14</v>
      </c>
      <c r="B17" s="99">
        <v>-380</v>
      </c>
      <c r="C17" s="99">
        <v>-431</v>
      </c>
      <c r="D17" s="99">
        <v>-471</v>
      </c>
      <c r="E17" s="99">
        <v>-575</v>
      </c>
      <c r="F17" s="99">
        <v>-646</v>
      </c>
      <c r="G17" s="187"/>
      <c r="H17" s="55"/>
      <c r="I17" s="55"/>
      <c r="J17" s="55"/>
      <c r="K17" s="55"/>
      <c r="L17" s="55"/>
      <c r="M17" s="55"/>
      <c r="N17" s="55"/>
      <c r="O17" s="52"/>
      <c r="P17" s="52"/>
      <c r="Q17" s="52"/>
      <c r="R17" s="52"/>
      <c r="S17" s="52"/>
      <c r="T17" s="52"/>
      <c r="U17" s="51"/>
      <c r="V17" s="51"/>
      <c r="W17" s="51"/>
      <c r="X17" s="51"/>
      <c r="Y17" s="51"/>
      <c r="Z17" s="51"/>
    </row>
    <row r="18" spans="1:26">
      <c r="A18" s="30" t="s">
        <v>15</v>
      </c>
      <c r="B18" s="99">
        <v>5</v>
      </c>
      <c r="C18" s="99">
        <v>0</v>
      </c>
      <c r="D18" s="99">
        <v>23</v>
      </c>
      <c r="E18" s="99">
        <v>-7</v>
      </c>
      <c r="F18" s="99">
        <v>20</v>
      </c>
      <c r="G18" s="187"/>
      <c r="H18" s="55"/>
      <c r="I18" s="55"/>
      <c r="J18" s="55"/>
      <c r="K18" s="55"/>
      <c r="L18" s="55"/>
      <c r="M18" s="55"/>
      <c r="N18" s="55"/>
      <c r="O18" s="52"/>
      <c r="P18" s="52"/>
      <c r="Q18" s="52"/>
      <c r="R18" s="52"/>
      <c r="S18" s="52"/>
      <c r="T18" s="52"/>
      <c r="U18" s="51"/>
      <c r="V18" s="51"/>
      <c r="W18" s="51"/>
      <c r="X18" s="51"/>
      <c r="Y18" s="51"/>
      <c r="Z18" s="51"/>
    </row>
    <row r="19" spans="1:26">
      <c r="A19" s="30" t="s">
        <v>16</v>
      </c>
      <c r="B19" s="99">
        <v>-321</v>
      </c>
      <c r="C19" s="99">
        <v>225</v>
      </c>
      <c r="D19" s="99">
        <v>-532</v>
      </c>
      <c r="E19" s="99">
        <v>-369</v>
      </c>
      <c r="F19" s="99">
        <v>-328</v>
      </c>
      <c r="G19" s="187"/>
      <c r="H19" s="55"/>
      <c r="I19" s="55"/>
      <c r="J19" s="55"/>
      <c r="K19" s="55"/>
      <c r="L19" s="55"/>
      <c r="M19" s="55"/>
      <c r="N19" s="55"/>
      <c r="O19" s="52"/>
      <c r="P19" s="52"/>
      <c r="Q19" s="52"/>
      <c r="R19" s="52"/>
      <c r="S19" s="52"/>
      <c r="T19" s="52"/>
      <c r="U19" s="51"/>
      <c r="V19" s="51"/>
      <c r="W19" s="51"/>
      <c r="X19" s="51"/>
      <c r="Y19" s="51"/>
      <c r="Z19" s="51"/>
    </row>
    <row r="20" spans="1:26">
      <c r="A20" s="30" t="s">
        <v>17</v>
      </c>
      <c r="B20" s="99">
        <v>7760</v>
      </c>
      <c r="C20" s="99">
        <v>10307</v>
      </c>
      <c r="D20" s="99">
        <v>11732</v>
      </c>
      <c r="E20" s="99">
        <v>13639</v>
      </c>
      <c r="F20" s="99">
        <v>15254</v>
      </c>
      <c r="G20" s="187"/>
      <c r="H20" s="55"/>
      <c r="I20" s="55"/>
      <c r="J20" s="55"/>
      <c r="K20" s="55"/>
      <c r="L20" s="55"/>
      <c r="M20" s="55"/>
      <c r="N20" s="55"/>
      <c r="O20" s="52"/>
      <c r="P20" s="52"/>
      <c r="Q20" s="52"/>
      <c r="R20" s="52"/>
      <c r="S20" s="52"/>
      <c r="T20" s="52"/>
      <c r="U20" s="51"/>
      <c r="V20" s="51"/>
      <c r="W20" s="51"/>
      <c r="X20" s="51"/>
      <c r="Y20" s="51"/>
      <c r="Z20" s="51"/>
    </row>
    <row r="21" spans="1:26">
      <c r="A21" s="30" t="s">
        <v>18</v>
      </c>
      <c r="B21" s="99">
        <v>1349</v>
      </c>
      <c r="C21" s="99">
        <v>1620</v>
      </c>
      <c r="D21" s="99">
        <v>1802</v>
      </c>
      <c r="E21" s="99">
        <v>2444</v>
      </c>
      <c r="F21" s="99">
        <v>2380</v>
      </c>
      <c r="G21" s="187"/>
      <c r="H21" s="55"/>
      <c r="I21" s="55"/>
      <c r="J21" s="55"/>
      <c r="K21" s="55"/>
      <c r="L21" s="55"/>
      <c r="M21" s="55"/>
      <c r="N21" s="55"/>
      <c r="O21" s="52"/>
      <c r="P21" s="52"/>
      <c r="Q21" s="52"/>
      <c r="R21" s="52"/>
      <c r="S21" s="52"/>
      <c r="T21" s="52"/>
      <c r="U21" s="51"/>
      <c r="V21" s="51"/>
      <c r="W21" s="51"/>
      <c r="X21" s="51"/>
      <c r="Y21" s="51"/>
      <c r="Z21" s="51"/>
    </row>
    <row r="22" spans="1:26">
      <c r="A22" s="30" t="s">
        <v>19</v>
      </c>
      <c r="B22" s="99">
        <v>6411</v>
      </c>
      <c r="C22" s="99">
        <v>8687</v>
      </c>
      <c r="D22" s="99">
        <v>9930</v>
      </c>
      <c r="E22" s="99">
        <v>11195</v>
      </c>
      <c r="F22" s="99">
        <v>12874</v>
      </c>
      <c r="G22" s="187"/>
      <c r="H22" s="55"/>
      <c r="I22" s="55"/>
      <c r="J22" s="55"/>
      <c r="K22" s="55"/>
      <c r="L22" s="55"/>
      <c r="M22" s="55"/>
      <c r="N22" s="55"/>
      <c r="O22" s="52"/>
      <c r="P22" s="52"/>
      <c r="Q22" s="52"/>
      <c r="R22" s="52"/>
      <c r="S22" s="52"/>
      <c r="T22" s="52"/>
      <c r="U22" s="51"/>
      <c r="V22" s="51"/>
      <c r="W22" s="51"/>
      <c r="X22" s="51"/>
      <c r="Y22" s="51"/>
      <c r="Z22" s="51"/>
    </row>
    <row r="23" spans="1:26">
      <c r="A23" s="30" t="s">
        <v>20</v>
      </c>
      <c r="B23" s="99">
        <v>6.4</v>
      </c>
      <c r="C23" s="99">
        <v>8.7899999999999991</v>
      </c>
      <c r="D23" s="99">
        <v>10.26</v>
      </c>
      <c r="E23" s="99">
        <v>11.86</v>
      </c>
      <c r="F23" s="99">
        <v>13.91</v>
      </c>
      <c r="G23" s="187"/>
      <c r="H23" s="55"/>
      <c r="I23" s="55"/>
      <c r="J23" s="55"/>
      <c r="K23" s="55"/>
      <c r="L23" s="55"/>
      <c r="M23" s="55"/>
      <c r="N23" s="55"/>
      <c r="O23" s="52"/>
      <c r="P23" s="52"/>
      <c r="Q23" s="52"/>
      <c r="R23" s="52"/>
      <c r="S23" s="52"/>
      <c r="T23" s="52"/>
      <c r="U23" s="51"/>
      <c r="V23" s="51"/>
      <c r="W23" s="51"/>
      <c r="X23" s="51"/>
      <c r="Y23" s="51"/>
      <c r="Z23" s="51"/>
    </row>
    <row r="24" spans="1:26">
      <c r="A24" s="30" t="s">
        <v>21</v>
      </c>
      <c r="B24" s="99">
        <v>1002</v>
      </c>
      <c r="C24" s="99">
        <v>988</v>
      </c>
      <c r="D24" s="99">
        <v>968</v>
      </c>
      <c r="E24" s="99">
        <v>944</v>
      </c>
      <c r="F24" s="99">
        <v>925</v>
      </c>
      <c r="G24" s="187"/>
      <c r="H24" s="55"/>
      <c r="I24" s="55"/>
      <c r="J24" s="55"/>
      <c r="K24" s="55"/>
      <c r="L24" s="55"/>
      <c r="M24" s="55"/>
      <c r="N24" s="55"/>
      <c r="O24" s="52"/>
      <c r="P24" s="52"/>
      <c r="Q24" s="52"/>
      <c r="R24" s="52"/>
      <c r="S24" s="52"/>
      <c r="T24" s="52"/>
      <c r="U24" s="51"/>
      <c r="V24" s="51"/>
      <c r="W24" s="51"/>
      <c r="X24" s="51"/>
      <c r="Y24" s="51"/>
      <c r="Z24" s="51"/>
    </row>
    <row r="25" spans="1:26">
      <c r="A25" s="30" t="s">
        <v>22</v>
      </c>
      <c r="B25" s="99">
        <v>6.37</v>
      </c>
      <c r="C25" s="99">
        <v>8.76</v>
      </c>
      <c r="D25" s="99">
        <v>10.220000000000001</v>
      </c>
      <c r="E25" s="99">
        <v>11.83</v>
      </c>
      <c r="F25" s="99">
        <v>13.89</v>
      </c>
      <c r="G25" s="187"/>
      <c r="H25" s="55"/>
      <c r="I25" s="55"/>
      <c r="J25" s="55"/>
      <c r="K25" s="55"/>
      <c r="L25" s="55"/>
      <c r="M25" s="55"/>
      <c r="N25" s="55"/>
      <c r="O25" s="52"/>
      <c r="P25" s="52"/>
      <c r="Q25" s="52"/>
      <c r="R25" s="52"/>
      <c r="S25" s="52"/>
      <c r="T25" s="52"/>
      <c r="U25" s="51"/>
      <c r="V25" s="51"/>
      <c r="W25" s="51"/>
      <c r="X25" s="51"/>
      <c r="Y25" s="51"/>
      <c r="Z25" s="51"/>
    </row>
    <row r="26" spans="1:26">
      <c r="A26" s="30" t="s">
        <v>23</v>
      </c>
      <c r="B26" s="99">
        <v>1006</v>
      </c>
      <c r="C26" s="99">
        <v>992</v>
      </c>
      <c r="D26" s="99">
        <v>971</v>
      </c>
      <c r="E26" s="99">
        <v>946</v>
      </c>
      <c r="F26" s="99">
        <v>927</v>
      </c>
      <c r="G26" s="187"/>
      <c r="H26" s="55"/>
      <c r="I26" s="55"/>
      <c r="J26" s="55"/>
      <c r="K26" s="55"/>
      <c r="L26" s="55"/>
      <c r="M26" s="55"/>
      <c r="N26" s="55"/>
      <c r="O26" s="52"/>
      <c r="P26" s="52"/>
      <c r="Q26" s="52"/>
      <c r="R26" s="52"/>
      <c r="S26" s="52"/>
      <c r="T26" s="52"/>
      <c r="U26" s="51"/>
      <c r="V26" s="51"/>
      <c r="W26" s="51"/>
      <c r="X26" s="51"/>
      <c r="Y26" s="51"/>
      <c r="Z26" s="51"/>
    </row>
    <row r="27" spans="1:26">
      <c r="A27" s="203" t="s">
        <v>1425</v>
      </c>
      <c r="B27" s="307"/>
      <c r="C27" s="307"/>
      <c r="D27" s="307"/>
      <c r="E27" s="307"/>
      <c r="F27" s="307"/>
      <c r="G27" s="187"/>
      <c r="H27" s="55"/>
      <c r="I27" s="55"/>
      <c r="J27" s="55"/>
      <c r="K27" s="55"/>
      <c r="L27" s="55"/>
      <c r="M27" s="55"/>
      <c r="N27" s="55"/>
      <c r="O27" s="52"/>
      <c r="P27" s="52"/>
      <c r="Q27" s="52"/>
      <c r="R27" s="52"/>
      <c r="S27" s="52"/>
      <c r="T27" s="52"/>
      <c r="U27" s="51"/>
      <c r="V27" s="51"/>
      <c r="W27" s="51"/>
      <c r="X27" s="51"/>
      <c r="Y27" s="51"/>
      <c r="Z27" s="51"/>
    </row>
    <row r="28" spans="1:26">
      <c r="A28" s="194"/>
      <c r="B28" s="194"/>
      <c r="C28" s="194"/>
      <c r="D28" s="194"/>
      <c r="E28" s="194"/>
      <c r="F28" s="194"/>
      <c r="G28" s="194"/>
      <c r="H28" s="55"/>
      <c r="I28" s="55"/>
      <c r="J28" s="55"/>
      <c r="K28" s="55"/>
      <c r="L28" s="55"/>
      <c r="M28" s="55"/>
      <c r="N28" s="55"/>
      <c r="O28" s="52"/>
      <c r="P28" s="52"/>
      <c r="Q28" s="52"/>
      <c r="R28" s="52"/>
      <c r="S28" s="52"/>
      <c r="T28" s="52"/>
      <c r="U28" s="51"/>
      <c r="V28" s="51"/>
      <c r="W28" s="51"/>
      <c r="X28" s="51"/>
      <c r="Y28" s="51"/>
      <c r="Z28" s="51"/>
    </row>
    <row r="29" spans="1:26">
      <c r="A29" s="194"/>
      <c r="B29" s="194"/>
      <c r="C29" s="194"/>
      <c r="D29" s="194"/>
      <c r="E29" s="194"/>
      <c r="F29" s="194"/>
      <c r="G29" s="194"/>
      <c r="H29" s="55"/>
      <c r="I29" s="55"/>
      <c r="J29" s="55"/>
      <c r="K29" s="55"/>
      <c r="L29" s="55"/>
      <c r="M29" s="55"/>
      <c r="N29" s="55"/>
      <c r="O29" s="52"/>
      <c r="P29" s="52"/>
      <c r="Q29" s="52"/>
      <c r="R29" s="52"/>
      <c r="S29" s="52"/>
      <c r="T29" s="52"/>
      <c r="U29" s="51"/>
      <c r="V29" s="51"/>
      <c r="W29" s="51"/>
      <c r="X29" s="51"/>
      <c r="Y29" s="51"/>
      <c r="Z29" s="51"/>
    </row>
    <row r="30" spans="1:26">
      <c r="A30" s="194"/>
      <c r="B30" s="194"/>
      <c r="C30" s="194"/>
      <c r="D30" s="194"/>
      <c r="E30" s="194"/>
      <c r="F30" s="194"/>
      <c r="G30" s="194"/>
      <c r="H30" s="55"/>
      <c r="I30" s="55"/>
      <c r="J30" s="55"/>
      <c r="K30" s="55"/>
      <c r="L30" s="55"/>
      <c r="M30" s="55"/>
      <c r="N30" s="55"/>
      <c r="O30" s="52"/>
      <c r="P30" s="52"/>
      <c r="Q30" s="52"/>
      <c r="R30" s="52"/>
      <c r="S30" s="52"/>
      <c r="T30" s="52"/>
      <c r="U30" s="51"/>
      <c r="V30" s="51"/>
      <c r="W30" s="51"/>
      <c r="X30" s="51"/>
      <c r="Y30" s="51"/>
      <c r="Z30" s="51"/>
    </row>
    <row r="31" spans="1:26">
      <c r="A31" s="194"/>
      <c r="B31" s="194"/>
      <c r="C31" s="194"/>
      <c r="D31" s="194"/>
      <c r="E31" s="194"/>
      <c r="F31" s="194"/>
      <c r="G31" s="194"/>
      <c r="H31" s="55"/>
      <c r="I31" s="55"/>
      <c r="J31" s="55"/>
      <c r="K31" s="55"/>
      <c r="L31" s="55"/>
      <c r="M31" s="55"/>
      <c r="N31" s="55"/>
      <c r="O31" s="52"/>
      <c r="P31" s="52"/>
      <c r="Q31" s="52"/>
      <c r="R31" s="52"/>
      <c r="S31" s="52"/>
      <c r="T31" s="52"/>
      <c r="U31" s="51"/>
      <c r="V31" s="51"/>
      <c r="W31" s="51"/>
      <c r="X31" s="51"/>
      <c r="Y31" s="51"/>
      <c r="Z31" s="51"/>
    </row>
    <row r="32" spans="1:26">
      <c r="A32" s="194"/>
      <c r="B32" s="194"/>
      <c r="C32" s="194"/>
      <c r="D32" s="194"/>
      <c r="E32" s="194"/>
      <c r="F32" s="194"/>
      <c r="G32" s="194"/>
      <c r="H32" s="55"/>
      <c r="I32" s="55"/>
      <c r="J32" s="55"/>
      <c r="K32" s="55"/>
      <c r="L32" s="55"/>
      <c r="M32" s="55"/>
      <c r="N32" s="55"/>
      <c r="O32" s="52"/>
      <c r="P32" s="52"/>
      <c r="Q32" s="52"/>
      <c r="R32" s="52"/>
      <c r="S32" s="52"/>
      <c r="T32" s="52"/>
      <c r="U32" s="51"/>
      <c r="V32" s="51"/>
      <c r="W32" s="51"/>
      <c r="X32" s="51"/>
      <c r="Y32" s="51"/>
      <c r="Z32" s="51"/>
    </row>
    <row r="33" spans="1:26">
      <c r="A33" s="194"/>
      <c r="B33" s="194"/>
      <c r="C33" s="194"/>
      <c r="D33" s="194"/>
      <c r="E33" s="194"/>
      <c r="F33" s="194"/>
      <c r="G33" s="194"/>
      <c r="H33" s="55"/>
      <c r="I33" s="55"/>
      <c r="J33" s="55"/>
      <c r="K33" s="55"/>
      <c r="L33" s="55"/>
      <c r="M33" s="55"/>
      <c r="N33" s="55"/>
      <c r="O33" s="52"/>
      <c r="P33" s="52"/>
      <c r="Q33" s="52"/>
      <c r="R33" s="52"/>
      <c r="S33" s="52"/>
      <c r="T33" s="52"/>
      <c r="U33" s="51"/>
      <c r="V33" s="51"/>
      <c r="W33" s="51"/>
      <c r="X33" s="51"/>
      <c r="Y33" s="51"/>
      <c r="Z33" s="51"/>
    </row>
    <row r="34" spans="1:26">
      <c r="A34" s="194"/>
      <c r="B34" s="194"/>
      <c r="C34" s="194"/>
      <c r="D34" s="194"/>
      <c r="E34" s="194"/>
      <c r="F34" s="194"/>
      <c r="G34" s="194"/>
      <c r="H34" s="55"/>
      <c r="I34" s="55"/>
      <c r="J34" s="55"/>
      <c r="K34" s="55"/>
      <c r="L34" s="55"/>
      <c r="M34" s="55"/>
      <c r="N34" s="55"/>
      <c r="O34" s="52"/>
      <c r="P34" s="52"/>
      <c r="Q34" s="52"/>
      <c r="R34" s="52"/>
      <c r="S34" s="52"/>
      <c r="T34" s="52"/>
      <c r="U34" s="51"/>
      <c r="V34" s="51"/>
      <c r="W34" s="51"/>
      <c r="X34" s="51"/>
      <c r="Y34" s="51"/>
      <c r="Z34" s="51"/>
    </row>
    <row r="35" spans="1:26">
      <c r="A35" s="194"/>
      <c r="B35" s="194"/>
      <c r="C35" s="194"/>
      <c r="D35" s="194"/>
      <c r="E35" s="194"/>
      <c r="F35" s="194"/>
      <c r="G35" s="194"/>
      <c r="H35" s="55"/>
      <c r="I35" s="55"/>
      <c r="J35" s="55"/>
      <c r="K35" s="55"/>
      <c r="L35" s="55"/>
      <c r="M35" s="55"/>
      <c r="N35" s="55"/>
      <c r="O35" s="52"/>
      <c r="P35" s="52"/>
      <c r="Q35" s="52"/>
      <c r="R35" s="52"/>
      <c r="S35" s="52"/>
      <c r="T35" s="52"/>
      <c r="U35" s="51"/>
      <c r="V35" s="51"/>
      <c r="W35" s="51"/>
      <c r="X35" s="51"/>
      <c r="Y35" s="51"/>
      <c r="Z35" s="51"/>
    </row>
    <row r="36" spans="1:26">
      <c r="A36" s="194"/>
      <c r="B36" s="194"/>
      <c r="C36" s="194"/>
      <c r="D36" s="194"/>
      <c r="E36" s="194"/>
      <c r="F36" s="194"/>
      <c r="G36" s="194"/>
      <c r="H36" s="55"/>
      <c r="I36" s="55"/>
      <c r="J36" s="55"/>
      <c r="K36" s="55"/>
      <c r="L36" s="55"/>
      <c r="M36" s="55"/>
      <c r="N36" s="55"/>
      <c r="O36" s="52"/>
      <c r="P36" s="52"/>
      <c r="Q36" s="52"/>
      <c r="R36" s="52"/>
      <c r="S36" s="52"/>
      <c r="T36" s="52"/>
      <c r="U36" s="51"/>
      <c r="V36" s="51"/>
      <c r="W36" s="51"/>
      <c r="X36" s="51"/>
      <c r="Y36" s="51"/>
      <c r="Z36" s="51"/>
    </row>
    <row r="37" spans="1:26">
      <c r="A37" s="194"/>
      <c r="B37" s="194"/>
      <c r="C37" s="194"/>
      <c r="D37" s="194"/>
      <c r="E37" s="194"/>
      <c r="F37" s="194"/>
      <c r="G37" s="194"/>
      <c r="H37" s="55"/>
      <c r="I37" s="55"/>
      <c r="J37" s="55"/>
      <c r="K37" s="55"/>
      <c r="L37" s="55"/>
      <c r="M37" s="55"/>
      <c r="N37" s="55"/>
      <c r="O37" s="52"/>
      <c r="P37" s="52"/>
      <c r="Q37" s="52"/>
      <c r="R37" s="52"/>
      <c r="S37" s="52"/>
      <c r="T37" s="52"/>
      <c r="U37" s="51"/>
      <c r="V37" s="51"/>
      <c r="W37" s="51"/>
      <c r="X37" s="51"/>
      <c r="Y37" s="51"/>
      <c r="Z37" s="51"/>
    </row>
    <row r="38" spans="1:26">
      <c r="A38" s="194"/>
      <c r="B38" s="194"/>
      <c r="C38" s="194"/>
      <c r="D38" s="194"/>
      <c r="E38" s="194"/>
      <c r="F38" s="194"/>
      <c r="G38" s="194"/>
      <c r="H38" s="55"/>
      <c r="I38" s="55"/>
      <c r="J38" s="55"/>
      <c r="K38" s="55"/>
      <c r="L38" s="55"/>
      <c r="M38" s="55"/>
      <c r="N38" s="55"/>
      <c r="O38" s="52"/>
      <c r="P38" s="52"/>
      <c r="Q38" s="52"/>
      <c r="R38" s="52"/>
      <c r="S38" s="52"/>
      <c r="T38" s="52"/>
      <c r="U38" s="51"/>
      <c r="V38" s="51"/>
      <c r="W38" s="51"/>
      <c r="X38" s="51"/>
      <c r="Y38" s="51"/>
      <c r="Z38" s="51"/>
    </row>
    <row r="39" spans="1:26">
      <c r="A39" s="194"/>
      <c r="B39" s="194"/>
      <c r="C39" s="194"/>
      <c r="D39" s="194"/>
      <c r="E39" s="194"/>
      <c r="F39" s="194"/>
      <c r="G39" s="194"/>
      <c r="H39" s="55"/>
      <c r="I39" s="55"/>
      <c r="J39" s="55"/>
      <c r="K39" s="55"/>
      <c r="L39" s="55"/>
      <c r="M39" s="55"/>
      <c r="N39" s="55"/>
      <c r="O39" s="52"/>
      <c r="P39" s="52"/>
      <c r="Q39" s="52"/>
      <c r="R39" s="52"/>
      <c r="S39" s="52"/>
      <c r="T39" s="52"/>
      <c r="U39" s="51"/>
      <c r="V39" s="51"/>
      <c r="W39" s="51"/>
      <c r="X39" s="51"/>
      <c r="Y39" s="51"/>
      <c r="Z39" s="51"/>
    </row>
    <row r="40" spans="1:26">
      <c r="A40" s="194"/>
      <c r="B40" s="194"/>
      <c r="C40" s="194"/>
      <c r="D40" s="194"/>
      <c r="E40" s="194"/>
      <c r="F40" s="194"/>
      <c r="G40" s="194"/>
      <c r="H40" s="55"/>
      <c r="I40" s="55"/>
      <c r="J40" s="55"/>
      <c r="K40" s="55"/>
      <c r="L40" s="55"/>
      <c r="M40" s="55"/>
      <c r="N40" s="55"/>
      <c r="O40" s="52"/>
      <c r="P40" s="52"/>
      <c r="Q40" s="52"/>
      <c r="R40" s="52"/>
      <c r="S40" s="52"/>
      <c r="T40" s="52"/>
      <c r="U40" s="51"/>
      <c r="V40" s="51"/>
      <c r="W40" s="51"/>
      <c r="X40" s="51"/>
      <c r="Y40" s="51"/>
      <c r="Z40" s="51"/>
    </row>
    <row r="41" spans="1:26">
      <c r="A41" s="55"/>
      <c r="B41" s="55"/>
      <c r="C41" s="55"/>
      <c r="D41" s="55"/>
      <c r="E41" s="55"/>
      <c r="F41" s="55"/>
      <c r="G41" s="55"/>
      <c r="H41" s="55"/>
      <c r="I41" s="55"/>
      <c r="J41" s="55"/>
      <c r="K41" s="55"/>
      <c r="L41" s="55"/>
      <c r="M41" s="55"/>
      <c r="N41" s="55"/>
      <c r="O41" s="52"/>
      <c r="P41" s="52"/>
      <c r="Q41" s="52"/>
      <c r="R41" s="52"/>
      <c r="S41" s="52"/>
      <c r="T41" s="52"/>
      <c r="U41" s="51"/>
      <c r="V41" s="51"/>
      <c r="W41" s="51"/>
      <c r="X41" s="51"/>
      <c r="Y41" s="51"/>
      <c r="Z41" s="51"/>
    </row>
    <row r="42" spans="1:26">
      <c r="A42" s="55"/>
      <c r="B42" s="55"/>
      <c r="C42" s="55"/>
      <c r="D42" s="55"/>
      <c r="E42" s="55"/>
      <c r="F42" s="55"/>
      <c r="G42" s="55"/>
      <c r="H42" s="55"/>
      <c r="I42" s="55"/>
      <c r="J42" s="55"/>
      <c r="K42" s="55"/>
      <c r="L42" s="55"/>
      <c r="M42" s="55"/>
      <c r="N42" s="55"/>
      <c r="O42" s="52"/>
      <c r="P42" s="52"/>
      <c r="Q42" s="52"/>
      <c r="R42" s="52"/>
      <c r="S42" s="52"/>
      <c r="T42" s="52"/>
      <c r="U42" s="51"/>
      <c r="V42" s="51"/>
      <c r="W42" s="51"/>
      <c r="X42" s="51"/>
      <c r="Y42" s="51"/>
      <c r="Z42" s="51"/>
    </row>
    <row r="43" spans="1:26">
      <c r="A43" s="55"/>
      <c r="B43" s="55"/>
      <c r="C43" s="55"/>
      <c r="D43" s="55"/>
      <c r="E43" s="55"/>
      <c r="F43" s="55"/>
      <c r="G43" s="55"/>
      <c r="H43" s="55"/>
      <c r="I43" s="55"/>
      <c r="J43" s="55"/>
      <c r="K43" s="55"/>
      <c r="L43" s="55"/>
      <c r="M43" s="55"/>
      <c r="N43" s="55"/>
      <c r="O43" s="52"/>
      <c r="P43" s="52"/>
      <c r="Q43" s="52"/>
      <c r="R43" s="52"/>
      <c r="S43" s="52"/>
      <c r="T43" s="52"/>
      <c r="U43" s="51"/>
      <c r="V43" s="51"/>
      <c r="W43" s="51"/>
      <c r="X43" s="51"/>
      <c r="Y43" s="51"/>
      <c r="Z43" s="51"/>
    </row>
    <row r="44" spans="1:26">
      <c r="A44" s="55"/>
      <c r="B44" s="55"/>
      <c r="C44" s="55"/>
      <c r="D44" s="55"/>
      <c r="E44" s="55"/>
      <c r="F44" s="55"/>
      <c r="G44" s="55"/>
      <c r="H44" s="55"/>
      <c r="I44" s="55"/>
      <c r="J44" s="55"/>
      <c r="K44" s="55"/>
      <c r="L44" s="55"/>
      <c r="M44" s="55"/>
      <c r="N44" s="55"/>
      <c r="O44" s="52"/>
      <c r="P44" s="52"/>
      <c r="Q44" s="52"/>
      <c r="R44" s="52"/>
      <c r="S44" s="52"/>
      <c r="T44" s="52"/>
      <c r="U44" s="51"/>
      <c r="V44" s="51"/>
      <c r="W44" s="51"/>
      <c r="X44" s="51"/>
      <c r="Y44" s="51"/>
      <c r="Z44" s="51"/>
    </row>
    <row r="45" spans="1:26">
      <c r="A45" s="55"/>
      <c r="B45" s="55"/>
      <c r="C45" s="55"/>
      <c r="D45" s="55"/>
      <c r="E45" s="55"/>
      <c r="F45" s="55"/>
      <c r="G45" s="55"/>
      <c r="H45" s="55"/>
      <c r="I45" s="55"/>
      <c r="J45" s="55"/>
      <c r="K45" s="55"/>
      <c r="L45" s="55"/>
      <c r="M45" s="55"/>
      <c r="N45" s="55"/>
      <c r="O45" s="52"/>
      <c r="P45" s="52"/>
      <c r="Q45" s="52"/>
      <c r="R45" s="52"/>
      <c r="S45" s="52"/>
      <c r="T45" s="52"/>
      <c r="U45" s="51"/>
      <c r="V45" s="51"/>
      <c r="W45" s="51"/>
      <c r="X45" s="51"/>
      <c r="Y45" s="51"/>
      <c r="Z45" s="51"/>
    </row>
    <row r="46" spans="1:26">
      <c r="A46" s="55"/>
      <c r="B46" s="55"/>
      <c r="C46" s="55"/>
      <c r="D46" s="55"/>
      <c r="E46" s="55"/>
      <c r="F46" s="55"/>
      <c r="G46" s="55"/>
      <c r="H46" s="55"/>
      <c r="I46" s="55"/>
      <c r="J46" s="55"/>
      <c r="K46" s="55"/>
      <c r="L46" s="55"/>
      <c r="M46" s="55"/>
      <c r="N46" s="55"/>
      <c r="O46" s="52"/>
      <c r="P46" s="52"/>
      <c r="Q46" s="52"/>
      <c r="R46" s="52"/>
      <c r="S46" s="52"/>
      <c r="T46" s="52"/>
      <c r="U46" s="51"/>
      <c r="V46" s="51"/>
      <c r="W46" s="51"/>
      <c r="X46" s="51"/>
      <c r="Y46" s="51"/>
      <c r="Z46" s="51"/>
    </row>
    <row r="47" spans="1:26">
      <c r="A47" s="55"/>
      <c r="B47" s="55"/>
      <c r="C47" s="55"/>
      <c r="D47" s="55"/>
      <c r="E47" s="55"/>
      <c r="F47" s="55"/>
      <c r="G47" s="55"/>
      <c r="H47" s="55"/>
      <c r="I47" s="55"/>
      <c r="J47" s="55"/>
      <c r="K47" s="55"/>
      <c r="L47" s="55"/>
      <c r="M47" s="55"/>
      <c r="N47" s="55"/>
      <c r="O47" s="52"/>
      <c r="P47" s="52"/>
      <c r="Q47" s="52"/>
      <c r="R47" s="52"/>
      <c r="S47" s="52"/>
      <c r="T47" s="52"/>
      <c r="U47" s="51"/>
      <c r="V47" s="51"/>
      <c r="W47" s="51"/>
      <c r="X47" s="51"/>
      <c r="Y47" s="51"/>
      <c r="Z47" s="51"/>
    </row>
    <row r="48" spans="1:26">
      <c r="A48" s="55"/>
      <c r="B48" s="55"/>
      <c r="C48" s="55"/>
      <c r="D48" s="55"/>
      <c r="E48" s="55"/>
      <c r="F48" s="55"/>
      <c r="G48" s="55"/>
      <c r="H48" s="55"/>
      <c r="I48" s="55"/>
      <c r="J48" s="55"/>
      <c r="K48" s="55"/>
      <c r="L48" s="55"/>
      <c r="M48" s="55"/>
      <c r="N48" s="55"/>
      <c r="O48" s="52"/>
      <c r="P48" s="52"/>
      <c r="Q48" s="52"/>
      <c r="R48" s="52"/>
      <c r="S48" s="52"/>
      <c r="T48" s="52"/>
      <c r="U48" s="51"/>
      <c r="V48" s="51"/>
      <c r="W48" s="51"/>
      <c r="X48" s="51"/>
      <c r="Y48" s="51"/>
      <c r="Z48" s="51"/>
    </row>
    <row r="49" spans="1:26">
      <c r="A49" s="55"/>
      <c r="B49" s="55"/>
      <c r="C49" s="55"/>
      <c r="D49" s="55"/>
      <c r="E49" s="55"/>
      <c r="F49" s="55"/>
      <c r="G49" s="55"/>
      <c r="H49" s="55"/>
      <c r="I49" s="55"/>
      <c r="J49" s="55"/>
      <c r="K49" s="55"/>
      <c r="L49" s="55"/>
      <c r="M49" s="55"/>
      <c r="N49" s="55"/>
      <c r="O49" s="52"/>
      <c r="P49" s="52"/>
      <c r="Q49" s="52"/>
      <c r="R49" s="52"/>
      <c r="S49" s="52"/>
      <c r="T49" s="52"/>
      <c r="U49" s="51"/>
      <c r="V49" s="51"/>
      <c r="W49" s="51"/>
      <c r="X49" s="51"/>
      <c r="Y49" s="51"/>
      <c r="Z49" s="51"/>
    </row>
    <row r="50" spans="1:26">
      <c r="A50" s="55"/>
      <c r="B50" s="55"/>
      <c r="C50" s="55"/>
      <c r="D50" s="55"/>
      <c r="E50" s="55"/>
      <c r="F50" s="55"/>
      <c r="G50" s="55"/>
      <c r="H50" s="55"/>
      <c r="I50" s="55"/>
      <c r="J50" s="55"/>
      <c r="K50" s="55"/>
      <c r="L50" s="55"/>
      <c r="M50" s="55"/>
      <c r="N50" s="55"/>
      <c r="O50" s="52"/>
      <c r="P50" s="52"/>
      <c r="Q50" s="52"/>
      <c r="R50" s="52"/>
      <c r="S50" s="52"/>
      <c r="T50" s="52"/>
      <c r="U50" s="51"/>
      <c r="V50" s="51"/>
      <c r="W50" s="51"/>
      <c r="X50" s="51"/>
      <c r="Y50" s="51"/>
      <c r="Z50" s="51"/>
    </row>
    <row r="51" spans="1:26">
      <c r="A51" s="55"/>
      <c r="B51" s="55"/>
      <c r="C51" s="55"/>
      <c r="D51" s="55"/>
      <c r="E51" s="55"/>
      <c r="F51" s="55"/>
      <c r="G51" s="55"/>
      <c r="H51" s="55"/>
      <c r="I51" s="55"/>
      <c r="J51" s="55"/>
      <c r="K51" s="55"/>
      <c r="L51" s="55"/>
      <c r="M51" s="55"/>
      <c r="N51" s="55"/>
      <c r="O51" s="52"/>
      <c r="P51" s="52"/>
      <c r="Q51" s="52"/>
      <c r="R51" s="52"/>
      <c r="S51" s="52"/>
      <c r="T51" s="52"/>
      <c r="U51" s="51"/>
      <c r="V51" s="51"/>
      <c r="W51" s="51"/>
      <c r="X51" s="51"/>
      <c r="Y51" s="51"/>
      <c r="Z51" s="51"/>
    </row>
    <row r="52" spans="1:26">
      <c r="A52" s="55"/>
      <c r="B52" s="55"/>
      <c r="C52" s="55"/>
      <c r="D52" s="55"/>
      <c r="E52" s="55"/>
      <c r="F52" s="55"/>
      <c r="G52" s="55"/>
      <c r="H52" s="55"/>
      <c r="I52" s="55"/>
      <c r="J52" s="55"/>
      <c r="K52" s="55"/>
      <c r="L52" s="55"/>
      <c r="M52" s="55"/>
      <c r="N52" s="55"/>
      <c r="O52" s="52"/>
      <c r="P52" s="52"/>
      <c r="Q52" s="52"/>
      <c r="R52" s="52"/>
      <c r="S52" s="52"/>
      <c r="T52" s="52"/>
      <c r="U52" s="51"/>
      <c r="V52" s="51"/>
      <c r="W52" s="51"/>
      <c r="X52" s="51"/>
      <c r="Y52" s="51"/>
      <c r="Z52" s="51"/>
    </row>
    <row r="53" spans="1:26">
      <c r="A53" s="55"/>
      <c r="B53" s="55"/>
      <c r="C53" s="55"/>
      <c r="D53" s="55"/>
      <c r="E53" s="55"/>
      <c r="F53" s="55"/>
      <c r="G53" s="55"/>
      <c r="H53" s="55"/>
      <c r="I53" s="55"/>
      <c r="J53" s="55"/>
      <c r="K53" s="55"/>
      <c r="L53" s="55"/>
      <c r="M53" s="55"/>
      <c r="N53" s="55"/>
      <c r="O53" s="52"/>
      <c r="P53" s="52"/>
      <c r="Q53" s="52"/>
      <c r="R53" s="52"/>
      <c r="S53" s="52"/>
      <c r="T53" s="52"/>
      <c r="U53" s="51"/>
      <c r="V53" s="51"/>
      <c r="W53" s="51"/>
      <c r="X53" s="51"/>
      <c r="Y53" s="51"/>
      <c r="Z53" s="51"/>
    </row>
    <row r="54" spans="1:26">
      <c r="A54" s="55"/>
      <c r="B54" s="55"/>
      <c r="C54" s="55"/>
      <c r="D54" s="55"/>
      <c r="E54" s="55"/>
      <c r="F54" s="55"/>
      <c r="G54" s="55"/>
      <c r="H54" s="55"/>
      <c r="I54" s="55"/>
      <c r="J54" s="55"/>
      <c r="K54" s="55"/>
      <c r="L54" s="55"/>
      <c r="M54" s="55"/>
      <c r="N54" s="55"/>
      <c r="O54" s="52"/>
      <c r="P54" s="52"/>
      <c r="Q54" s="52"/>
      <c r="R54" s="52"/>
      <c r="S54" s="52"/>
      <c r="T54" s="52"/>
      <c r="U54" s="51"/>
      <c r="V54" s="51"/>
      <c r="W54" s="51"/>
      <c r="X54" s="51"/>
      <c r="Y54" s="51"/>
      <c r="Z54" s="51"/>
    </row>
    <row r="55" spans="1:26">
      <c r="A55" s="55"/>
      <c r="B55" s="55"/>
      <c r="C55" s="55"/>
      <c r="D55" s="55"/>
      <c r="E55" s="55"/>
      <c r="F55" s="55"/>
      <c r="G55" s="55"/>
      <c r="H55" s="55"/>
      <c r="I55" s="55"/>
      <c r="J55" s="55"/>
      <c r="K55" s="55"/>
      <c r="L55" s="55"/>
      <c r="M55" s="55"/>
      <c r="N55" s="55"/>
      <c r="O55" s="52"/>
      <c r="P55" s="52"/>
      <c r="Q55" s="52"/>
      <c r="R55" s="52"/>
      <c r="S55" s="52"/>
      <c r="T55" s="52"/>
      <c r="U55" s="51"/>
      <c r="V55" s="51"/>
      <c r="W55" s="51"/>
      <c r="X55" s="51"/>
      <c r="Y55" s="51"/>
      <c r="Z55" s="51"/>
    </row>
    <row r="56" spans="1:26">
      <c r="A56" s="55"/>
      <c r="B56" s="55"/>
      <c r="C56" s="55"/>
      <c r="D56" s="55"/>
      <c r="E56" s="55"/>
      <c r="F56" s="55"/>
      <c r="G56" s="55"/>
      <c r="H56" s="55"/>
      <c r="I56" s="55"/>
      <c r="J56" s="55"/>
      <c r="K56" s="55"/>
      <c r="L56" s="55"/>
      <c r="M56" s="55"/>
      <c r="N56" s="55"/>
      <c r="O56" s="52"/>
      <c r="P56" s="52"/>
      <c r="Q56" s="52"/>
      <c r="R56" s="52"/>
      <c r="S56" s="52"/>
      <c r="T56" s="52"/>
      <c r="U56" s="51"/>
      <c r="V56" s="51"/>
      <c r="W56" s="51"/>
      <c r="X56" s="51"/>
      <c r="Y56" s="51"/>
      <c r="Z56" s="51"/>
    </row>
    <row r="57" spans="1:26">
      <c r="A57" s="55"/>
      <c r="B57" s="55"/>
      <c r="C57" s="55"/>
      <c r="D57" s="55"/>
      <c r="E57" s="55"/>
      <c r="F57" s="55"/>
      <c r="G57" s="55"/>
      <c r="H57" s="55"/>
      <c r="I57" s="55"/>
      <c r="J57" s="55"/>
      <c r="K57" s="55"/>
      <c r="L57" s="55"/>
      <c r="M57" s="55"/>
      <c r="N57" s="55"/>
      <c r="O57" s="52"/>
      <c r="P57" s="52"/>
      <c r="Q57" s="52"/>
      <c r="R57" s="52"/>
      <c r="S57" s="52"/>
      <c r="T57" s="52"/>
      <c r="U57" s="51"/>
      <c r="V57" s="51"/>
      <c r="W57" s="51"/>
      <c r="X57" s="51"/>
      <c r="Y57" s="51"/>
      <c r="Z57" s="51"/>
    </row>
    <row r="58" spans="1:26">
      <c r="A58" s="55"/>
      <c r="B58" s="55"/>
      <c r="C58" s="55"/>
      <c r="D58" s="55"/>
      <c r="E58" s="55"/>
      <c r="F58" s="55"/>
      <c r="G58" s="55"/>
      <c r="H58" s="55"/>
      <c r="I58" s="55"/>
      <c r="J58" s="55"/>
      <c r="K58" s="55"/>
      <c r="L58" s="55"/>
      <c r="M58" s="55"/>
      <c r="N58" s="55"/>
      <c r="O58" s="52"/>
      <c r="P58" s="52"/>
      <c r="Q58" s="52"/>
      <c r="R58" s="52"/>
      <c r="S58" s="52"/>
      <c r="T58" s="52"/>
      <c r="U58" s="51"/>
      <c r="V58" s="51"/>
      <c r="W58" s="51"/>
      <c r="X58" s="51"/>
      <c r="Y58" s="51"/>
      <c r="Z58" s="51"/>
    </row>
    <row r="59" spans="1:26">
      <c r="A59" s="55"/>
      <c r="B59" s="55"/>
      <c r="C59" s="55"/>
      <c r="D59" s="55"/>
      <c r="E59" s="55"/>
      <c r="F59" s="55"/>
      <c r="G59" s="55"/>
      <c r="H59" s="55"/>
      <c r="I59" s="55"/>
      <c r="J59" s="55"/>
      <c r="K59" s="55"/>
      <c r="L59" s="55"/>
      <c r="M59" s="55"/>
      <c r="N59" s="55"/>
      <c r="O59" s="52"/>
      <c r="P59" s="52"/>
      <c r="Q59" s="52"/>
      <c r="R59" s="52"/>
      <c r="S59" s="52"/>
      <c r="T59" s="52"/>
      <c r="U59" s="51"/>
      <c r="V59" s="51"/>
      <c r="W59" s="51"/>
      <c r="X59" s="51"/>
      <c r="Y59" s="51"/>
      <c r="Z59" s="51"/>
    </row>
    <row r="60" spans="1:26">
      <c r="A60" s="55"/>
      <c r="B60" s="55"/>
      <c r="C60" s="55"/>
      <c r="D60" s="55"/>
      <c r="E60" s="55"/>
      <c r="F60" s="55"/>
      <c r="G60" s="55"/>
      <c r="H60" s="55"/>
      <c r="I60" s="55"/>
      <c r="J60" s="55"/>
      <c r="K60" s="55"/>
      <c r="L60" s="55"/>
      <c r="M60" s="55"/>
      <c r="N60" s="55"/>
      <c r="O60" s="52"/>
      <c r="P60" s="52"/>
      <c r="Q60" s="52"/>
      <c r="R60" s="52"/>
      <c r="S60" s="52"/>
      <c r="T60" s="52"/>
      <c r="U60" s="51"/>
      <c r="V60" s="51"/>
      <c r="W60" s="51"/>
      <c r="X60" s="51"/>
      <c r="Y60" s="51"/>
      <c r="Z60" s="51"/>
    </row>
    <row r="61" spans="1:26">
      <c r="A61" s="55"/>
      <c r="B61" s="55"/>
      <c r="C61" s="55"/>
      <c r="D61" s="55"/>
      <c r="E61" s="55"/>
      <c r="F61" s="55"/>
      <c r="G61" s="55"/>
      <c r="H61" s="55"/>
      <c r="I61" s="55"/>
      <c r="J61" s="55"/>
      <c r="K61" s="55"/>
      <c r="L61" s="55"/>
      <c r="M61" s="55"/>
      <c r="N61" s="55"/>
      <c r="O61" s="52"/>
      <c r="P61" s="52"/>
      <c r="Q61" s="52"/>
      <c r="R61" s="52"/>
      <c r="S61" s="52"/>
      <c r="T61" s="52"/>
      <c r="U61" s="51"/>
      <c r="V61" s="51"/>
      <c r="W61" s="51"/>
      <c r="X61" s="51"/>
      <c r="Y61" s="51"/>
      <c r="Z61" s="51"/>
    </row>
    <row r="62" spans="1:26">
      <c r="A62" s="55"/>
      <c r="B62" s="55"/>
      <c r="C62" s="55"/>
      <c r="D62" s="55"/>
      <c r="E62" s="55"/>
      <c r="F62" s="55"/>
      <c r="G62" s="55"/>
      <c r="H62" s="55"/>
      <c r="I62" s="55"/>
      <c r="J62" s="55"/>
      <c r="K62" s="55"/>
      <c r="L62" s="55"/>
      <c r="M62" s="55"/>
      <c r="N62" s="55"/>
      <c r="O62" s="52"/>
      <c r="P62" s="52"/>
      <c r="Q62" s="52"/>
      <c r="R62" s="52"/>
      <c r="S62" s="52"/>
      <c r="T62" s="52"/>
      <c r="U62" s="51"/>
      <c r="V62" s="51"/>
      <c r="W62" s="51"/>
      <c r="X62" s="51"/>
      <c r="Y62" s="51"/>
      <c r="Z62" s="51"/>
    </row>
    <row r="63" spans="1:26">
      <c r="A63" s="55"/>
      <c r="B63" s="55"/>
      <c r="C63" s="55"/>
      <c r="D63" s="55"/>
      <c r="E63" s="55"/>
      <c r="F63" s="55"/>
      <c r="G63" s="55"/>
      <c r="H63" s="55"/>
      <c r="I63" s="55"/>
      <c r="J63" s="55"/>
      <c r="K63" s="55"/>
      <c r="L63" s="55"/>
      <c r="M63" s="55"/>
      <c r="N63" s="55"/>
      <c r="O63" s="52"/>
      <c r="P63" s="52"/>
      <c r="Q63" s="52"/>
      <c r="R63" s="52"/>
      <c r="S63" s="52"/>
      <c r="T63" s="52"/>
      <c r="U63" s="51"/>
      <c r="V63" s="51"/>
      <c r="W63" s="51"/>
      <c r="X63" s="51"/>
      <c r="Y63" s="51"/>
      <c r="Z63" s="51"/>
    </row>
    <row r="64" spans="1:26">
      <c r="A64" s="55"/>
      <c r="B64" s="55"/>
      <c r="C64" s="55"/>
      <c r="D64" s="55"/>
      <c r="E64" s="55"/>
      <c r="F64" s="55"/>
      <c r="G64" s="55"/>
      <c r="H64" s="55"/>
      <c r="I64" s="55"/>
      <c r="J64" s="55"/>
      <c r="K64" s="55"/>
      <c r="L64" s="55"/>
      <c r="M64" s="55"/>
      <c r="N64" s="55"/>
      <c r="O64" s="52"/>
      <c r="P64" s="52"/>
      <c r="Q64" s="52"/>
      <c r="R64" s="52"/>
      <c r="S64" s="52"/>
      <c r="T64" s="52"/>
      <c r="U64" s="51"/>
      <c r="V64" s="51"/>
      <c r="W64" s="51"/>
      <c r="X64" s="51"/>
      <c r="Y64" s="51"/>
      <c r="Z64" s="51"/>
    </row>
    <row r="65" spans="1:26">
      <c r="A65" s="55"/>
      <c r="B65" s="55"/>
      <c r="C65" s="55"/>
      <c r="D65" s="55"/>
      <c r="E65" s="55"/>
      <c r="F65" s="55"/>
      <c r="G65" s="55"/>
      <c r="H65" s="55"/>
      <c r="I65" s="55"/>
      <c r="J65" s="55"/>
      <c r="K65" s="55"/>
      <c r="L65" s="55"/>
      <c r="M65" s="55"/>
      <c r="N65" s="55"/>
      <c r="O65" s="52"/>
      <c r="P65" s="52"/>
      <c r="Q65" s="52"/>
      <c r="R65" s="52"/>
      <c r="S65" s="52"/>
      <c r="T65" s="52"/>
      <c r="U65" s="51"/>
      <c r="V65" s="51"/>
      <c r="W65" s="51"/>
      <c r="X65" s="51"/>
      <c r="Y65" s="51"/>
      <c r="Z65" s="51"/>
    </row>
    <row r="66" spans="1:26">
      <c r="A66" s="55"/>
      <c r="B66" s="55"/>
      <c r="C66" s="55"/>
      <c r="D66" s="55"/>
      <c r="E66" s="55"/>
      <c r="F66" s="55"/>
      <c r="G66" s="55"/>
      <c r="H66" s="55"/>
      <c r="I66" s="55"/>
      <c r="J66" s="55"/>
      <c r="K66" s="55"/>
      <c r="L66" s="55"/>
      <c r="M66" s="55"/>
      <c r="N66" s="55"/>
      <c r="O66" s="52"/>
      <c r="P66" s="52"/>
      <c r="Q66" s="52"/>
      <c r="R66" s="52"/>
      <c r="S66" s="52"/>
      <c r="T66" s="52"/>
      <c r="U66" s="51"/>
      <c r="V66" s="51"/>
      <c r="W66" s="51"/>
      <c r="X66" s="51"/>
      <c r="Y66" s="51"/>
      <c r="Z66" s="51"/>
    </row>
    <row r="67" spans="1:26">
      <c r="A67" s="55"/>
      <c r="B67" s="55"/>
      <c r="C67" s="55"/>
      <c r="D67" s="55"/>
      <c r="E67" s="55"/>
      <c r="F67" s="55"/>
      <c r="G67" s="55"/>
      <c r="H67" s="55"/>
      <c r="I67" s="55"/>
      <c r="J67" s="55"/>
      <c r="K67" s="55"/>
      <c r="L67" s="55"/>
      <c r="M67" s="55"/>
      <c r="N67" s="55"/>
      <c r="O67" s="52"/>
      <c r="P67" s="52"/>
      <c r="Q67" s="52"/>
      <c r="R67" s="52"/>
      <c r="S67" s="52"/>
      <c r="T67" s="52"/>
      <c r="U67" s="51"/>
      <c r="V67" s="51"/>
      <c r="W67" s="51"/>
      <c r="X67" s="51"/>
      <c r="Y67" s="51"/>
      <c r="Z67" s="51"/>
    </row>
    <row r="68" spans="1:26">
      <c r="A68" s="55"/>
      <c r="B68" s="55"/>
      <c r="C68" s="55"/>
      <c r="D68" s="55"/>
      <c r="E68" s="55"/>
      <c r="F68" s="55"/>
      <c r="G68" s="55"/>
      <c r="H68" s="55"/>
      <c r="I68" s="55"/>
      <c r="J68" s="55"/>
      <c r="K68" s="55"/>
      <c r="L68" s="55"/>
      <c r="M68" s="55"/>
      <c r="N68" s="55"/>
      <c r="O68" s="52"/>
      <c r="P68" s="52"/>
      <c r="Q68" s="52"/>
      <c r="R68" s="52"/>
      <c r="S68" s="52"/>
      <c r="T68" s="52"/>
      <c r="U68" s="51"/>
      <c r="V68" s="51"/>
      <c r="W68" s="51"/>
      <c r="X68" s="51"/>
      <c r="Y68" s="51"/>
      <c r="Z68" s="51"/>
    </row>
    <row r="69" spans="1:26">
      <c r="A69" s="55"/>
      <c r="B69" s="55"/>
      <c r="C69" s="55"/>
      <c r="D69" s="55"/>
      <c r="E69" s="55"/>
      <c r="F69" s="55"/>
      <c r="G69" s="55"/>
      <c r="H69" s="55"/>
      <c r="I69" s="55"/>
      <c r="J69" s="55"/>
      <c r="K69" s="55"/>
      <c r="L69" s="55"/>
      <c r="M69" s="55"/>
      <c r="N69" s="55"/>
      <c r="O69" s="52"/>
      <c r="P69" s="52"/>
      <c r="Q69" s="52"/>
      <c r="R69" s="52"/>
      <c r="S69" s="52"/>
      <c r="T69" s="52"/>
      <c r="U69" s="51"/>
      <c r="V69" s="51"/>
      <c r="W69" s="51"/>
      <c r="X69" s="51"/>
      <c r="Y69" s="51"/>
      <c r="Z69" s="51"/>
    </row>
    <row r="70" spans="1:26">
      <c r="A70" s="55"/>
      <c r="B70" s="55"/>
      <c r="C70" s="55"/>
      <c r="D70" s="55"/>
      <c r="E70" s="55"/>
      <c r="F70" s="55"/>
      <c r="G70" s="55"/>
      <c r="H70" s="55"/>
      <c r="I70" s="55"/>
      <c r="J70" s="55"/>
      <c r="K70" s="55"/>
      <c r="L70" s="55"/>
      <c r="M70" s="55"/>
      <c r="N70" s="55"/>
      <c r="O70" s="52"/>
      <c r="P70" s="52"/>
      <c r="Q70" s="52"/>
      <c r="R70" s="52"/>
      <c r="S70" s="52"/>
      <c r="T70" s="52"/>
      <c r="U70" s="51"/>
      <c r="V70" s="51"/>
      <c r="W70" s="51"/>
      <c r="X70" s="51"/>
      <c r="Y70" s="51"/>
      <c r="Z70" s="51"/>
    </row>
    <row r="71" spans="1:26">
      <c r="A71" s="55"/>
      <c r="B71" s="55"/>
      <c r="C71" s="55"/>
      <c r="D71" s="55"/>
      <c r="E71" s="55"/>
      <c r="F71" s="55"/>
      <c r="G71" s="55"/>
      <c r="H71" s="55"/>
      <c r="I71" s="55"/>
      <c r="J71" s="55"/>
      <c r="K71" s="55"/>
      <c r="L71" s="55"/>
      <c r="M71" s="55"/>
      <c r="N71" s="55"/>
      <c r="O71" s="52"/>
      <c r="P71" s="52"/>
      <c r="Q71" s="52"/>
      <c r="R71" s="52"/>
      <c r="S71" s="52"/>
      <c r="T71" s="52"/>
      <c r="U71" s="51"/>
      <c r="V71" s="51"/>
      <c r="W71" s="51"/>
      <c r="X71" s="51"/>
      <c r="Y71" s="51"/>
      <c r="Z71" s="51"/>
    </row>
    <row r="72" spans="1:26">
      <c r="A72" s="55"/>
      <c r="B72" s="55"/>
      <c r="C72" s="55"/>
      <c r="D72" s="55"/>
      <c r="E72" s="55"/>
      <c r="F72" s="55"/>
      <c r="G72" s="55"/>
      <c r="H72" s="55"/>
      <c r="I72" s="55"/>
      <c r="J72" s="55"/>
      <c r="K72" s="55"/>
      <c r="L72" s="55"/>
      <c r="M72" s="55"/>
      <c r="N72" s="55"/>
      <c r="O72" s="52"/>
      <c r="P72" s="52"/>
      <c r="Q72" s="52"/>
      <c r="R72" s="52"/>
      <c r="S72" s="52"/>
      <c r="T72" s="52"/>
      <c r="U72" s="51"/>
      <c r="V72" s="51"/>
      <c r="W72" s="51"/>
      <c r="X72" s="51"/>
      <c r="Y72" s="51"/>
      <c r="Z72" s="51"/>
    </row>
    <row r="73" spans="1:26">
      <c r="A73" s="55"/>
      <c r="B73" s="55"/>
      <c r="C73" s="55"/>
      <c r="D73" s="55"/>
      <c r="E73" s="55"/>
      <c r="F73" s="55"/>
      <c r="G73" s="55"/>
      <c r="H73" s="55"/>
      <c r="I73" s="55"/>
      <c r="J73" s="55"/>
      <c r="K73" s="55"/>
      <c r="L73" s="55"/>
      <c r="M73" s="55"/>
      <c r="N73" s="55"/>
      <c r="O73" s="52"/>
      <c r="P73" s="52"/>
      <c r="Q73" s="52"/>
      <c r="R73" s="52"/>
      <c r="S73" s="52"/>
      <c r="T73" s="52"/>
      <c r="U73" s="51"/>
      <c r="V73" s="51"/>
      <c r="W73" s="51"/>
      <c r="X73" s="51"/>
      <c r="Y73" s="51"/>
      <c r="Z73" s="51"/>
    </row>
    <row r="74" spans="1:26">
      <c r="A74" s="55"/>
      <c r="B74" s="55"/>
      <c r="C74" s="55"/>
      <c r="D74" s="55"/>
      <c r="E74" s="55"/>
      <c r="F74" s="55"/>
      <c r="G74" s="55"/>
      <c r="H74" s="55"/>
      <c r="I74" s="55"/>
      <c r="J74" s="55"/>
      <c r="K74" s="55"/>
      <c r="L74" s="55"/>
      <c r="M74" s="55"/>
      <c r="N74" s="55"/>
      <c r="O74" s="52"/>
      <c r="P74" s="52"/>
      <c r="Q74" s="52"/>
      <c r="R74" s="52"/>
      <c r="S74" s="52"/>
      <c r="T74" s="52"/>
      <c r="U74" s="51"/>
      <c r="V74" s="51"/>
      <c r="W74" s="51"/>
      <c r="X74" s="51"/>
      <c r="Y74" s="51"/>
      <c r="Z74" s="51"/>
    </row>
    <row r="75" spans="1:26">
      <c r="A75" s="55"/>
      <c r="B75" s="55"/>
      <c r="C75" s="55"/>
      <c r="D75" s="55"/>
      <c r="E75" s="55"/>
      <c r="F75" s="55"/>
      <c r="G75" s="55"/>
      <c r="H75" s="55"/>
      <c r="I75" s="55"/>
      <c r="J75" s="55"/>
      <c r="K75" s="55"/>
      <c r="L75" s="55"/>
      <c r="M75" s="55"/>
      <c r="N75" s="55"/>
      <c r="O75" s="52"/>
      <c r="P75" s="52"/>
      <c r="Q75" s="52"/>
      <c r="R75" s="52"/>
      <c r="S75" s="52"/>
      <c r="T75" s="52"/>
      <c r="U75" s="51"/>
      <c r="V75" s="51"/>
      <c r="W75" s="51"/>
      <c r="X75" s="51"/>
      <c r="Y75" s="51"/>
      <c r="Z75" s="51"/>
    </row>
    <row r="76" spans="1:26">
      <c r="A76" s="55"/>
      <c r="B76" s="55"/>
      <c r="C76" s="55"/>
      <c r="D76" s="55"/>
      <c r="E76" s="55"/>
      <c r="F76" s="55"/>
      <c r="G76" s="55"/>
      <c r="H76" s="55"/>
      <c r="I76" s="55"/>
      <c r="J76" s="55"/>
      <c r="K76" s="55"/>
      <c r="L76" s="55"/>
      <c r="M76" s="55"/>
      <c r="N76" s="55"/>
      <c r="O76" s="52"/>
      <c r="P76" s="52"/>
      <c r="Q76" s="52"/>
      <c r="R76" s="52"/>
      <c r="S76" s="52"/>
      <c r="T76" s="52"/>
      <c r="U76" s="51"/>
      <c r="V76" s="51"/>
      <c r="W76" s="51"/>
      <c r="X76" s="51"/>
      <c r="Y76" s="51"/>
      <c r="Z76" s="51"/>
    </row>
    <row r="77" spans="1:26">
      <c r="A77" s="55"/>
      <c r="B77" s="55"/>
      <c r="C77" s="55"/>
      <c r="D77" s="55"/>
      <c r="E77" s="55"/>
      <c r="F77" s="55"/>
      <c r="G77" s="55"/>
      <c r="H77" s="55"/>
      <c r="I77" s="55"/>
      <c r="J77" s="55"/>
      <c r="K77" s="55"/>
      <c r="L77" s="55"/>
      <c r="M77" s="55"/>
      <c r="N77" s="55"/>
      <c r="O77" s="52"/>
      <c r="P77" s="52"/>
      <c r="Q77" s="52"/>
      <c r="R77" s="52"/>
      <c r="S77" s="52"/>
      <c r="T77" s="52"/>
      <c r="U77" s="51"/>
      <c r="V77" s="51"/>
      <c r="W77" s="51"/>
      <c r="X77" s="51"/>
      <c r="Y77" s="51"/>
      <c r="Z77" s="51"/>
    </row>
    <row r="78" spans="1:26">
      <c r="A78" s="55"/>
      <c r="B78" s="55"/>
      <c r="C78" s="55"/>
      <c r="D78" s="55"/>
      <c r="E78" s="55"/>
      <c r="F78" s="55"/>
      <c r="G78" s="55"/>
      <c r="H78" s="55"/>
      <c r="I78" s="55"/>
      <c r="J78" s="55"/>
      <c r="K78" s="55"/>
      <c r="L78" s="55"/>
      <c r="M78" s="55"/>
      <c r="N78" s="55"/>
      <c r="O78" s="52"/>
      <c r="P78" s="52"/>
      <c r="Q78" s="52"/>
      <c r="R78" s="52"/>
      <c r="S78" s="52"/>
      <c r="T78" s="52"/>
      <c r="U78" s="51"/>
      <c r="V78" s="51"/>
      <c r="W78" s="51"/>
      <c r="X78" s="51"/>
      <c r="Y78" s="51"/>
      <c r="Z78" s="51"/>
    </row>
    <row r="79" spans="1:26">
      <c r="A79" s="55"/>
      <c r="B79" s="55"/>
      <c r="C79" s="55"/>
      <c r="D79" s="55"/>
      <c r="E79" s="55"/>
      <c r="F79" s="55"/>
      <c r="G79" s="55"/>
      <c r="H79" s="55"/>
      <c r="I79" s="55"/>
      <c r="J79" s="55"/>
      <c r="K79" s="55"/>
      <c r="L79" s="55"/>
      <c r="M79" s="55"/>
      <c r="N79" s="55"/>
      <c r="O79" s="52"/>
      <c r="P79" s="52"/>
      <c r="Q79" s="52"/>
      <c r="R79" s="52"/>
      <c r="S79" s="52"/>
      <c r="T79" s="52"/>
      <c r="U79" s="51"/>
      <c r="V79" s="51"/>
      <c r="W79" s="51"/>
      <c r="X79" s="51"/>
      <c r="Y79" s="51"/>
      <c r="Z79" s="51"/>
    </row>
    <row r="80" spans="1:26">
      <c r="A80" s="55"/>
      <c r="B80" s="55"/>
      <c r="C80" s="55"/>
      <c r="D80" s="55"/>
      <c r="E80" s="55"/>
      <c r="F80" s="55"/>
      <c r="G80" s="55"/>
      <c r="H80" s="55"/>
      <c r="I80" s="55"/>
      <c r="J80" s="55"/>
      <c r="K80" s="55"/>
      <c r="L80" s="55"/>
      <c r="M80" s="55"/>
      <c r="N80" s="55"/>
      <c r="O80" s="52"/>
      <c r="P80" s="52"/>
      <c r="Q80" s="52"/>
      <c r="R80" s="52"/>
      <c r="S80" s="52"/>
      <c r="T80" s="52"/>
      <c r="U80" s="51"/>
      <c r="V80" s="51"/>
      <c r="W80" s="51"/>
      <c r="X80" s="51"/>
      <c r="Y80" s="51"/>
      <c r="Z80" s="51"/>
    </row>
    <row r="81" spans="1:26">
      <c r="A81" s="55"/>
      <c r="B81" s="55"/>
      <c r="C81" s="55"/>
      <c r="D81" s="55"/>
      <c r="E81" s="55"/>
      <c r="F81" s="55"/>
      <c r="G81" s="55"/>
      <c r="H81" s="55"/>
      <c r="I81" s="55"/>
      <c r="J81" s="55"/>
      <c r="K81" s="55"/>
      <c r="L81" s="55"/>
      <c r="M81" s="55"/>
      <c r="N81" s="55"/>
      <c r="O81" s="52"/>
      <c r="P81" s="52"/>
      <c r="Q81" s="52"/>
      <c r="R81" s="52"/>
      <c r="S81" s="52"/>
      <c r="T81" s="52"/>
      <c r="U81" s="51"/>
      <c r="V81" s="51"/>
      <c r="W81" s="51"/>
      <c r="X81" s="51"/>
      <c r="Y81" s="51"/>
      <c r="Z81" s="51"/>
    </row>
    <row r="82" spans="1:26">
      <c r="A82" s="55"/>
      <c r="B82" s="55"/>
      <c r="C82" s="55"/>
      <c r="D82" s="55"/>
      <c r="E82" s="55"/>
      <c r="F82" s="55"/>
      <c r="G82" s="55"/>
      <c r="H82" s="55"/>
      <c r="I82" s="55"/>
      <c r="J82" s="55"/>
      <c r="K82" s="55"/>
      <c r="L82" s="55"/>
      <c r="M82" s="55"/>
      <c r="N82" s="55"/>
      <c r="O82" s="52"/>
      <c r="P82" s="52"/>
      <c r="Q82" s="52"/>
      <c r="R82" s="52"/>
      <c r="S82" s="52"/>
      <c r="T82" s="52"/>
      <c r="U82" s="51"/>
      <c r="V82" s="51"/>
      <c r="W82" s="51"/>
      <c r="X82" s="51"/>
      <c r="Y82" s="51"/>
      <c r="Z82" s="51"/>
    </row>
    <row r="83" spans="1:26">
      <c r="A83" s="55"/>
      <c r="B83" s="55"/>
      <c r="C83" s="55"/>
      <c r="D83" s="55"/>
      <c r="E83" s="55"/>
      <c r="F83" s="55"/>
      <c r="G83" s="55"/>
      <c r="H83" s="55"/>
      <c r="I83" s="55"/>
      <c r="J83" s="55"/>
      <c r="K83" s="55"/>
      <c r="L83" s="55"/>
      <c r="M83" s="55"/>
      <c r="N83" s="55"/>
      <c r="O83" s="52"/>
      <c r="P83" s="52"/>
      <c r="Q83" s="52"/>
      <c r="R83" s="52"/>
      <c r="S83" s="52"/>
      <c r="T83" s="52"/>
      <c r="U83" s="51"/>
      <c r="V83" s="51"/>
      <c r="W83" s="51"/>
      <c r="X83" s="51"/>
      <c r="Y83" s="51"/>
      <c r="Z83" s="51"/>
    </row>
    <row r="84" spans="1:26">
      <c r="A84" s="55"/>
      <c r="B84" s="55"/>
      <c r="C84" s="55"/>
      <c r="D84" s="55"/>
      <c r="E84" s="55"/>
      <c r="F84" s="55"/>
      <c r="G84" s="55"/>
      <c r="H84" s="55"/>
      <c r="I84" s="55"/>
      <c r="J84" s="55"/>
      <c r="K84" s="55"/>
      <c r="L84" s="55"/>
      <c r="M84" s="55"/>
      <c r="N84" s="55"/>
      <c r="O84" s="52"/>
      <c r="P84" s="52"/>
      <c r="Q84" s="52"/>
      <c r="R84" s="52"/>
      <c r="S84" s="52"/>
      <c r="T84" s="52"/>
      <c r="U84" s="51"/>
      <c r="V84" s="51"/>
      <c r="W84" s="51"/>
      <c r="X84" s="51"/>
      <c r="Y84" s="51"/>
      <c r="Z84" s="51"/>
    </row>
    <row r="85" spans="1:26">
      <c r="A85" s="55"/>
      <c r="B85" s="55"/>
      <c r="C85" s="55"/>
      <c r="D85" s="55"/>
      <c r="E85" s="55"/>
      <c r="F85" s="55"/>
      <c r="G85" s="55"/>
      <c r="H85" s="55"/>
      <c r="I85" s="55"/>
      <c r="J85" s="55"/>
      <c r="K85" s="55"/>
      <c r="L85" s="55"/>
      <c r="M85" s="55"/>
      <c r="N85" s="55"/>
      <c r="O85" s="52"/>
      <c r="P85" s="52"/>
      <c r="Q85" s="52"/>
      <c r="R85" s="52"/>
      <c r="S85" s="52"/>
      <c r="T85" s="52"/>
      <c r="U85" s="51"/>
      <c r="V85" s="51"/>
      <c r="W85" s="51"/>
      <c r="X85" s="51"/>
      <c r="Y85" s="51"/>
      <c r="Z85" s="51"/>
    </row>
    <row r="86" spans="1:26">
      <c r="A86" s="55"/>
      <c r="B86" s="55"/>
      <c r="C86" s="55"/>
      <c r="D86" s="55"/>
      <c r="E86" s="55"/>
      <c r="F86" s="55"/>
      <c r="G86" s="55"/>
      <c r="H86" s="55"/>
      <c r="I86" s="55"/>
      <c r="J86" s="55"/>
      <c r="K86" s="55"/>
      <c r="L86" s="55"/>
      <c r="M86" s="55"/>
      <c r="N86" s="55"/>
      <c r="O86" s="52"/>
      <c r="P86" s="52"/>
      <c r="Q86" s="52"/>
      <c r="R86" s="52"/>
      <c r="S86" s="52"/>
      <c r="T86" s="52"/>
      <c r="U86" s="51"/>
      <c r="V86" s="51"/>
      <c r="W86" s="51"/>
      <c r="X86" s="51"/>
      <c r="Y86" s="51"/>
      <c r="Z86" s="51"/>
    </row>
    <row r="87" spans="1:26">
      <c r="A87" s="55"/>
      <c r="B87" s="55"/>
      <c r="C87" s="55"/>
      <c r="D87" s="55"/>
      <c r="E87" s="55"/>
      <c r="F87" s="55"/>
      <c r="G87" s="55"/>
      <c r="H87" s="55"/>
      <c r="I87" s="55"/>
      <c r="J87" s="55"/>
      <c r="K87" s="55"/>
      <c r="L87" s="55"/>
      <c r="M87" s="55"/>
      <c r="N87" s="55"/>
      <c r="O87" s="52"/>
      <c r="P87" s="52"/>
      <c r="Q87" s="52"/>
      <c r="R87" s="52"/>
      <c r="S87" s="52"/>
      <c r="T87" s="52"/>
      <c r="U87" s="51"/>
      <c r="V87" s="51"/>
      <c r="W87" s="51"/>
      <c r="X87" s="51"/>
      <c r="Y87" s="51"/>
      <c r="Z87" s="51"/>
    </row>
    <row r="88" spans="1:26">
      <c r="A88" s="55"/>
      <c r="B88" s="55"/>
      <c r="C88" s="55"/>
      <c r="D88" s="55"/>
      <c r="E88" s="55"/>
      <c r="F88" s="55"/>
      <c r="G88" s="55"/>
      <c r="H88" s="55"/>
      <c r="I88" s="55"/>
      <c r="J88" s="55"/>
      <c r="K88" s="55"/>
      <c r="L88" s="55"/>
      <c r="M88" s="55"/>
      <c r="N88" s="55"/>
      <c r="O88" s="52"/>
      <c r="P88" s="52"/>
      <c r="Q88" s="52"/>
      <c r="R88" s="52"/>
      <c r="S88" s="52"/>
      <c r="T88" s="52"/>
      <c r="U88" s="51"/>
      <c r="V88" s="51"/>
      <c r="W88" s="51"/>
      <c r="X88" s="51"/>
      <c r="Y88" s="51"/>
      <c r="Z88" s="51"/>
    </row>
    <row r="89" spans="1:26">
      <c r="A89" s="55"/>
      <c r="B89" s="55"/>
      <c r="C89" s="55"/>
      <c r="D89" s="55"/>
      <c r="E89" s="55"/>
      <c r="F89" s="55"/>
      <c r="G89" s="55"/>
      <c r="H89" s="55"/>
      <c r="I89" s="55"/>
      <c r="J89" s="55"/>
      <c r="K89" s="55"/>
      <c r="L89" s="55"/>
      <c r="M89" s="55"/>
      <c r="N89" s="55"/>
      <c r="O89" s="52"/>
      <c r="P89" s="52"/>
      <c r="Q89" s="52"/>
      <c r="R89" s="52"/>
      <c r="S89" s="52"/>
      <c r="T89" s="52"/>
      <c r="U89" s="51"/>
      <c r="V89" s="51"/>
      <c r="W89" s="51"/>
      <c r="X89" s="51"/>
      <c r="Y89" s="51"/>
      <c r="Z89" s="51"/>
    </row>
    <row r="90" spans="1:26">
      <c r="A90" s="55"/>
      <c r="B90" s="55"/>
      <c r="C90" s="55"/>
      <c r="D90" s="55"/>
      <c r="E90" s="55"/>
      <c r="F90" s="55"/>
      <c r="G90" s="55"/>
      <c r="H90" s="55"/>
      <c r="I90" s="55"/>
      <c r="J90" s="55"/>
      <c r="K90" s="55"/>
      <c r="L90" s="55"/>
      <c r="M90" s="55"/>
      <c r="N90" s="55"/>
      <c r="O90" s="52"/>
      <c r="P90" s="52"/>
      <c r="Q90" s="52"/>
      <c r="R90" s="52"/>
      <c r="S90" s="52"/>
      <c r="T90" s="52"/>
      <c r="U90" s="51"/>
      <c r="V90" s="51"/>
      <c r="W90" s="51"/>
      <c r="X90" s="51"/>
      <c r="Y90" s="51"/>
      <c r="Z90" s="51"/>
    </row>
    <row r="91" spans="1:26">
      <c r="A91" s="55"/>
      <c r="B91" s="55"/>
      <c r="C91" s="55"/>
      <c r="D91" s="55"/>
      <c r="E91" s="55"/>
      <c r="F91" s="55"/>
      <c r="G91" s="55"/>
      <c r="H91" s="55"/>
      <c r="I91" s="55"/>
      <c r="J91" s="55"/>
      <c r="K91" s="55"/>
      <c r="L91" s="55"/>
      <c r="M91" s="55"/>
      <c r="N91" s="55"/>
      <c r="O91" s="52"/>
      <c r="P91" s="52"/>
      <c r="Q91" s="52"/>
      <c r="R91" s="52"/>
      <c r="S91" s="52"/>
      <c r="T91" s="52"/>
      <c r="U91" s="51"/>
      <c r="V91" s="51"/>
      <c r="W91" s="51"/>
      <c r="X91" s="51"/>
      <c r="Y91" s="51"/>
      <c r="Z91" s="51"/>
    </row>
    <row r="92" spans="1:26">
      <c r="A92" s="55"/>
      <c r="B92" s="55"/>
      <c r="C92" s="55"/>
      <c r="D92" s="55"/>
      <c r="E92" s="55"/>
      <c r="F92" s="55"/>
      <c r="G92" s="55"/>
      <c r="H92" s="55"/>
      <c r="I92" s="55"/>
      <c r="J92" s="55"/>
      <c r="K92" s="55"/>
      <c r="L92" s="55"/>
      <c r="M92" s="55"/>
      <c r="N92" s="55"/>
      <c r="O92" s="52"/>
      <c r="P92" s="52"/>
      <c r="Q92" s="52"/>
      <c r="R92" s="52"/>
      <c r="S92" s="52"/>
      <c r="T92" s="52"/>
      <c r="U92" s="51"/>
      <c r="V92" s="51"/>
      <c r="W92" s="51"/>
      <c r="X92" s="51"/>
      <c r="Y92" s="51"/>
      <c r="Z92" s="51"/>
    </row>
    <row r="93" spans="1:26">
      <c r="A93" s="55"/>
      <c r="B93" s="55"/>
      <c r="C93" s="55"/>
      <c r="D93" s="55"/>
      <c r="E93" s="55"/>
      <c r="F93" s="55"/>
      <c r="G93" s="55"/>
      <c r="H93" s="55"/>
      <c r="I93" s="55"/>
      <c r="J93" s="55"/>
      <c r="K93" s="55"/>
      <c r="L93" s="55"/>
      <c r="M93" s="55"/>
      <c r="N93" s="55"/>
      <c r="O93" s="52"/>
      <c r="P93" s="52"/>
      <c r="Q93" s="52"/>
      <c r="R93" s="52"/>
      <c r="S93" s="52"/>
      <c r="T93" s="52"/>
      <c r="U93" s="51"/>
      <c r="V93" s="51"/>
      <c r="W93" s="51"/>
      <c r="X93" s="51"/>
      <c r="Y93" s="51"/>
      <c r="Z93" s="51"/>
    </row>
    <row r="94" spans="1:26">
      <c r="A94" s="55"/>
      <c r="B94" s="55"/>
      <c r="C94" s="55"/>
      <c r="D94" s="55"/>
      <c r="E94" s="55"/>
      <c r="F94" s="55"/>
      <c r="G94" s="55"/>
      <c r="H94" s="55"/>
      <c r="I94" s="55"/>
      <c r="J94" s="55"/>
      <c r="K94" s="55"/>
      <c r="L94" s="55"/>
      <c r="M94" s="55"/>
      <c r="N94" s="55"/>
      <c r="O94" s="52"/>
      <c r="P94" s="52"/>
      <c r="Q94" s="52"/>
      <c r="R94" s="52"/>
      <c r="S94" s="52"/>
      <c r="T94" s="52"/>
      <c r="U94" s="51"/>
      <c r="V94" s="51"/>
      <c r="W94" s="51"/>
      <c r="X94" s="51"/>
      <c r="Y94" s="51"/>
      <c r="Z94" s="51"/>
    </row>
    <row r="95" spans="1:26">
      <c r="A95" s="55"/>
      <c r="B95" s="55"/>
      <c r="C95" s="55"/>
      <c r="D95" s="55"/>
      <c r="E95" s="55"/>
      <c r="F95" s="55"/>
      <c r="G95" s="55"/>
      <c r="H95" s="55"/>
      <c r="I95" s="55"/>
      <c r="J95" s="55"/>
      <c r="K95" s="55"/>
      <c r="L95" s="55"/>
      <c r="M95" s="55"/>
      <c r="N95" s="55"/>
      <c r="O95" s="52"/>
      <c r="P95" s="52"/>
      <c r="Q95" s="52"/>
      <c r="R95" s="52"/>
      <c r="S95" s="52"/>
      <c r="T95" s="52"/>
      <c r="U95" s="51"/>
      <c r="V95" s="51"/>
      <c r="W95" s="51"/>
      <c r="X95" s="51"/>
      <c r="Y95" s="51"/>
      <c r="Z95" s="51"/>
    </row>
    <row r="96" spans="1:26">
      <c r="A96" s="55"/>
      <c r="B96" s="55"/>
      <c r="C96" s="55"/>
      <c r="D96" s="55"/>
      <c r="E96" s="55"/>
      <c r="F96" s="55"/>
      <c r="G96" s="55"/>
      <c r="H96" s="55"/>
      <c r="I96" s="55"/>
      <c r="J96" s="55"/>
      <c r="K96" s="55"/>
      <c r="L96" s="55"/>
      <c r="M96" s="55"/>
      <c r="N96" s="55"/>
      <c r="O96" s="52"/>
      <c r="P96" s="52"/>
      <c r="Q96" s="52"/>
      <c r="R96" s="52"/>
      <c r="S96" s="52"/>
      <c r="T96" s="52"/>
      <c r="U96" s="51"/>
      <c r="V96" s="51"/>
      <c r="W96" s="51"/>
      <c r="X96" s="51"/>
      <c r="Y96" s="51"/>
      <c r="Z96" s="51"/>
    </row>
    <row r="97" spans="1:26">
      <c r="A97" s="55"/>
      <c r="B97" s="55"/>
      <c r="C97" s="55"/>
      <c r="D97" s="55"/>
      <c r="E97" s="55"/>
      <c r="F97" s="55"/>
      <c r="G97" s="55"/>
      <c r="H97" s="55"/>
      <c r="I97" s="55"/>
      <c r="J97" s="55"/>
      <c r="K97" s="55"/>
      <c r="L97" s="55"/>
      <c r="M97" s="55"/>
      <c r="N97" s="55"/>
      <c r="O97" s="52"/>
      <c r="P97" s="52"/>
      <c r="Q97" s="52"/>
      <c r="R97" s="52"/>
      <c r="S97" s="52"/>
      <c r="T97" s="52"/>
      <c r="U97" s="51"/>
      <c r="V97" s="51"/>
      <c r="W97" s="51"/>
      <c r="X97" s="51"/>
      <c r="Y97" s="51"/>
      <c r="Z97" s="51"/>
    </row>
    <row r="98" spans="1:26">
      <c r="A98" s="55"/>
      <c r="B98" s="55"/>
      <c r="C98" s="55"/>
      <c r="D98" s="55"/>
      <c r="E98" s="55"/>
      <c r="F98" s="55"/>
      <c r="G98" s="55"/>
      <c r="H98" s="55"/>
      <c r="I98" s="55"/>
      <c r="J98" s="55"/>
      <c r="K98" s="55"/>
      <c r="L98" s="55"/>
      <c r="M98" s="55"/>
      <c r="N98" s="55"/>
      <c r="O98" s="52"/>
      <c r="P98" s="52"/>
      <c r="Q98" s="52"/>
      <c r="R98" s="52"/>
      <c r="S98" s="52"/>
      <c r="T98" s="52"/>
      <c r="U98" s="51"/>
      <c r="V98" s="51"/>
      <c r="W98" s="51"/>
      <c r="X98" s="51"/>
      <c r="Y98" s="51"/>
      <c r="Z98" s="51"/>
    </row>
    <row r="99" spans="1:26">
      <c r="A99" s="55"/>
      <c r="B99" s="55"/>
      <c r="C99" s="55"/>
      <c r="D99" s="55"/>
      <c r="E99" s="55"/>
      <c r="F99" s="55"/>
      <c r="G99" s="55"/>
      <c r="H99" s="55"/>
      <c r="I99" s="55"/>
      <c r="J99" s="55"/>
      <c r="K99" s="55"/>
      <c r="L99" s="55"/>
      <c r="M99" s="55"/>
      <c r="N99" s="55"/>
      <c r="O99" s="52"/>
      <c r="P99" s="52"/>
      <c r="Q99" s="52"/>
      <c r="R99" s="52"/>
      <c r="S99" s="52"/>
      <c r="T99" s="52"/>
      <c r="U99" s="51"/>
      <c r="V99" s="51"/>
      <c r="W99" s="51"/>
      <c r="X99" s="51"/>
      <c r="Y99" s="51"/>
      <c r="Z99" s="51"/>
    </row>
    <row r="100" spans="1:26">
      <c r="A100" s="55"/>
      <c r="B100" s="55"/>
      <c r="C100" s="55"/>
      <c r="D100" s="55"/>
      <c r="E100" s="55"/>
      <c r="F100" s="55"/>
      <c r="G100" s="55"/>
      <c r="H100" s="55"/>
      <c r="I100" s="55"/>
      <c r="J100" s="55"/>
      <c r="K100" s="55"/>
      <c r="L100" s="55"/>
      <c r="M100" s="55"/>
      <c r="N100" s="55"/>
      <c r="O100" s="52"/>
      <c r="P100" s="52"/>
      <c r="Q100" s="52"/>
      <c r="R100" s="52"/>
      <c r="S100" s="52"/>
      <c r="T100" s="52"/>
      <c r="U100" s="51"/>
      <c r="V100" s="51"/>
      <c r="W100" s="51"/>
      <c r="X100" s="51"/>
      <c r="Y100" s="51"/>
      <c r="Z100" s="51"/>
    </row>
    <row r="101" spans="1:26">
      <c r="A101" s="55"/>
      <c r="B101" s="55"/>
      <c r="C101" s="55"/>
      <c r="D101" s="55"/>
      <c r="E101" s="55"/>
      <c r="F101" s="55"/>
      <c r="G101" s="55"/>
      <c r="H101" s="55"/>
      <c r="I101" s="55"/>
      <c r="J101" s="55"/>
      <c r="K101" s="55"/>
      <c r="L101" s="55"/>
      <c r="M101" s="55"/>
      <c r="N101" s="55"/>
      <c r="O101" s="52"/>
      <c r="P101" s="52"/>
      <c r="Q101" s="52"/>
      <c r="R101" s="52"/>
      <c r="S101" s="52"/>
      <c r="T101" s="52"/>
      <c r="U101" s="51"/>
      <c r="V101" s="51"/>
      <c r="W101" s="51"/>
      <c r="X101" s="51"/>
      <c r="Y101" s="51"/>
      <c r="Z101" s="51"/>
    </row>
    <row r="102" spans="1:26">
      <c r="A102" s="55"/>
      <c r="B102" s="55"/>
      <c r="C102" s="55"/>
      <c r="D102" s="55"/>
      <c r="E102" s="55"/>
      <c r="F102" s="55"/>
      <c r="G102" s="55"/>
      <c r="H102" s="55"/>
      <c r="I102" s="55"/>
      <c r="J102" s="55"/>
      <c r="K102" s="55"/>
      <c r="L102" s="55"/>
      <c r="M102" s="55"/>
      <c r="N102" s="55"/>
      <c r="O102" s="52"/>
      <c r="P102" s="52"/>
      <c r="Q102" s="52"/>
      <c r="R102" s="52"/>
      <c r="S102" s="52"/>
      <c r="T102" s="52"/>
      <c r="U102" s="51"/>
      <c r="V102" s="51"/>
      <c r="W102" s="51"/>
      <c r="X102" s="51"/>
      <c r="Y102" s="51"/>
      <c r="Z102" s="51"/>
    </row>
    <row r="103" spans="1:26">
      <c r="A103" s="55"/>
      <c r="B103" s="55"/>
      <c r="C103" s="55"/>
      <c r="D103" s="55"/>
      <c r="E103" s="55"/>
      <c r="F103" s="55"/>
      <c r="G103" s="55"/>
      <c r="H103" s="55"/>
      <c r="I103" s="55"/>
      <c r="J103" s="55"/>
      <c r="K103" s="55"/>
      <c r="L103" s="55"/>
      <c r="M103" s="55"/>
      <c r="N103" s="55"/>
      <c r="O103" s="52"/>
      <c r="P103" s="52"/>
      <c r="Q103" s="52"/>
      <c r="R103" s="52"/>
      <c r="S103" s="52"/>
      <c r="T103" s="52"/>
      <c r="U103" s="51"/>
      <c r="V103" s="51"/>
      <c r="W103" s="51"/>
      <c r="X103" s="51"/>
      <c r="Y103" s="51"/>
      <c r="Z103" s="51"/>
    </row>
    <row r="104" spans="1:26">
      <c r="A104" s="55"/>
      <c r="B104" s="55"/>
      <c r="C104" s="55"/>
      <c r="D104" s="55"/>
      <c r="E104" s="55"/>
      <c r="F104" s="55"/>
      <c r="G104" s="55"/>
      <c r="H104" s="55"/>
      <c r="I104" s="55"/>
      <c r="J104" s="55"/>
      <c r="K104" s="55"/>
      <c r="L104" s="55"/>
      <c r="M104" s="55"/>
      <c r="N104" s="55"/>
      <c r="O104" s="52"/>
      <c r="P104" s="52"/>
      <c r="Q104" s="52"/>
      <c r="R104" s="52"/>
      <c r="S104" s="52"/>
      <c r="T104" s="52"/>
      <c r="U104" s="51"/>
      <c r="V104" s="51"/>
      <c r="W104" s="51"/>
      <c r="X104" s="51"/>
      <c r="Y104" s="51"/>
      <c r="Z104" s="51"/>
    </row>
    <row r="105" spans="1:26">
      <c r="A105" s="55"/>
      <c r="B105" s="55"/>
      <c r="C105" s="55"/>
      <c r="D105" s="55"/>
      <c r="E105" s="55"/>
      <c r="F105" s="55"/>
      <c r="G105" s="55"/>
      <c r="H105" s="55"/>
      <c r="I105" s="55"/>
      <c r="J105" s="55"/>
      <c r="K105" s="55"/>
      <c r="L105" s="55"/>
      <c r="M105" s="55"/>
      <c r="N105" s="55"/>
      <c r="O105" s="52"/>
      <c r="P105" s="52"/>
      <c r="Q105" s="52"/>
      <c r="R105" s="52"/>
      <c r="S105" s="52"/>
      <c r="T105" s="52"/>
      <c r="U105" s="51"/>
      <c r="V105" s="51"/>
      <c r="W105" s="51"/>
      <c r="X105" s="51"/>
      <c r="Y105" s="51"/>
      <c r="Z105" s="51"/>
    </row>
    <row r="106" spans="1:26">
      <c r="A106" s="55"/>
      <c r="B106" s="55"/>
      <c r="C106" s="55"/>
      <c r="D106" s="55"/>
      <c r="E106" s="55"/>
      <c r="F106" s="55"/>
      <c r="G106" s="55"/>
      <c r="H106" s="55"/>
      <c r="I106" s="55"/>
      <c r="J106" s="55"/>
      <c r="K106" s="55"/>
      <c r="L106" s="55"/>
      <c r="M106" s="55"/>
      <c r="N106" s="55"/>
      <c r="O106" s="52"/>
      <c r="P106" s="52"/>
      <c r="Q106" s="52"/>
      <c r="R106" s="52"/>
      <c r="S106" s="52"/>
      <c r="T106" s="52"/>
      <c r="U106" s="51"/>
      <c r="V106" s="51"/>
      <c r="W106" s="51"/>
      <c r="X106" s="51"/>
      <c r="Y106" s="51"/>
      <c r="Z106" s="51"/>
    </row>
    <row r="107" spans="1:26">
      <c r="A107" s="55"/>
      <c r="B107" s="55"/>
      <c r="C107" s="55"/>
      <c r="D107" s="55"/>
      <c r="E107" s="55"/>
      <c r="F107" s="55"/>
      <c r="G107" s="55"/>
      <c r="H107" s="55"/>
      <c r="I107" s="55"/>
      <c r="J107" s="55"/>
      <c r="K107" s="55"/>
      <c r="L107" s="55"/>
      <c r="M107" s="55"/>
      <c r="N107" s="55"/>
      <c r="O107" s="52"/>
      <c r="P107" s="52"/>
      <c r="Q107" s="52"/>
      <c r="R107" s="52"/>
      <c r="S107" s="52"/>
      <c r="T107" s="52"/>
      <c r="U107" s="51"/>
      <c r="V107" s="51"/>
      <c r="W107" s="51"/>
      <c r="X107" s="51"/>
      <c r="Y107" s="51"/>
      <c r="Z107" s="51"/>
    </row>
    <row r="108" spans="1:26">
      <c r="A108" s="55"/>
      <c r="B108" s="55"/>
      <c r="C108" s="55"/>
      <c r="D108" s="55"/>
      <c r="E108" s="55"/>
      <c r="F108" s="55"/>
      <c r="G108" s="55"/>
      <c r="H108" s="55"/>
      <c r="I108" s="55"/>
      <c r="J108" s="55"/>
      <c r="K108" s="55"/>
      <c r="L108" s="55"/>
      <c r="M108" s="55"/>
      <c r="N108" s="55"/>
      <c r="O108" s="52"/>
      <c r="P108" s="52"/>
      <c r="Q108" s="52"/>
      <c r="R108" s="52"/>
      <c r="S108" s="52"/>
      <c r="T108" s="52"/>
      <c r="U108" s="51"/>
      <c r="V108" s="51"/>
      <c r="W108" s="51"/>
      <c r="X108" s="51"/>
      <c r="Y108" s="51"/>
      <c r="Z108" s="51"/>
    </row>
    <row r="109" spans="1:26">
      <c r="A109" s="55"/>
      <c r="B109" s="55"/>
      <c r="C109" s="55"/>
      <c r="D109" s="55"/>
      <c r="E109" s="55"/>
      <c r="F109" s="55"/>
      <c r="G109" s="55"/>
      <c r="H109" s="55"/>
      <c r="I109" s="55"/>
      <c r="J109" s="55"/>
      <c r="K109" s="55"/>
      <c r="L109" s="55"/>
      <c r="M109" s="55"/>
      <c r="N109" s="55"/>
      <c r="O109" s="52"/>
      <c r="P109" s="52"/>
      <c r="Q109" s="52"/>
      <c r="R109" s="52"/>
      <c r="S109" s="52"/>
      <c r="T109" s="52"/>
      <c r="U109" s="51"/>
      <c r="V109" s="51"/>
      <c r="W109" s="51"/>
      <c r="X109" s="51"/>
      <c r="Y109" s="51"/>
      <c r="Z109" s="51"/>
    </row>
    <row r="110" spans="1:26">
      <c r="A110" s="55"/>
      <c r="B110" s="55"/>
      <c r="C110" s="55"/>
      <c r="D110" s="55"/>
      <c r="E110" s="55"/>
      <c r="F110" s="55"/>
      <c r="G110" s="55"/>
      <c r="H110" s="55"/>
      <c r="I110" s="55"/>
      <c r="J110" s="55"/>
      <c r="K110" s="55"/>
      <c r="L110" s="55"/>
      <c r="M110" s="55"/>
      <c r="N110" s="55"/>
      <c r="O110" s="52"/>
      <c r="P110" s="52"/>
      <c r="Q110" s="52"/>
      <c r="R110" s="52"/>
      <c r="S110" s="52"/>
      <c r="T110" s="52"/>
      <c r="U110" s="51"/>
      <c r="V110" s="51"/>
      <c r="W110" s="51"/>
      <c r="X110" s="51"/>
      <c r="Y110" s="51"/>
      <c r="Z110" s="51"/>
    </row>
    <row r="111" spans="1:26">
      <c r="A111" s="55"/>
      <c r="B111" s="55"/>
      <c r="C111" s="55"/>
      <c r="D111" s="55"/>
      <c r="E111" s="55"/>
      <c r="F111" s="55"/>
      <c r="G111" s="55"/>
      <c r="H111" s="55"/>
      <c r="I111" s="55"/>
      <c r="J111" s="55"/>
      <c r="K111" s="55"/>
      <c r="L111" s="55"/>
      <c r="M111" s="55"/>
      <c r="N111" s="55"/>
      <c r="O111" s="52"/>
      <c r="P111" s="52"/>
      <c r="Q111" s="52"/>
      <c r="R111" s="52"/>
      <c r="S111" s="52"/>
      <c r="T111" s="52"/>
      <c r="U111" s="51"/>
      <c r="V111" s="51"/>
      <c r="W111" s="51"/>
      <c r="X111" s="51"/>
      <c r="Y111" s="51"/>
      <c r="Z111" s="51"/>
    </row>
    <row r="112" spans="1:26">
      <c r="A112" s="55"/>
      <c r="B112" s="55"/>
      <c r="C112" s="55"/>
      <c r="D112" s="55"/>
      <c r="E112" s="55"/>
      <c r="F112" s="55"/>
      <c r="G112" s="55"/>
      <c r="H112" s="55"/>
      <c r="I112" s="55"/>
      <c r="J112" s="55"/>
      <c r="K112" s="55"/>
      <c r="L112" s="55"/>
      <c r="M112" s="55"/>
      <c r="N112" s="55"/>
      <c r="O112" s="52"/>
      <c r="P112" s="52"/>
      <c r="Q112" s="52"/>
      <c r="R112" s="52"/>
      <c r="S112" s="52"/>
      <c r="T112" s="52"/>
      <c r="U112" s="51"/>
      <c r="V112" s="51"/>
      <c r="W112" s="51"/>
      <c r="X112" s="51"/>
      <c r="Y112" s="51"/>
      <c r="Z112" s="51"/>
    </row>
    <row r="113" spans="1:26">
      <c r="A113" s="55"/>
      <c r="B113" s="55"/>
      <c r="C113" s="55"/>
      <c r="D113" s="55"/>
      <c r="E113" s="55"/>
      <c r="F113" s="55"/>
      <c r="G113" s="55"/>
      <c r="H113" s="55"/>
      <c r="I113" s="55"/>
      <c r="J113" s="55"/>
      <c r="K113" s="55"/>
      <c r="L113" s="55"/>
      <c r="M113" s="55"/>
      <c r="N113" s="55"/>
      <c r="O113" s="52"/>
      <c r="P113" s="52"/>
      <c r="Q113" s="52"/>
      <c r="R113" s="52"/>
      <c r="S113" s="52"/>
      <c r="T113" s="52"/>
      <c r="U113" s="51"/>
      <c r="V113" s="51"/>
      <c r="W113" s="51"/>
      <c r="X113" s="51"/>
      <c r="Y113" s="51"/>
      <c r="Z113" s="51"/>
    </row>
    <row r="114" spans="1:26">
      <c r="A114" s="55"/>
      <c r="B114" s="55"/>
      <c r="C114" s="55"/>
      <c r="D114" s="55"/>
      <c r="E114" s="55"/>
      <c r="F114" s="55"/>
      <c r="G114" s="55"/>
      <c r="H114" s="55"/>
      <c r="I114" s="55"/>
      <c r="J114" s="55"/>
      <c r="K114" s="55"/>
      <c r="L114" s="55"/>
      <c r="M114" s="55"/>
      <c r="N114" s="55"/>
      <c r="O114" s="52"/>
      <c r="P114" s="52"/>
      <c r="Q114" s="52"/>
      <c r="R114" s="52"/>
      <c r="S114" s="52"/>
      <c r="T114" s="52"/>
      <c r="U114" s="51"/>
      <c r="V114" s="51"/>
      <c r="W114" s="51"/>
      <c r="X114" s="51"/>
      <c r="Y114" s="51"/>
      <c r="Z114" s="51"/>
    </row>
    <row r="115" spans="1:26">
      <c r="A115" s="55"/>
      <c r="B115" s="55"/>
      <c r="C115" s="55"/>
      <c r="D115" s="55"/>
      <c r="E115" s="55"/>
      <c r="F115" s="55"/>
      <c r="G115" s="55"/>
      <c r="H115" s="55"/>
      <c r="I115" s="55"/>
      <c r="J115" s="55"/>
      <c r="K115" s="55"/>
      <c r="L115" s="55"/>
      <c r="M115" s="55"/>
      <c r="N115" s="55"/>
      <c r="O115" s="52"/>
      <c r="P115" s="52"/>
      <c r="Q115" s="52"/>
      <c r="R115" s="52"/>
      <c r="S115" s="52"/>
      <c r="T115" s="52"/>
      <c r="U115" s="51"/>
      <c r="V115" s="51"/>
      <c r="W115" s="51"/>
      <c r="X115" s="51"/>
      <c r="Y115" s="51"/>
      <c r="Z115" s="51"/>
    </row>
    <row r="116" spans="1:26">
      <c r="A116" s="55"/>
      <c r="B116" s="55"/>
      <c r="C116" s="55"/>
      <c r="D116" s="55"/>
      <c r="E116" s="55"/>
      <c r="F116" s="55"/>
      <c r="G116" s="55"/>
      <c r="H116" s="55"/>
      <c r="I116" s="55"/>
      <c r="J116" s="55"/>
      <c r="K116" s="55"/>
      <c r="L116" s="55"/>
      <c r="M116" s="55"/>
      <c r="N116" s="55"/>
      <c r="O116" s="52"/>
      <c r="P116" s="52"/>
      <c r="Q116" s="52"/>
      <c r="R116" s="52"/>
      <c r="S116" s="52"/>
      <c r="T116" s="52"/>
      <c r="U116" s="51"/>
      <c r="V116" s="51"/>
      <c r="W116" s="51"/>
      <c r="X116" s="51"/>
      <c r="Y116" s="51"/>
      <c r="Z116" s="51"/>
    </row>
    <row r="117" spans="1:26">
      <c r="A117" s="55"/>
      <c r="B117" s="55"/>
      <c r="C117" s="55"/>
      <c r="D117" s="55"/>
      <c r="E117" s="55"/>
      <c r="F117" s="55"/>
      <c r="G117" s="55"/>
      <c r="H117" s="55"/>
      <c r="I117" s="55"/>
      <c r="J117" s="55"/>
      <c r="K117" s="55"/>
      <c r="L117" s="55"/>
      <c r="M117" s="55"/>
      <c r="N117" s="55"/>
      <c r="O117" s="52"/>
      <c r="P117" s="52"/>
      <c r="Q117" s="52"/>
      <c r="R117" s="52"/>
      <c r="S117" s="52"/>
      <c r="T117" s="52"/>
      <c r="U117" s="51"/>
      <c r="V117" s="51"/>
      <c r="W117" s="51"/>
      <c r="X117" s="51"/>
      <c r="Y117" s="51"/>
      <c r="Z117" s="51"/>
    </row>
    <row r="118" spans="1:26">
      <c r="A118" s="55"/>
      <c r="B118" s="55"/>
      <c r="C118" s="55"/>
      <c r="D118" s="55"/>
      <c r="E118" s="55"/>
      <c r="F118" s="55"/>
      <c r="G118" s="55"/>
      <c r="H118" s="55"/>
      <c r="I118" s="55"/>
      <c r="J118" s="55"/>
      <c r="K118" s="55"/>
      <c r="L118" s="55"/>
      <c r="M118" s="55"/>
      <c r="N118" s="55"/>
      <c r="O118" s="52"/>
      <c r="P118" s="52"/>
      <c r="Q118" s="52"/>
      <c r="R118" s="52"/>
      <c r="S118" s="52"/>
      <c r="T118" s="52"/>
      <c r="U118" s="51"/>
      <c r="V118" s="51"/>
      <c r="W118" s="51"/>
      <c r="X118" s="51"/>
      <c r="Y118" s="51"/>
      <c r="Z118" s="51"/>
    </row>
    <row r="119" spans="1:26">
      <c r="A119" s="55"/>
      <c r="B119" s="55"/>
      <c r="C119" s="55"/>
      <c r="D119" s="55"/>
      <c r="E119" s="55"/>
      <c r="F119" s="55"/>
      <c r="G119" s="55"/>
      <c r="H119" s="55"/>
      <c r="I119" s="55"/>
      <c r="J119" s="55"/>
      <c r="K119" s="55"/>
      <c r="L119" s="55"/>
      <c r="M119" s="55"/>
      <c r="N119" s="55"/>
      <c r="O119" s="52"/>
      <c r="P119" s="52"/>
      <c r="Q119" s="52"/>
      <c r="R119" s="52"/>
      <c r="S119" s="52"/>
      <c r="T119" s="52"/>
      <c r="U119" s="51"/>
      <c r="V119" s="51"/>
      <c r="W119" s="51"/>
      <c r="X119" s="51"/>
      <c r="Y119" s="51"/>
      <c r="Z119" s="51"/>
    </row>
    <row r="120" spans="1:26">
      <c r="A120" s="55"/>
      <c r="B120" s="55"/>
      <c r="C120" s="55"/>
      <c r="D120" s="55"/>
      <c r="E120" s="55"/>
      <c r="F120" s="55"/>
      <c r="G120" s="55"/>
      <c r="H120" s="55"/>
      <c r="I120" s="55"/>
      <c r="J120" s="55"/>
      <c r="K120" s="55"/>
      <c r="L120" s="55"/>
      <c r="M120" s="55"/>
      <c r="N120" s="55"/>
      <c r="O120" s="52"/>
      <c r="P120" s="52"/>
      <c r="Q120" s="52"/>
      <c r="R120" s="52"/>
      <c r="S120" s="52"/>
      <c r="T120" s="52"/>
      <c r="U120" s="51"/>
      <c r="V120" s="51"/>
      <c r="W120" s="51"/>
      <c r="X120" s="51"/>
      <c r="Y120" s="51"/>
      <c r="Z120" s="51"/>
    </row>
    <row r="121" spans="1:26">
      <c r="A121" s="55"/>
      <c r="B121" s="55"/>
      <c r="C121" s="55"/>
      <c r="D121" s="55"/>
      <c r="E121" s="55"/>
      <c r="F121" s="55"/>
      <c r="G121" s="55"/>
      <c r="H121" s="55"/>
      <c r="I121" s="55"/>
      <c r="J121" s="55"/>
      <c r="K121" s="55"/>
      <c r="L121" s="55"/>
      <c r="M121" s="55"/>
      <c r="N121" s="55"/>
      <c r="O121" s="52"/>
      <c r="P121" s="52"/>
      <c r="Q121" s="52"/>
      <c r="R121" s="52"/>
      <c r="S121" s="52"/>
      <c r="T121" s="52"/>
      <c r="U121" s="51"/>
      <c r="V121" s="51"/>
      <c r="W121" s="51"/>
      <c r="X121" s="51"/>
      <c r="Y121" s="51"/>
      <c r="Z121" s="51"/>
    </row>
    <row r="122" spans="1:26">
      <c r="A122" s="55"/>
      <c r="B122" s="55"/>
      <c r="C122" s="55"/>
      <c r="D122" s="55"/>
      <c r="E122" s="55"/>
      <c r="F122" s="55"/>
      <c r="G122" s="55"/>
      <c r="H122" s="55"/>
      <c r="I122" s="55"/>
      <c r="J122" s="55"/>
      <c r="K122" s="55"/>
      <c r="L122" s="55"/>
      <c r="M122" s="55"/>
      <c r="N122" s="55"/>
      <c r="O122" s="52"/>
      <c r="P122" s="52"/>
      <c r="Q122" s="52"/>
      <c r="R122" s="52"/>
      <c r="S122" s="52"/>
      <c r="T122" s="52"/>
      <c r="U122" s="51"/>
      <c r="V122" s="51"/>
      <c r="W122" s="51"/>
      <c r="X122" s="51"/>
      <c r="Y122" s="51"/>
      <c r="Z122" s="51"/>
    </row>
    <row r="123" spans="1:26">
      <c r="A123" s="55"/>
      <c r="B123" s="55"/>
      <c r="C123" s="55"/>
      <c r="D123" s="55"/>
      <c r="E123" s="55"/>
      <c r="F123" s="55"/>
      <c r="G123" s="55"/>
      <c r="H123" s="55"/>
      <c r="I123" s="55"/>
      <c r="J123" s="55"/>
      <c r="K123" s="55"/>
      <c r="L123" s="55"/>
      <c r="M123" s="55"/>
      <c r="N123" s="55"/>
      <c r="O123" s="52"/>
      <c r="P123" s="52"/>
      <c r="Q123" s="52"/>
      <c r="R123" s="52"/>
      <c r="S123" s="52"/>
      <c r="T123" s="52"/>
      <c r="U123" s="51"/>
      <c r="V123" s="51"/>
      <c r="W123" s="51"/>
      <c r="X123" s="51"/>
      <c r="Y123" s="51"/>
      <c r="Z123" s="51"/>
    </row>
    <row r="124" spans="1:26">
      <c r="A124" s="55"/>
      <c r="B124" s="55"/>
      <c r="C124" s="55"/>
      <c r="D124" s="55"/>
      <c r="E124" s="55"/>
      <c r="F124" s="55"/>
      <c r="G124" s="55"/>
      <c r="H124" s="55"/>
      <c r="I124" s="55"/>
      <c r="J124" s="55"/>
      <c r="K124" s="55"/>
      <c r="L124" s="55"/>
      <c r="M124" s="55"/>
      <c r="N124" s="55"/>
      <c r="O124" s="52"/>
      <c r="P124" s="52"/>
      <c r="Q124" s="52"/>
      <c r="R124" s="52"/>
      <c r="S124" s="52"/>
      <c r="T124" s="52"/>
      <c r="U124" s="51"/>
      <c r="V124" s="51"/>
      <c r="W124" s="51"/>
      <c r="X124" s="51"/>
      <c r="Y124" s="51"/>
      <c r="Z124" s="51"/>
    </row>
    <row r="125" spans="1:26">
      <c r="A125" s="55"/>
      <c r="B125" s="55"/>
      <c r="C125" s="55"/>
      <c r="D125" s="55"/>
      <c r="E125" s="55"/>
      <c r="F125" s="55"/>
      <c r="G125" s="55"/>
      <c r="H125" s="55"/>
      <c r="I125" s="55"/>
      <c r="J125" s="55"/>
      <c r="K125" s="55"/>
      <c r="L125" s="55"/>
      <c r="M125" s="55"/>
      <c r="N125" s="55"/>
      <c r="O125" s="52"/>
      <c r="P125" s="52"/>
      <c r="Q125" s="52"/>
      <c r="R125" s="52"/>
      <c r="S125" s="52"/>
      <c r="T125" s="52"/>
      <c r="U125" s="51"/>
      <c r="V125" s="51"/>
      <c r="W125" s="51"/>
      <c r="X125" s="51"/>
      <c r="Y125" s="51"/>
      <c r="Z125" s="51"/>
    </row>
    <row r="126" spans="1:26">
      <c r="A126" s="55"/>
      <c r="B126" s="55"/>
      <c r="C126" s="55"/>
      <c r="D126" s="55"/>
      <c r="E126" s="55"/>
      <c r="F126" s="55"/>
      <c r="G126" s="55"/>
      <c r="H126" s="55"/>
      <c r="I126" s="55"/>
      <c r="J126" s="55"/>
      <c r="K126" s="55"/>
      <c r="L126" s="55"/>
      <c r="M126" s="55"/>
      <c r="N126" s="55"/>
      <c r="O126" s="52"/>
      <c r="P126" s="52"/>
      <c r="Q126" s="52"/>
      <c r="R126" s="52"/>
      <c r="S126" s="52"/>
      <c r="T126" s="52"/>
      <c r="U126" s="51"/>
      <c r="V126" s="51"/>
      <c r="W126" s="51"/>
      <c r="X126" s="51"/>
      <c r="Y126" s="51"/>
      <c r="Z126" s="51"/>
    </row>
    <row r="127" spans="1:26">
      <c r="A127" s="55"/>
      <c r="B127" s="55"/>
      <c r="C127" s="55"/>
      <c r="D127" s="55"/>
      <c r="E127" s="55"/>
      <c r="F127" s="55"/>
      <c r="G127" s="55"/>
      <c r="H127" s="55"/>
      <c r="I127" s="55"/>
      <c r="J127" s="55"/>
      <c r="K127" s="55"/>
      <c r="L127" s="55"/>
      <c r="M127" s="55"/>
      <c r="N127" s="55"/>
      <c r="O127" s="52"/>
      <c r="P127" s="52"/>
      <c r="Q127" s="52"/>
      <c r="R127" s="52"/>
      <c r="S127" s="52"/>
      <c r="T127" s="52"/>
      <c r="U127" s="51"/>
      <c r="V127" s="51"/>
      <c r="W127" s="51"/>
      <c r="X127" s="51"/>
      <c r="Y127" s="51"/>
      <c r="Z127" s="51"/>
    </row>
    <row r="128" spans="1:26">
      <c r="A128" s="55"/>
      <c r="B128" s="55"/>
      <c r="C128" s="55"/>
      <c r="D128" s="55"/>
      <c r="E128" s="55"/>
      <c r="F128" s="55"/>
      <c r="G128" s="55"/>
      <c r="H128" s="55"/>
      <c r="I128" s="55"/>
      <c r="J128" s="55"/>
      <c r="K128" s="55"/>
      <c r="L128" s="55"/>
      <c r="M128" s="55"/>
      <c r="N128" s="55"/>
      <c r="O128" s="52"/>
      <c r="P128" s="52"/>
      <c r="Q128" s="52"/>
      <c r="R128" s="52"/>
      <c r="S128" s="52"/>
      <c r="T128" s="52"/>
      <c r="U128" s="51"/>
      <c r="V128" s="51"/>
      <c r="W128" s="51"/>
      <c r="X128" s="51"/>
      <c r="Y128" s="51"/>
      <c r="Z128" s="51"/>
    </row>
    <row r="129" spans="1:26">
      <c r="A129" s="55"/>
      <c r="B129" s="55"/>
      <c r="C129" s="55"/>
      <c r="D129" s="55"/>
      <c r="E129" s="55"/>
      <c r="F129" s="55"/>
      <c r="G129" s="55"/>
      <c r="H129" s="55"/>
      <c r="I129" s="55"/>
      <c r="J129" s="55"/>
      <c r="K129" s="55"/>
      <c r="L129" s="55"/>
      <c r="M129" s="55"/>
      <c r="N129" s="55"/>
      <c r="O129" s="52"/>
      <c r="P129" s="52"/>
      <c r="Q129" s="52"/>
      <c r="R129" s="52"/>
      <c r="S129" s="52"/>
      <c r="T129" s="52"/>
      <c r="U129" s="51"/>
      <c r="V129" s="51"/>
      <c r="W129" s="51"/>
      <c r="X129" s="51"/>
      <c r="Y129" s="51"/>
      <c r="Z129" s="51"/>
    </row>
    <row r="130" spans="1:26">
      <c r="A130" s="55"/>
      <c r="B130" s="55"/>
      <c r="C130" s="55"/>
      <c r="D130" s="55"/>
      <c r="E130" s="55"/>
      <c r="F130" s="55"/>
      <c r="G130" s="55"/>
      <c r="H130" s="55"/>
      <c r="I130" s="55"/>
      <c r="J130" s="55"/>
      <c r="K130" s="55"/>
      <c r="L130" s="55"/>
      <c r="M130" s="55"/>
      <c r="N130" s="55"/>
      <c r="O130" s="52"/>
      <c r="P130" s="52"/>
      <c r="Q130" s="52"/>
      <c r="R130" s="52"/>
      <c r="S130" s="52"/>
      <c r="T130" s="52"/>
      <c r="U130" s="51"/>
      <c r="V130" s="51"/>
      <c r="W130" s="51"/>
      <c r="X130" s="51"/>
      <c r="Y130" s="51"/>
      <c r="Z130" s="51"/>
    </row>
    <row r="131" spans="1:26">
      <c r="A131" s="55"/>
      <c r="B131" s="55"/>
      <c r="C131" s="55"/>
      <c r="D131" s="55"/>
      <c r="E131" s="55"/>
      <c r="F131" s="55"/>
      <c r="G131" s="55"/>
      <c r="H131" s="55"/>
      <c r="I131" s="55"/>
      <c r="J131" s="55"/>
      <c r="K131" s="55"/>
      <c r="L131" s="55"/>
      <c r="M131" s="55"/>
      <c r="N131" s="55"/>
      <c r="O131" s="52"/>
      <c r="P131" s="52"/>
      <c r="Q131" s="52"/>
      <c r="R131" s="52"/>
      <c r="S131" s="52"/>
      <c r="T131" s="52"/>
      <c r="U131" s="51"/>
      <c r="V131" s="51"/>
      <c r="W131" s="51"/>
      <c r="X131" s="51"/>
      <c r="Y131" s="51"/>
      <c r="Z131" s="51"/>
    </row>
    <row r="132" spans="1:26">
      <c r="A132" s="55"/>
      <c r="B132" s="55"/>
      <c r="C132" s="55"/>
      <c r="D132" s="55"/>
      <c r="E132" s="55"/>
      <c r="F132" s="55"/>
      <c r="G132" s="55"/>
      <c r="H132" s="55"/>
      <c r="I132" s="55"/>
      <c r="J132" s="55"/>
      <c r="K132" s="55"/>
      <c r="L132" s="55"/>
      <c r="M132" s="55"/>
      <c r="N132" s="55"/>
      <c r="O132" s="52"/>
      <c r="P132" s="52"/>
      <c r="Q132" s="52"/>
      <c r="R132" s="52"/>
      <c r="S132" s="52"/>
      <c r="T132" s="52"/>
      <c r="U132" s="51"/>
      <c r="V132" s="51"/>
      <c r="W132" s="51"/>
      <c r="X132" s="51"/>
      <c r="Y132" s="51"/>
      <c r="Z132" s="51"/>
    </row>
    <row r="133" spans="1:26">
      <c r="A133" s="55"/>
      <c r="B133" s="55"/>
      <c r="C133" s="55"/>
      <c r="D133" s="55"/>
      <c r="E133" s="55"/>
      <c r="F133" s="55"/>
      <c r="G133" s="55"/>
      <c r="H133" s="55"/>
      <c r="I133" s="55"/>
      <c r="J133" s="55"/>
      <c r="K133" s="55"/>
      <c r="L133" s="55"/>
      <c r="M133" s="55"/>
      <c r="N133" s="55"/>
      <c r="O133" s="52"/>
      <c r="P133" s="52"/>
      <c r="Q133" s="52"/>
      <c r="R133" s="52"/>
      <c r="S133" s="52"/>
      <c r="T133" s="52"/>
      <c r="U133" s="51"/>
      <c r="V133" s="51"/>
      <c r="W133" s="51"/>
      <c r="X133" s="51"/>
      <c r="Y133" s="51"/>
      <c r="Z133" s="51"/>
    </row>
    <row r="134" spans="1:26">
      <c r="A134" s="55"/>
      <c r="B134" s="55"/>
      <c r="C134" s="55"/>
      <c r="D134" s="55"/>
      <c r="E134" s="55"/>
      <c r="F134" s="55"/>
      <c r="G134" s="55"/>
      <c r="H134" s="55"/>
      <c r="I134" s="55"/>
      <c r="J134" s="55"/>
      <c r="K134" s="55"/>
      <c r="L134" s="55"/>
      <c r="M134" s="55"/>
      <c r="N134" s="55"/>
      <c r="O134" s="52"/>
      <c r="P134" s="52"/>
      <c r="Q134" s="52"/>
      <c r="R134" s="52"/>
      <c r="S134" s="52"/>
      <c r="T134" s="52"/>
      <c r="U134" s="51"/>
      <c r="V134" s="51"/>
      <c r="W134" s="51"/>
      <c r="X134" s="51"/>
      <c r="Y134" s="51"/>
      <c r="Z134" s="51"/>
    </row>
    <row r="135" spans="1:26">
      <c r="A135" s="55"/>
      <c r="B135" s="55"/>
      <c r="C135" s="55"/>
      <c r="D135" s="55"/>
      <c r="E135" s="55"/>
      <c r="F135" s="55"/>
      <c r="G135" s="55"/>
      <c r="H135" s="55"/>
      <c r="I135" s="55"/>
      <c r="J135" s="55"/>
      <c r="K135" s="55"/>
      <c r="L135" s="55"/>
      <c r="M135" s="55"/>
      <c r="N135" s="55"/>
      <c r="O135" s="52"/>
      <c r="P135" s="52"/>
      <c r="Q135" s="52"/>
      <c r="R135" s="52"/>
      <c r="S135" s="52"/>
      <c r="T135" s="52"/>
      <c r="U135" s="51"/>
      <c r="V135" s="51"/>
      <c r="W135" s="51"/>
      <c r="X135" s="51"/>
      <c r="Y135" s="51"/>
      <c r="Z135" s="51"/>
    </row>
    <row r="136" spans="1:26">
      <c r="A136" s="55"/>
      <c r="B136" s="55"/>
      <c r="C136" s="55"/>
      <c r="D136" s="55"/>
      <c r="E136" s="55"/>
      <c r="F136" s="55"/>
      <c r="G136" s="55"/>
      <c r="H136" s="55"/>
      <c r="I136" s="55"/>
      <c r="J136" s="55"/>
      <c r="K136" s="55"/>
      <c r="L136" s="55"/>
      <c r="M136" s="55"/>
      <c r="N136" s="55"/>
      <c r="O136" s="52"/>
      <c r="P136" s="52"/>
      <c r="Q136" s="52"/>
      <c r="R136" s="52"/>
      <c r="S136" s="52"/>
      <c r="T136" s="52"/>
      <c r="U136" s="51"/>
      <c r="V136" s="51"/>
      <c r="W136" s="51"/>
      <c r="X136" s="51"/>
      <c r="Y136" s="51"/>
      <c r="Z136" s="51"/>
    </row>
    <row r="137" spans="1:26">
      <c r="A137" s="55"/>
      <c r="B137" s="55"/>
      <c r="C137" s="55"/>
      <c r="D137" s="55"/>
      <c r="E137" s="55"/>
      <c r="F137" s="55"/>
      <c r="G137" s="55"/>
      <c r="H137" s="55"/>
      <c r="I137" s="55"/>
      <c r="J137" s="55"/>
      <c r="K137" s="55"/>
      <c r="L137" s="55"/>
      <c r="M137" s="55"/>
      <c r="N137" s="55"/>
      <c r="O137" s="52"/>
      <c r="P137" s="52"/>
      <c r="Q137" s="52"/>
      <c r="R137" s="52"/>
      <c r="S137" s="52"/>
      <c r="T137" s="52"/>
      <c r="U137" s="51"/>
      <c r="V137" s="51"/>
      <c r="W137" s="51"/>
      <c r="X137" s="51"/>
      <c r="Y137" s="51"/>
      <c r="Z137" s="51"/>
    </row>
    <row r="138" spans="1:26">
      <c r="A138" s="55"/>
      <c r="B138" s="55"/>
      <c r="C138" s="55"/>
      <c r="D138" s="55"/>
      <c r="E138" s="55"/>
      <c r="F138" s="55"/>
      <c r="G138" s="55"/>
      <c r="H138" s="55"/>
      <c r="I138" s="55"/>
      <c r="J138" s="55"/>
      <c r="K138" s="55"/>
      <c r="L138" s="55"/>
      <c r="M138" s="55"/>
      <c r="N138" s="55"/>
      <c r="O138" s="52"/>
      <c r="P138" s="52"/>
      <c r="Q138" s="52"/>
      <c r="R138" s="52"/>
      <c r="S138" s="52"/>
      <c r="T138" s="52"/>
      <c r="U138" s="51"/>
      <c r="V138" s="51"/>
      <c r="W138" s="51"/>
      <c r="X138" s="51"/>
      <c r="Y138" s="51"/>
      <c r="Z138" s="51"/>
    </row>
    <row r="139" spans="1:26">
      <c r="A139" s="55"/>
      <c r="B139" s="55"/>
      <c r="C139" s="55"/>
      <c r="D139" s="55"/>
      <c r="E139" s="55"/>
      <c r="F139" s="55"/>
      <c r="G139" s="55"/>
      <c r="H139" s="55"/>
      <c r="I139" s="55"/>
      <c r="J139" s="55"/>
      <c r="K139" s="55"/>
      <c r="L139" s="55"/>
      <c r="M139" s="55"/>
      <c r="N139" s="55"/>
      <c r="O139" s="52"/>
      <c r="P139" s="52"/>
      <c r="Q139" s="52"/>
      <c r="R139" s="52"/>
      <c r="S139" s="52"/>
      <c r="T139" s="52"/>
      <c r="U139" s="51"/>
      <c r="V139" s="51"/>
      <c r="W139" s="51"/>
      <c r="X139" s="51"/>
      <c r="Y139" s="51"/>
      <c r="Z139" s="51"/>
    </row>
    <row r="140" spans="1:26">
      <c r="A140" s="55"/>
      <c r="B140" s="55"/>
      <c r="C140" s="55"/>
      <c r="D140" s="55"/>
      <c r="E140" s="55"/>
      <c r="F140" s="55"/>
      <c r="G140" s="55"/>
      <c r="H140" s="55"/>
      <c r="I140" s="55"/>
      <c r="J140" s="55"/>
      <c r="K140" s="55"/>
      <c r="L140" s="55"/>
      <c r="M140" s="55"/>
      <c r="N140" s="55"/>
      <c r="O140" s="52"/>
      <c r="P140" s="52"/>
      <c r="Q140" s="52"/>
      <c r="R140" s="52"/>
      <c r="S140" s="52"/>
      <c r="T140" s="52"/>
      <c r="U140" s="51"/>
      <c r="V140" s="51"/>
      <c r="W140" s="51"/>
      <c r="X140" s="51"/>
      <c r="Y140" s="51"/>
      <c r="Z140" s="51"/>
    </row>
    <row r="141" spans="1:26">
      <c r="A141" s="55"/>
      <c r="B141" s="55"/>
      <c r="C141" s="55"/>
      <c r="D141" s="55"/>
      <c r="E141" s="55"/>
      <c r="F141" s="55"/>
      <c r="G141" s="55"/>
      <c r="H141" s="55"/>
      <c r="I141" s="55"/>
      <c r="J141" s="55"/>
      <c r="K141" s="55"/>
      <c r="L141" s="55"/>
      <c r="M141" s="55"/>
      <c r="N141" s="55"/>
      <c r="O141" s="52"/>
      <c r="P141" s="52"/>
      <c r="Q141" s="52"/>
      <c r="R141" s="52"/>
      <c r="S141" s="52"/>
      <c r="T141" s="52"/>
      <c r="U141" s="51"/>
      <c r="V141" s="51"/>
      <c r="W141" s="51"/>
      <c r="X141" s="51"/>
      <c r="Y141" s="51"/>
      <c r="Z141" s="51"/>
    </row>
    <row r="142" spans="1:26">
      <c r="A142" s="55"/>
      <c r="B142" s="55"/>
      <c r="C142" s="55"/>
      <c r="D142" s="55"/>
      <c r="E142" s="55"/>
      <c r="F142" s="55"/>
      <c r="G142" s="55"/>
      <c r="H142" s="55"/>
      <c r="I142" s="55"/>
      <c r="J142" s="55"/>
      <c r="K142" s="55"/>
      <c r="L142" s="55"/>
      <c r="M142" s="55"/>
      <c r="N142" s="55"/>
      <c r="O142" s="52"/>
      <c r="P142" s="52"/>
      <c r="Q142" s="52"/>
      <c r="R142" s="52"/>
      <c r="S142" s="52"/>
      <c r="T142" s="52"/>
      <c r="U142" s="51"/>
      <c r="V142" s="51"/>
      <c r="W142" s="51"/>
      <c r="X142" s="51"/>
      <c r="Y142" s="51"/>
      <c r="Z142" s="51"/>
    </row>
    <row r="143" spans="1:26">
      <c r="A143" s="55"/>
      <c r="B143" s="55"/>
      <c r="C143" s="55"/>
      <c r="D143" s="55"/>
      <c r="E143" s="55"/>
      <c r="F143" s="55"/>
      <c r="G143" s="55"/>
      <c r="H143" s="55"/>
      <c r="I143" s="55"/>
      <c r="J143" s="55"/>
      <c r="K143" s="55"/>
      <c r="L143" s="55"/>
      <c r="M143" s="55"/>
      <c r="N143" s="55"/>
      <c r="O143" s="52"/>
      <c r="P143" s="52"/>
      <c r="Q143" s="52"/>
      <c r="R143" s="52"/>
      <c r="S143" s="52"/>
      <c r="T143" s="52"/>
      <c r="U143" s="51"/>
      <c r="V143" s="51"/>
      <c r="W143" s="51"/>
      <c r="X143" s="51"/>
      <c r="Y143" s="51"/>
      <c r="Z143" s="51"/>
    </row>
    <row r="144" spans="1:26">
      <c r="A144" s="55"/>
      <c r="B144" s="55"/>
      <c r="C144" s="55"/>
      <c r="D144" s="55"/>
      <c r="E144" s="55"/>
      <c r="F144" s="55"/>
      <c r="G144" s="55"/>
      <c r="H144" s="55"/>
      <c r="I144" s="55"/>
      <c r="J144" s="55"/>
      <c r="K144" s="55"/>
      <c r="L144" s="55"/>
      <c r="M144" s="55"/>
      <c r="N144" s="55"/>
      <c r="O144" s="52"/>
      <c r="P144" s="52"/>
      <c r="Q144" s="52"/>
      <c r="R144" s="52"/>
      <c r="S144" s="52"/>
      <c r="T144" s="52"/>
      <c r="U144" s="51"/>
      <c r="V144" s="51"/>
      <c r="W144" s="51"/>
      <c r="X144" s="51"/>
      <c r="Y144" s="51"/>
      <c r="Z144" s="51"/>
    </row>
    <row r="145" spans="1:26">
      <c r="A145" s="55"/>
      <c r="B145" s="55"/>
      <c r="C145" s="55"/>
      <c r="D145" s="55"/>
      <c r="E145" s="55"/>
      <c r="F145" s="55"/>
      <c r="G145" s="55"/>
      <c r="H145" s="55"/>
      <c r="I145" s="55"/>
      <c r="J145" s="55"/>
      <c r="K145" s="55"/>
      <c r="L145" s="55"/>
      <c r="M145" s="55"/>
      <c r="N145" s="55"/>
      <c r="O145" s="52"/>
      <c r="P145" s="52"/>
      <c r="Q145" s="52"/>
      <c r="R145" s="52"/>
      <c r="S145" s="52"/>
      <c r="T145" s="52"/>
      <c r="U145" s="51"/>
      <c r="V145" s="51"/>
      <c r="W145" s="51"/>
      <c r="X145" s="51"/>
      <c r="Y145" s="51"/>
      <c r="Z145" s="51"/>
    </row>
    <row r="146" spans="1:26">
      <c r="A146" s="55"/>
      <c r="B146" s="55"/>
      <c r="C146" s="55"/>
      <c r="D146" s="55"/>
      <c r="E146" s="55"/>
      <c r="F146" s="55"/>
      <c r="G146" s="55"/>
      <c r="H146" s="55"/>
      <c r="I146" s="55"/>
      <c r="J146" s="55"/>
      <c r="K146" s="55"/>
      <c r="L146" s="55"/>
      <c r="M146" s="55"/>
      <c r="N146" s="55"/>
      <c r="O146" s="52"/>
      <c r="P146" s="52"/>
      <c r="Q146" s="52"/>
      <c r="R146" s="52"/>
      <c r="S146" s="52"/>
      <c r="T146" s="52"/>
      <c r="U146" s="51"/>
      <c r="V146" s="51"/>
      <c r="W146" s="51"/>
      <c r="X146" s="51"/>
      <c r="Y146" s="51"/>
      <c r="Z146" s="51"/>
    </row>
    <row r="147" spans="1:26">
      <c r="A147" s="55"/>
      <c r="B147" s="55"/>
      <c r="C147" s="55"/>
      <c r="D147" s="55"/>
      <c r="E147" s="55"/>
      <c r="F147" s="55"/>
      <c r="G147" s="55"/>
      <c r="H147" s="55"/>
      <c r="I147" s="55"/>
      <c r="J147" s="55"/>
      <c r="K147" s="55"/>
      <c r="L147" s="55"/>
      <c r="M147" s="55"/>
      <c r="N147" s="55"/>
      <c r="O147" s="52"/>
      <c r="P147" s="52"/>
      <c r="Q147" s="52"/>
      <c r="R147" s="52"/>
      <c r="S147" s="52"/>
      <c r="T147" s="52"/>
      <c r="U147" s="51"/>
      <c r="V147" s="51"/>
      <c r="W147" s="51"/>
      <c r="X147" s="51"/>
      <c r="Y147" s="51"/>
      <c r="Z147" s="51"/>
    </row>
    <row r="148" spans="1:26">
      <c r="A148" s="55"/>
      <c r="B148" s="55"/>
      <c r="C148" s="55"/>
      <c r="D148" s="55"/>
      <c r="E148" s="55"/>
      <c r="F148" s="55"/>
      <c r="G148" s="55"/>
      <c r="H148" s="55"/>
      <c r="I148" s="55"/>
      <c r="J148" s="55"/>
      <c r="K148" s="55"/>
      <c r="L148" s="55"/>
      <c r="M148" s="55"/>
      <c r="N148" s="55"/>
      <c r="O148" s="52"/>
      <c r="P148" s="52"/>
      <c r="Q148" s="52"/>
      <c r="R148" s="52"/>
      <c r="S148" s="52"/>
      <c r="T148" s="52"/>
      <c r="U148" s="51"/>
      <c r="V148" s="51"/>
      <c r="W148" s="51"/>
      <c r="X148" s="51"/>
      <c r="Y148" s="51"/>
      <c r="Z148" s="51"/>
    </row>
    <row r="149" spans="1:26">
      <c r="A149" s="55"/>
      <c r="B149" s="55"/>
      <c r="C149" s="55"/>
      <c r="D149" s="55"/>
      <c r="E149" s="55"/>
      <c r="F149" s="55"/>
      <c r="G149" s="55"/>
      <c r="H149" s="55"/>
      <c r="I149" s="55"/>
      <c r="J149" s="55"/>
      <c r="K149" s="55"/>
      <c r="L149" s="55"/>
      <c r="M149" s="55"/>
      <c r="N149" s="55"/>
      <c r="O149" s="52"/>
      <c r="P149" s="52"/>
      <c r="Q149" s="52"/>
      <c r="R149" s="52"/>
      <c r="S149" s="52"/>
      <c r="T149" s="52"/>
      <c r="U149" s="51"/>
      <c r="V149" s="51"/>
      <c r="W149" s="51"/>
      <c r="X149" s="51"/>
      <c r="Y149" s="51"/>
      <c r="Z149" s="51"/>
    </row>
    <row r="150" spans="1:26">
      <c r="A150" s="55"/>
      <c r="B150" s="55"/>
      <c r="C150" s="55"/>
      <c r="D150" s="55"/>
      <c r="E150" s="55"/>
      <c r="F150" s="55"/>
      <c r="G150" s="55"/>
      <c r="H150" s="55"/>
      <c r="I150" s="55"/>
      <c r="J150" s="55"/>
      <c r="K150" s="55"/>
      <c r="L150" s="55"/>
      <c r="M150" s="55"/>
      <c r="N150" s="55"/>
      <c r="O150" s="52"/>
      <c r="P150" s="52"/>
      <c r="Q150" s="52"/>
      <c r="R150" s="52"/>
      <c r="S150" s="52"/>
      <c r="T150" s="52"/>
      <c r="U150" s="51"/>
      <c r="V150" s="51"/>
      <c r="W150" s="51"/>
      <c r="X150" s="51"/>
      <c r="Y150" s="51"/>
      <c r="Z150" s="51"/>
    </row>
    <row r="151" spans="1:26">
      <c r="A151" s="55"/>
      <c r="B151" s="55"/>
      <c r="C151" s="55"/>
      <c r="D151" s="55"/>
      <c r="E151" s="55"/>
      <c r="F151" s="55"/>
      <c r="G151" s="55"/>
      <c r="H151" s="55"/>
      <c r="I151" s="55"/>
      <c r="J151" s="55"/>
      <c r="K151" s="55"/>
      <c r="L151" s="55"/>
      <c r="M151" s="55"/>
      <c r="N151" s="55"/>
      <c r="O151" s="52"/>
      <c r="P151" s="52"/>
      <c r="Q151" s="52"/>
      <c r="R151" s="52"/>
      <c r="S151" s="52"/>
      <c r="T151" s="52"/>
      <c r="U151" s="51"/>
      <c r="V151" s="51"/>
      <c r="W151" s="51"/>
      <c r="X151" s="51"/>
      <c r="Y151" s="51"/>
      <c r="Z151" s="51"/>
    </row>
  </sheetData>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3D81-FD10-43A5-ACF4-E0BF5955FE93}">
  <dimension ref="A1:Z100"/>
  <sheetViews>
    <sheetView zoomScale="78" zoomScaleNormal="78" workbookViewId="0"/>
  </sheetViews>
  <sheetFormatPr defaultRowHeight="14"/>
  <cols>
    <col min="1" max="1" width="77.58203125" customWidth="1"/>
    <col min="2" max="2" width="17.83203125" customWidth="1"/>
    <col min="3" max="3" width="19.4140625" customWidth="1"/>
    <col min="4" max="5" width="17.58203125" customWidth="1"/>
    <col min="6" max="6" width="17.1640625" customWidth="1"/>
    <col min="8" max="8" width="14.58203125" customWidth="1"/>
  </cols>
  <sheetData>
    <row r="1" spans="1:26">
      <c r="A1" s="12" t="s">
        <v>420</v>
      </c>
      <c r="B1" s="99" t="s">
        <v>421</v>
      </c>
      <c r="C1" s="99" t="s">
        <v>748</v>
      </c>
      <c r="D1" s="99" t="s">
        <v>749</v>
      </c>
      <c r="E1" s="99" t="s">
        <v>750</v>
      </c>
      <c r="F1" s="99" t="s">
        <v>751</v>
      </c>
      <c r="G1" s="187"/>
      <c r="H1" s="187"/>
      <c r="I1" s="54"/>
      <c r="J1" s="54"/>
      <c r="K1" s="54"/>
      <c r="L1" s="54"/>
      <c r="M1" s="54"/>
      <c r="N1" s="54"/>
      <c r="O1" s="54"/>
      <c r="P1" s="54"/>
      <c r="Q1" s="51"/>
      <c r="R1" s="51"/>
      <c r="S1" s="51"/>
      <c r="T1" s="51"/>
      <c r="U1" s="51"/>
      <c r="V1" s="51"/>
      <c r="W1" s="51"/>
      <c r="X1" s="51"/>
      <c r="Y1" s="51"/>
      <c r="Z1" s="51"/>
    </row>
    <row r="2" spans="1:26">
      <c r="A2" s="22" t="s">
        <v>116</v>
      </c>
      <c r="B2" s="99"/>
      <c r="C2" s="99"/>
      <c r="D2" s="99"/>
      <c r="E2" s="99"/>
      <c r="F2" s="99"/>
      <c r="G2" s="187"/>
      <c r="H2" s="187"/>
      <c r="I2" s="54"/>
      <c r="J2" s="54"/>
      <c r="K2" s="54"/>
      <c r="L2" s="54"/>
      <c r="M2" s="54"/>
      <c r="N2" s="54"/>
      <c r="O2" s="54"/>
      <c r="P2" s="54"/>
      <c r="Q2" s="51"/>
      <c r="R2" s="51"/>
      <c r="S2" s="51"/>
      <c r="T2" s="51"/>
      <c r="U2" s="51"/>
      <c r="V2" s="51"/>
      <c r="W2" s="51"/>
      <c r="X2" s="51"/>
      <c r="Y2" s="51"/>
      <c r="Z2" s="51"/>
    </row>
    <row r="3" spans="1:26">
      <c r="A3" s="22" t="s">
        <v>29</v>
      </c>
      <c r="B3" s="99" t="s">
        <v>1</v>
      </c>
      <c r="C3" s="99" t="s">
        <v>24</v>
      </c>
      <c r="D3" s="99" t="s">
        <v>25</v>
      </c>
      <c r="E3" s="99" t="s">
        <v>27</v>
      </c>
      <c r="F3" s="99" t="s">
        <v>28</v>
      </c>
      <c r="G3" s="187"/>
      <c r="H3" s="187"/>
      <c r="I3" s="54"/>
      <c r="J3" s="54"/>
      <c r="K3" s="54"/>
      <c r="L3" s="54"/>
      <c r="M3" s="54"/>
      <c r="N3" s="54"/>
      <c r="O3" s="54"/>
      <c r="P3" s="54"/>
      <c r="Q3" s="51"/>
      <c r="R3" s="51"/>
      <c r="S3" s="51"/>
      <c r="T3" s="51"/>
      <c r="U3" s="51"/>
      <c r="V3" s="51"/>
      <c r="W3" s="51"/>
      <c r="X3" s="51"/>
      <c r="Y3" s="51"/>
      <c r="Z3" s="51"/>
    </row>
    <row r="4" spans="1:26">
      <c r="A4" s="30"/>
      <c r="B4" s="99"/>
      <c r="C4" s="99"/>
      <c r="D4" s="99"/>
      <c r="E4" s="99"/>
      <c r="F4" s="99"/>
      <c r="G4" s="187"/>
      <c r="H4" s="187"/>
      <c r="I4" s="54"/>
      <c r="J4" s="54"/>
      <c r="K4" s="54"/>
      <c r="L4" s="54"/>
      <c r="M4" s="54"/>
      <c r="N4" s="54"/>
      <c r="O4" s="54"/>
      <c r="P4" s="54"/>
      <c r="Q4" s="51"/>
      <c r="R4" s="51"/>
      <c r="S4" s="51"/>
      <c r="T4" s="51"/>
      <c r="U4" s="51"/>
      <c r="V4" s="51"/>
      <c r="W4" s="51"/>
      <c r="X4" s="51"/>
      <c r="Y4" s="51"/>
      <c r="Z4" s="51"/>
    </row>
    <row r="5" spans="1:26">
      <c r="A5" s="30" t="s">
        <v>30</v>
      </c>
      <c r="B5" s="99"/>
      <c r="C5" s="99"/>
      <c r="D5" s="99" t="s">
        <v>26</v>
      </c>
      <c r="E5" s="99" t="s">
        <v>26</v>
      </c>
      <c r="F5" s="99" t="s">
        <v>26</v>
      </c>
      <c r="G5" s="187"/>
      <c r="H5" s="187"/>
      <c r="I5" s="54"/>
      <c r="J5" s="54"/>
      <c r="K5" s="54"/>
      <c r="L5" s="54"/>
      <c r="M5" s="54"/>
      <c r="N5" s="54"/>
      <c r="O5" s="54"/>
      <c r="P5" s="54"/>
      <c r="Q5" s="51"/>
      <c r="R5" s="51"/>
      <c r="S5" s="51"/>
      <c r="T5" s="51"/>
      <c r="U5" s="51"/>
      <c r="V5" s="51"/>
      <c r="W5" s="51"/>
      <c r="X5" s="51"/>
      <c r="Y5" s="51"/>
      <c r="Z5" s="51"/>
    </row>
    <row r="6" spans="1:26">
      <c r="A6" s="30" t="s">
        <v>31</v>
      </c>
      <c r="B6" s="99">
        <v>10113</v>
      </c>
      <c r="C6" s="99">
        <v>7421</v>
      </c>
      <c r="D6" s="99">
        <v>7008</v>
      </c>
      <c r="E6" s="99">
        <v>8588</v>
      </c>
      <c r="F6" s="99">
        <v>8442</v>
      </c>
      <c r="G6" s="187"/>
      <c r="H6" s="187"/>
      <c r="I6" s="54"/>
      <c r="J6" s="54"/>
      <c r="K6" s="54"/>
      <c r="L6" s="54"/>
      <c r="M6" s="54"/>
      <c r="N6" s="54"/>
      <c r="O6" s="54"/>
      <c r="P6" s="54"/>
      <c r="Q6" s="51"/>
      <c r="R6" s="51"/>
      <c r="S6" s="51"/>
      <c r="T6" s="51"/>
      <c r="U6" s="51"/>
      <c r="V6" s="51"/>
      <c r="W6" s="51"/>
      <c r="X6" s="51"/>
      <c r="Y6" s="51"/>
      <c r="Z6" s="51"/>
    </row>
    <row r="7" spans="1:26">
      <c r="A7" s="30" t="s">
        <v>32</v>
      </c>
      <c r="B7" s="99">
        <v>586</v>
      </c>
      <c r="C7" s="99">
        <v>586</v>
      </c>
      <c r="D7" s="99">
        <v>589</v>
      </c>
      <c r="E7" s="99">
        <v>32</v>
      </c>
      <c r="F7" s="99">
        <v>492</v>
      </c>
      <c r="G7" s="187"/>
      <c r="H7" s="187"/>
      <c r="I7" s="54"/>
      <c r="J7" s="54"/>
      <c r="K7" s="54"/>
      <c r="L7" s="54"/>
      <c r="M7" s="54"/>
      <c r="N7" s="54"/>
      <c r="O7" s="54"/>
      <c r="P7" s="54"/>
      <c r="Q7" s="51"/>
      <c r="R7" s="51"/>
      <c r="S7" s="51"/>
      <c r="T7" s="51"/>
      <c r="U7" s="51"/>
      <c r="V7" s="51"/>
      <c r="W7" s="51"/>
      <c r="X7" s="51"/>
      <c r="Y7" s="51"/>
      <c r="Z7" s="51"/>
    </row>
    <row r="8" spans="1:26">
      <c r="A8" s="30" t="s">
        <v>33</v>
      </c>
      <c r="B8" s="99">
        <v>483</v>
      </c>
      <c r="C8" s="99">
        <v>473</v>
      </c>
      <c r="D8" s="99">
        <v>400</v>
      </c>
      <c r="E8" s="99">
        <v>1845</v>
      </c>
      <c r="F8" s="99">
        <v>1874</v>
      </c>
      <c r="G8" s="187"/>
      <c r="H8" s="187"/>
      <c r="I8" s="54"/>
      <c r="J8" s="54"/>
      <c r="K8" s="54"/>
      <c r="L8" s="54"/>
      <c r="M8" s="54"/>
      <c r="N8" s="54"/>
      <c r="O8" s="54"/>
      <c r="P8" s="54"/>
      <c r="Q8" s="51"/>
      <c r="R8" s="51"/>
      <c r="S8" s="51"/>
      <c r="T8" s="51"/>
      <c r="U8" s="51"/>
      <c r="V8" s="51"/>
      <c r="W8" s="51"/>
      <c r="X8" s="51"/>
      <c r="Y8" s="51"/>
      <c r="Z8" s="51"/>
    </row>
    <row r="9" spans="1:26">
      <c r="A9" s="30" t="s">
        <v>34</v>
      </c>
      <c r="B9" s="99">
        <v>2646</v>
      </c>
      <c r="C9" s="99">
        <v>3006</v>
      </c>
      <c r="D9" s="99">
        <v>3425</v>
      </c>
      <c r="E9" s="99">
        <v>592</v>
      </c>
      <c r="F9" s="99">
        <v>330</v>
      </c>
      <c r="G9" s="187"/>
      <c r="H9" s="187"/>
      <c r="I9" s="54"/>
      <c r="J9" s="54"/>
      <c r="K9" s="54"/>
      <c r="L9" s="54"/>
      <c r="M9" s="54"/>
      <c r="N9" s="54"/>
      <c r="O9" s="54"/>
      <c r="P9" s="54"/>
      <c r="Q9" s="51"/>
      <c r="R9" s="51"/>
      <c r="S9" s="51"/>
      <c r="T9" s="51"/>
      <c r="U9" s="51"/>
      <c r="V9" s="51"/>
      <c r="W9" s="51"/>
      <c r="X9" s="51"/>
      <c r="Y9" s="51"/>
      <c r="Z9" s="51"/>
    </row>
    <row r="10" spans="1:26">
      <c r="A10" s="30" t="s">
        <v>35</v>
      </c>
      <c r="B10" s="99">
        <v>1706</v>
      </c>
      <c r="C10" s="99">
        <v>1319</v>
      </c>
      <c r="D10" s="99">
        <v>1270</v>
      </c>
      <c r="E10" s="99">
        <v>4060</v>
      </c>
      <c r="F10" s="99">
        <v>3773</v>
      </c>
      <c r="G10" s="187"/>
      <c r="H10" s="187"/>
      <c r="I10" s="54"/>
      <c r="J10" s="54"/>
      <c r="K10" s="54"/>
      <c r="L10" s="54"/>
      <c r="M10" s="54"/>
      <c r="N10" s="54"/>
      <c r="O10" s="54"/>
      <c r="P10" s="54"/>
      <c r="Q10" s="51"/>
      <c r="R10" s="51"/>
      <c r="S10" s="51"/>
      <c r="T10" s="51"/>
      <c r="U10" s="51"/>
      <c r="V10" s="51"/>
      <c r="W10" s="51"/>
      <c r="X10" s="51"/>
      <c r="Y10" s="51"/>
      <c r="Z10" s="51"/>
    </row>
    <row r="11" spans="1:26">
      <c r="A11" s="30" t="s">
        <v>36</v>
      </c>
      <c r="B11" s="99">
        <v>1696</v>
      </c>
      <c r="C11" s="99">
        <v>1873</v>
      </c>
      <c r="D11" s="99">
        <v>1568</v>
      </c>
      <c r="E11" s="99">
        <v>1233</v>
      </c>
      <c r="F11" s="99">
        <v>1821</v>
      </c>
      <c r="G11" s="187"/>
      <c r="H11" s="187"/>
      <c r="I11" s="54"/>
      <c r="J11" s="54"/>
      <c r="K11" s="54"/>
      <c r="L11" s="54"/>
      <c r="M11" s="54"/>
      <c r="N11" s="54"/>
      <c r="O11" s="54"/>
      <c r="P11" s="54"/>
      <c r="Q11" s="51"/>
      <c r="R11" s="51"/>
      <c r="S11" s="51"/>
      <c r="T11" s="51"/>
      <c r="U11" s="51"/>
      <c r="V11" s="51"/>
      <c r="W11" s="51"/>
      <c r="X11" s="51"/>
      <c r="Y11" s="51"/>
      <c r="Z11" s="51"/>
    </row>
    <row r="12" spans="1:26">
      <c r="A12" s="30" t="s">
        <v>37</v>
      </c>
      <c r="B12" s="99">
        <v>1883</v>
      </c>
      <c r="C12" s="99">
        <v>2271</v>
      </c>
      <c r="D12" s="99">
        <v>2346</v>
      </c>
      <c r="E12" s="99">
        <v>2611</v>
      </c>
      <c r="F12" s="99">
        <v>2992</v>
      </c>
      <c r="G12" s="187"/>
      <c r="H12" s="187"/>
      <c r="I12" s="54"/>
      <c r="J12" s="54"/>
      <c r="K12" s="54"/>
      <c r="L12" s="54"/>
      <c r="M12" s="54"/>
      <c r="N12" s="54"/>
      <c r="O12" s="54"/>
      <c r="P12" s="54"/>
      <c r="Q12" s="51"/>
      <c r="R12" s="51"/>
      <c r="S12" s="51"/>
      <c r="T12" s="51"/>
      <c r="U12" s="51"/>
      <c r="V12" s="51"/>
      <c r="W12" s="51"/>
      <c r="X12" s="51"/>
      <c r="Y12" s="51"/>
      <c r="Z12" s="51"/>
    </row>
    <row r="13" spans="1:26">
      <c r="A13" s="30" t="s">
        <v>38</v>
      </c>
      <c r="B13" s="99">
        <v>19113</v>
      </c>
      <c r="C13" s="99">
        <v>16949</v>
      </c>
      <c r="D13" s="99">
        <v>16606</v>
      </c>
      <c r="E13" s="99">
        <v>18961</v>
      </c>
      <c r="F13" s="99">
        <v>19724</v>
      </c>
      <c r="G13" s="187"/>
      <c r="H13" s="187"/>
      <c r="I13" s="54"/>
      <c r="J13" s="54"/>
      <c r="K13" s="54"/>
      <c r="L13" s="54"/>
      <c r="M13" s="54"/>
      <c r="N13" s="54"/>
      <c r="O13" s="54"/>
      <c r="P13" s="54"/>
      <c r="Q13" s="51"/>
      <c r="R13" s="51"/>
      <c r="S13" s="51"/>
      <c r="T13" s="51"/>
      <c r="U13" s="51"/>
      <c r="V13" s="51"/>
      <c r="W13" s="51"/>
      <c r="X13" s="51"/>
      <c r="Y13" s="51"/>
      <c r="Z13" s="51"/>
    </row>
    <row r="14" spans="1:26">
      <c r="A14" s="30" t="s">
        <v>39</v>
      </c>
      <c r="B14" s="99">
        <v>1902</v>
      </c>
      <c r="C14" s="99">
        <v>1907</v>
      </c>
      <c r="D14" s="99">
        <v>2006</v>
      </c>
      <c r="E14" s="99">
        <v>2061</v>
      </c>
      <c r="F14" s="99">
        <v>2138</v>
      </c>
      <c r="G14" s="187"/>
      <c r="H14" s="187"/>
      <c r="I14" s="54"/>
      <c r="J14" s="54"/>
      <c r="K14" s="54"/>
      <c r="L14" s="54"/>
      <c r="M14" s="54"/>
      <c r="N14" s="54"/>
      <c r="O14" s="54"/>
      <c r="P14" s="54"/>
      <c r="Q14" s="51"/>
      <c r="R14" s="51"/>
      <c r="S14" s="51"/>
      <c r="T14" s="51"/>
      <c r="U14" s="51"/>
      <c r="V14" s="51"/>
      <c r="W14" s="51"/>
      <c r="X14" s="51"/>
      <c r="Y14" s="51"/>
      <c r="Z14" s="51"/>
    </row>
    <row r="15" spans="1:26">
      <c r="A15" s="30" t="s">
        <v>40</v>
      </c>
      <c r="B15" s="99">
        <v>491</v>
      </c>
      <c r="C15" s="99">
        <v>486</v>
      </c>
      <c r="D15" s="99">
        <v>1151</v>
      </c>
      <c r="E15" s="99">
        <v>1355</v>
      </c>
      <c r="F15" s="99">
        <v>1614</v>
      </c>
      <c r="G15" s="187"/>
      <c r="H15" s="187"/>
      <c r="I15" s="54"/>
      <c r="J15" s="54"/>
      <c r="K15" s="54"/>
      <c r="L15" s="54"/>
      <c r="M15" s="54"/>
      <c r="N15" s="54"/>
      <c r="O15" s="54"/>
      <c r="P15" s="54"/>
      <c r="Q15" s="51"/>
      <c r="R15" s="51"/>
      <c r="S15" s="51"/>
      <c r="T15" s="51"/>
      <c r="U15" s="51"/>
      <c r="V15" s="51"/>
      <c r="W15" s="51"/>
      <c r="X15" s="51"/>
      <c r="Y15" s="51"/>
      <c r="Z15" s="51"/>
    </row>
    <row r="16" spans="1:26">
      <c r="A16" s="30" t="s">
        <v>41</v>
      </c>
      <c r="B16" s="99">
        <v>4960</v>
      </c>
      <c r="C16" s="99">
        <v>7662</v>
      </c>
      <c r="D16" s="99">
        <v>7522</v>
      </c>
      <c r="E16" s="99">
        <v>7660</v>
      </c>
      <c r="F16" s="99">
        <v>9193</v>
      </c>
      <c r="G16" s="187"/>
      <c r="H16" s="187"/>
      <c r="I16" s="54"/>
      <c r="J16" s="54"/>
      <c r="K16" s="54"/>
      <c r="L16" s="54"/>
      <c r="M16" s="54"/>
      <c r="N16" s="54"/>
      <c r="O16" s="54"/>
      <c r="P16" s="54"/>
      <c r="Q16" s="51"/>
      <c r="R16" s="51"/>
      <c r="S16" s="51"/>
      <c r="T16" s="51"/>
      <c r="U16" s="51"/>
      <c r="V16" s="51"/>
      <c r="W16" s="51"/>
      <c r="X16" s="51"/>
      <c r="Y16" s="51"/>
      <c r="Z16" s="51"/>
    </row>
    <row r="17" spans="1:26">
      <c r="A17" s="30" t="s">
        <v>42</v>
      </c>
      <c r="B17" s="99">
        <v>1753</v>
      </c>
      <c r="C17" s="99">
        <v>3671</v>
      </c>
      <c r="D17" s="99">
        <v>3859</v>
      </c>
      <c r="E17" s="99">
        <v>4086</v>
      </c>
      <c r="F17" s="99">
        <v>5453</v>
      </c>
      <c r="G17" s="187"/>
      <c r="H17" s="187"/>
      <c r="I17" s="54"/>
      <c r="J17" s="54"/>
      <c r="K17" s="54"/>
      <c r="L17" s="54"/>
      <c r="M17" s="54"/>
      <c r="N17" s="54"/>
      <c r="O17" s="54"/>
      <c r="P17" s="54"/>
      <c r="Q17" s="51"/>
      <c r="R17" s="51"/>
      <c r="S17" s="51"/>
      <c r="T17" s="51"/>
      <c r="U17" s="51"/>
      <c r="V17" s="51"/>
      <c r="W17" s="51"/>
      <c r="X17" s="51"/>
      <c r="Y17" s="51"/>
      <c r="Z17" s="51"/>
    </row>
    <row r="18" spans="1:26">
      <c r="A18" s="30" t="s">
        <v>43</v>
      </c>
      <c r="B18" s="99">
        <v>5365</v>
      </c>
      <c r="C18" s="99">
        <v>6994</v>
      </c>
      <c r="D18" s="99">
        <v>7580</v>
      </c>
      <c r="E18" s="99">
        <v>8325</v>
      </c>
      <c r="F18" s="99">
        <v>9959</v>
      </c>
      <c r="G18" s="187"/>
      <c r="H18" s="187"/>
      <c r="I18" s="54"/>
      <c r="J18" s="54"/>
      <c r="K18" s="54"/>
      <c r="L18" s="54"/>
      <c r="M18" s="54"/>
      <c r="N18" s="54"/>
      <c r="O18" s="54"/>
      <c r="P18" s="54"/>
      <c r="Q18" s="51"/>
      <c r="R18" s="51"/>
      <c r="S18" s="51"/>
      <c r="T18" s="51"/>
      <c r="U18" s="51"/>
      <c r="V18" s="51"/>
      <c r="W18" s="51"/>
      <c r="X18" s="51"/>
      <c r="Y18" s="51"/>
      <c r="Z18" s="51"/>
    </row>
    <row r="19" spans="1:26">
      <c r="A19" s="30" t="s">
        <v>44</v>
      </c>
      <c r="B19" s="99">
        <v>33584</v>
      </c>
      <c r="C19" s="99">
        <v>37669</v>
      </c>
      <c r="D19" s="99">
        <v>38724</v>
      </c>
      <c r="E19" s="99">
        <v>42448</v>
      </c>
      <c r="F19" s="99">
        <v>48081</v>
      </c>
      <c r="G19" s="187"/>
      <c r="H19" s="187"/>
      <c r="I19" s="54"/>
      <c r="J19" s="54"/>
      <c r="K19" s="54"/>
      <c r="L19" s="54"/>
      <c r="M19" s="54"/>
      <c r="N19" s="54"/>
      <c r="O19" s="54"/>
      <c r="P19" s="54"/>
      <c r="Q19" s="51"/>
      <c r="R19" s="51"/>
      <c r="S19" s="51"/>
      <c r="T19" s="51"/>
      <c r="U19" s="51"/>
      <c r="V19" s="51"/>
      <c r="W19" s="51"/>
      <c r="X19" s="51"/>
      <c r="Y19" s="51"/>
      <c r="Z19" s="51"/>
    </row>
    <row r="20" spans="1:26">
      <c r="A20" s="30" t="s">
        <v>45</v>
      </c>
      <c r="B20" s="99"/>
      <c r="C20" s="99"/>
      <c r="D20" s="99" t="s">
        <v>26</v>
      </c>
      <c r="E20" s="99" t="s">
        <v>26</v>
      </c>
      <c r="F20" s="99" t="s">
        <v>26</v>
      </c>
      <c r="G20" s="187"/>
      <c r="H20" s="187"/>
      <c r="I20" s="54"/>
      <c r="J20" s="54"/>
      <c r="K20" s="54"/>
      <c r="L20" s="54"/>
      <c r="M20" s="54"/>
      <c r="N20" s="54"/>
      <c r="O20" s="54"/>
      <c r="P20" s="54"/>
      <c r="Q20" s="51"/>
      <c r="R20" s="51"/>
      <c r="S20" s="51"/>
      <c r="T20" s="51"/>
      <c r="U20" s="51"/>
      <c r="V20" s="51"/>
      <c r="W20" s="51"/>
      <c r="X20" s="51"/>
      <c r="Y20" s="51"/>
      <c r="Z20" s="51"/>
    </row>
    <row r="21" spans="1:26">
      <c r="A21" s="30" t="s">
        <v>46</v>
      </c>
      <c r="B21" s="99">
        <v>527</v>
      </c>
      <c r="C21" s="99">
        <v>738</v>
      </c>
      <c r="D21" s="99">
        <v>926</v>
      </c>
      <c r="E21" s="99">
        <v>834</v>
      </c>
      <c r="F21" s="99">
        <v>929</v>
      </c>
      <c r="G21" s="187"/>
      <c r="H21" s="187"/>
      <c r="I21" s="54"/>
      <c r="J21" s="54"/>
      <c r="K21" s="54"/>
      <c r="L21" s="54"/>
      <c r="M21" s="54"/>
      <c r="N21" s="54"/>
      <c r="O21" s="54"/>
      <c r="P21" s="54"/>
      <c r="Q21" s="51"/>
      <c r="R21" s="51"/>
      <c r="S21" s="51"/>
      <c r="T21" s="51"/>
      <c r="U21" s="51"/>
      <c r="V21" s="51"/>
      <c r="W21" s="51"/>
      <c r="X21" s="51"/>
      <c r="Y21" s="51"/>
      <c r="Z21" s="51"/>
    </row>
    <row r="22" spans="1:26">
      <c r="A22" s="30" t="s">
        <v>47</v>
      </c>
      <c r="B22" s="99">
        <v>1475</v>
      </c>
      <c r="C22" s="99">
        <v>913</v>
      </c>
      <c r="D22" s="99">
        <v>1111</v>
      </c>
      <c r="E22" s="99">
        <v>1399</v>
      </c>
      <c r="F22" s="99">
        <v>2316</v>
      </c>
      <c r="G22" s="187"/>
      <c r="H22" s="187"/>
      <c r="I22" s="54"/>
      <c r="J22" s="54"/>
      <c r="K22" s="54"/>
      <c r="L22" s="54"/>
      <c r="M22" s="54"/>
      <c r="N22" s="54"/>
      <c r="O22" s="54"/>
      <c r="P22" s="54"/>
      <c r="Q22" s="51"/>
      <c r="R22" s="51"/>
      <c r="S22" s="51"/>
      <c r="T22" s="51"/>
      <c r="U22" s="51"/>
      <c r="V22" s="51"/>
      <c r="W22" s="51"/>
      <c r="X22" s="51"/>
      <c r="Y22" s="51"/>
      <c r="Z22" s="51"/>
    </row>
    <row r="23" spans="1:26">
      <c r="A23" s="30" t="s">
        <v>36</v>
      </c>
      <c r="B23" s="99">
        <v>1696</v>
      </c>
      <c r="C23" s="99">
        <v>1873</v>
      </c>
      <c r="D23" s="99">
        <v>1568</v>
      </c>
      <c r="E23" s="99">
        <v>1845</v>
      </c>
      <c r="F23" s="99">
        <v>1874</v>
      </c>
      <c r="G23" s="187"/>
      <c r="H23" s="187"/>
      <c r="I23" s="54"/>
      <c r="J23" s="54"/>
      <c r="K23" s="54"/>
      <c r="L23" s="54"/>
      <c r="M23" s="54"/>
      <c r="N23" s="54"/>
      <c r="O23" s="54"/>
      <c r="P23" s="54"/>
      <c r="Q23" s="51"/>
      <c r="R23" s="51"/>
      <c r="S23" s="51"/>
      <c r="T23" s="51"/>
      <c r="U23" s="51"/>
      <c r="V23" s="51"/>
      <c r="W23" s="51"/>
      <c r="X23" s="51"/>
      <c r="Y23" s="51"/>
      <c r="Z23" s="51"/>
    </row>
    <row r="24" spans="1:26">
      <c r="A24" s="30" t="s">
        <v>48</v>
      </c>
      <c r="B24" s="99">
        <v>842</v>
      </c>
      <c r="C24" s="99">
        <v>840</v>
      </c>
      <c r="D24" s="99">
        <v>1094</v>
      </c>
      <c r="E24" s="99">
        <v>723</v>
      </c>
      <c r="F24" s="99">
        <v>930</v>
      </c>
      <c r="G24" s="187"/>
      <c r="H24" s="187"/>
      <c r="I24" s="54"/>
      <c r="J24" s="54"/>
      <c r="K24" s="54"/>
      <c r="L24" s="54"/>
      <c r="M24" s="54"/>
      <c r="N24" s="54"/>
      <c r="O24" s="54"/>
      <c r="P24" s="54"/>
      <c r="Q24" s="51"/>
      <c r="R24" s="51"/>
      <c r="S24" s="51"/>
      <c r="T24" s="51"/>
      <c r="U24" s="51"/>
      <c r="V24" s="51"/>
      <c r="W24" s="51"/>
      <c r="X24" s="51"/>
      <c r="Y24" s="51"/>
      <c r="Z24" s="51"/>
    </row>
    <row r="25" spans="1:26">
      <c r="A25" s="30" t="s">
        <v>49</v>
      </c>
      <c r="B25" s="99">
        <v>5430</v>
      </c>
      <c r="C25" s="99">
        <v>6642</v>
      </c>
      <c r="D25" s="99">
        <v>7801</v>
      </c>
      <c r="E25" s="99">
        <v>8517</v>
      </c>
      <c r="F25" s="99">
        <v>10393</v>
      </c>
      <c r="G25" s="187"/>
      <c r="H25" s="187"/>
      <c r="I25" s="54"/>
      <c r="J25" s="54"/>
      <c r="K25" s="54"/>
      <c r="L25" s="54"/>
      <c r="M25" s="54"/>
      <c r="N25" s="54"/>
      <c r="O25" s="54"/>
      <c r="P25" s="54"/>
      <c r="Q25" s="51"/>
      <c r="R25" s="51"/>
      <c r="S25" s="51"/>
      <c r="T25" s="51"/>
      <c r="U25" s="51"/>
      <c r="V25" s="51"/>
      <c r="W25" s="51"/>
      <c r="X25" s="51"/>
      <c r="Y25" s="51"/>
      <c r="Z25" s="51"/>
    </row>
    <row r="26" spans="1:26">
      <c r="A26" s="30" t="s">
        <v>50</v>
      </c>
      <c r="B26" s="99">
        <v>649</v>
      </c>
      <c r="C26" s="99">
        <v>792</v>
      </c>
      <c r="D26" s="99">
        <v>274</v>
      </c>
      <c r="E26" s="99">
        <v>1337</v>
      </c>
      <c r="F26" s="99">
        <v>750</v>
      </c>
      <c r="G26" s="187"/>
      <c r="H26" s="187"/>
      <c r="I26" s="54"/>
      <c r="J26" s="54"/>
      <c r="K26" s="54"/>
      <c r="L26" s="54"/>
      <c r="M26" s="54"/>
      <c r="N26" s="54"/>
      <c r="O26" s="54"/>
      <c r="P26" s="54"/>
      <c r="Q26" s="51"/>
      <c r="R26" s="51"/>
      <c r="S26" s="51"/>
      <c r="T26" s="51"/>
      <c r="U26" s="51"/>
      <c r="V26" s="51"/>
      <c r="W26" s="51"/>
      <c r="X26" s="51"/>
      <c r="Y26" s="51"/>
      <c r="Z26" s="51"/>
    </row>
    <row r="27" spans="1:26">
      <c r="A27" s="30" t="s">
        <v>51</v>
      </c>
      <c r="B27" s="99">
        <v>1228</v>
      </c>
      <c r="C27" s="99">
        <v>1364</v>
      </c>
      <c r="D27" s="99">
        <v>1397</v>
      </c>
      <c r="E27" s="99">
        <v>1609</v>
      </c>
      <c r="F27" s="99">
        <v>2028</v>
      </c>
      <c r="G27" s="187"/>
      <c r="H27" s="187"/>
      <c r="I27" s="54"/>
      <c r="J27" s="54"/>
      <c r="K27" s="54"/>
      <c r="L27" s="54"/>
      <c r="M27" s="54"/>
      <c r="N27" s="54"/>
      <c r="O27" s="54"/>
      <c r="P27" s="54"/>
      <c r="Q27" s="51"/>
      <c r="R27" s="51"/>
      <c r="S27" s="51"/>
      <c r="T27" s="51"/>
      <c r="U27" s="51"/>
      <c r="V27" s="51"/>
      <c r="W27" s="51"/>
      <c r="X27" s="51"/>
      <c r="Y27" s="51"/>
      <c r="Z27" s="51"/>
    </row>
    <row r="28" spans="1:26">
      <c r="A28" s="30" t="s">
        <v>52</v>
      </c>
      <c r="B28" s="99">
        <v>11847</v>
      </c>
      <c r="C28" s="99">
        <v>13162</v>
      </c>
      <c r="D28" s="99">
        <v>14171</v>
      </c>
      <c r="E28" s="99">
        <v>16264</v>
      </c>
      <c r="F28" s="99">
        <v>19220</v>
      </c>
      <c r="G28" s="187"/>
      <c r="H28" s="187"/>
      <c r="I28" s="54"/>
      <c r="J28" s="54"/>
      <c r="K28" s="54"/>
      <c r="L28" s="54"/>
      <c r="M28" s="54"/>
      <c r="N28" s="54"/>
      <c r="O28" s="54"/>
      <c r="P28" s="54"/>
      <c r="Q28" s="51"/>
      <c r="R28" s="51"/>
      <c r="S28" s="51"/>
      <c r="T28" s="51"/>
      <c r="U28" s="51"/>
      <c r="V28" s="51"/>
      <c r="W28" s="51"/>
      <c r="X28" s="51"/>
      <c r="Y28" s="51"/>
      <c r="Z28" s="51"/>
    </row>
    <row r="29" spans="1:26">
      <c r="A29" s="30" t="s">
        <v>53</v>
      </c>
      <c r="B29" s="99">
        <v>12023</v>
      </c>
      <c r="C29" s="99">
        <v>13109</v>
      </c>
      <c r="D29" s="99">
        <v>13749</v>
      </c>
      <c r="E29" s="99">
        <v>14344</v>
      </c>
      <c r="F29" s="99">
        <v>17476</v>
      </c>
      <c r="G29" s="187"/>
      <c r="H29" s="187"/>
      <c r="I29" s="54"/>
      <c r="J29" s="54"/>
      <c r="K29" s="54"/>
      <c r="L29" s="54"/>
      <c r="M29" s="54"/>
      <c r="N29" s="54"/>
      <c r="O29" s="54"/>
      <c r="P29" s="54"/>
      <c r="Q29" s="51"/>
      <c r="R29" s="51"/>
      <c r="S29" s="51"/>
      <c r="T29" s="51"/>
      <c r="U29" s="51"/>
      <c r="V29" s="51"/>
      <c r="W29" s="51"/>
      <c r="X29" s="51"/>
      <c r="Y29" s="51"/>
      <c r="Z29" s="51"/>
    </row>
    <row r="30" spans="1:26">
      <c r="A30" s="30" t="s">
        <v>40</v>
      </c>
      <c r="B30" s="99">
        <v>86</v>
      </c>
      <c r="C30" s="99">
        <v>395</v>
      </c>
      <c r="D30" s="99">
        <v>393</v>
      </c>
      <c r="E30" s="99">
        <v>369</v>
      </c>
      <c r="F30" s="99">
        <v>317</v>
      </c>
      <c r="G30" s="187"/>
      <c r="H30" s="187"/>
      <c r="I30" s="54"/>
      <c r="J30" s="54"/>
      <c r="K30" s="54"/>
      <c r="L30" s="54"/>
      <c r="M30" s="54"/>
      <c r="N30" s="54"/>
      <c r="O30" s="54"/>
      <c r="P30" s="54"/>
      <c r="Q30" s="51"/>
      <c r="R30" s="51"/>
      <c r="S30" s="51"/>
      <c r="T30" s="51"/>
      <c r="U30" s="51"/>
      <c r="V30" s="51"/>
      <c r="W30" s="51"/>
      <c r="X30" s="51"/>
      <c r="Y30" s="51"/>
      <c r="Z30" s="51"/>
    </row>
    <row r="31" spans="1:26">
      <c r="A31" s="30" t="s">
        <v>54</v>
      </c>
      <c r="B31" s="99">
        <v>3111</v>
      </c>
      <c r="C31" s="99">
        <v>3591</v>
      </c>
      <c r="D31" s="99">
        <v>4034</v>
      </c>
      <c r="E31" s="99">
        <v>4474</v>
      </c>
      <c r="F31" s="99">
        <v>4553</v>
      </c>
      <c r="G31" s="187"/>
      <c r="H31" s="187"/>
      <c r="I31" s="54"/>
      <c r="J31" s="54"/>
      <c r="K31" s="54"/>
      <c r="L31" s="54"/>
      <c r="M31" s="54"/>
      <c r="N31" s="54"/>
      <c r="O31" s="54"/>
      <c r="P31" s="54"/>
      <c r="Q31" s="51"/>
      <c r="R31" s="51"/>
      <c r="S31" s="51"/>
      <c r="T31" s="51"/>
      <c r="U31" s="51"/>
      <c r="V31" s="51"/>
      <c r="W31" s="51"/>
      <c r="X31" s="51"/>
      <c r="Y31" s="51"/>
      <c r="Z31" s="51"/>
    </row>
    <row r="32" spans="1:26">
      <c r="A32" s="30" t="s">
        <v>55</v>
      </c>
      <c r="B32" s="99">
        <v>27067</v>
      </c>
      <c r="C32" s="99">
        <v>30257</v>
      </c>
      <c r="D32" s="99">
        <v>32347</v>
      </c>
      <c r="E32" s="99">
        <v>35451</v>
      </c>
      <c r="F32" s="99">
        <v>41566</v>
      </c>
      <c r="G32" s="187"/>
      <c r="H32" s="187"/>
      <c r="I32" s="54"/>
      <c r="J32" s="54"/>
      <c r="K32" s="54"/>
      <c r="L32" s="54"/>
      <c r="M32" s="54"/>
      <c r="N32" s="54"/>
      <c r="O32" s="54"/>
      <c r="P32" s="54"/>
      <c r="Q32" s="51"/>
      <c r="R32" s="51"/>
      <c r="S32" s="51"/>
      <c r="T32" s="51"/>
      <c r="U32" s="51"/>
      <c r="V32" s="51"/>
      <c r="W32" s="51"/>
      <c r="X32" s="51"/>
      <c r="Y32" s="51"/>
      <c r="Z32" s="51"/>
    </row>
    <row r="33" spans="1:26">
      <c r="A33" s="30" t="s">
        <v>56</v>
      </c>
      <c r="B33" s="99" t="s">
        <v>70</v>
      </c>
      <c r="C33" s="99" t="s">
        <v>70</v>
      </c>
      <c r="D33" s="99" t="s">
        <v>70</v>
      </c>
      <c r="E33" s="99" t="s">
        <v>70</v>
      </c>
      <c r="F33" s="99" t="s">
        <v>70</v>
      </c>
      <c r="G33" s="187"/>
      <c r="H33" s="187"/>
      <c r="I33" s="54"/>
      <c r="J33" s="54"/>
      <c r="K33" s="54"/>
      <c r="L33" s="54"/>
      <c r="M33" s="54"/>
      <c r="N33" s="54"/>
      <c r="O33" s="54"/>
      <c r="P33" s="54"/>
      <c r="Q33" s="51"/>
      <c r="R33" s="51"/>
      <c r="S33" s="51"/>
      <c r="T33" s="51"/>
      <c r="U33" s="51"/>
      <c r="V33" s="51"/>
      <c r="W33" s="51"/>
      <c r="X33" s="51"/>
      <c r="Y33" s="51"/>
      <c r="Z33" s="51"/>
    </row>
    <row r="34" spans="1:26">
      <c r="A34" s="30" t="s">
        <v>57</v>
      </c>
      <c r="B34" s="99">
        <v>29</v>
      </c>
      <c r="C34" s="99">
        <v>29</v>
      </c>
      <c r="D34" s="99">
        <v>21</v>
      </c>
      <c r="E34" s="99">
        <v>22</v>
      </c>
      <c r="F34" s="99">
        <v>0</v>
      </c>
      <c r="G34" s="187"/>
      <c r="H34" s="187"/>
      <c r="I34" s="54"/>
      <c r="J34" s="54"/>
      <c r="K34" s="54"/>
      <c r="L34" s="54"/>
      <c r="M34" s="54"/>
      <c r="N34" s="54"/>
      <c r="O34" s="54"/>
      <c r="P34" s="54"/>
      <c r="Q34" s="51"/>
      <c r="R34" s="51"/>
      <c r="S34" s="51"/>
      <c r="T34" s="51"/>
      <c r="U34" s="51"/>
      <c r="V34" s="51"/>
      <c r="W34" s="51"/>
      <c r="X34" s="51"/>
      <c r="Y34" s="51"/>
      <c r="Z34" s="51"/>
    </row>
    <row r="35" spans="1:26">
      <c r="A35" s="30" t="s">
        <v>58</v>
      </c>
      <c r="B35" s="99"/>
      <c r="C35" s="99"/>
      <c r="D35" s="99" t="s">
        <v>26</v>
      </c>
      <c r="E35" s="99" t="s">
        <v>26</v>
      </c>
      <c r="F35" s="99" t="s">
        <v>26</v>
      </c>
      <c r="G35" s="187"/>
      <c r="H35" s="187"/>
      <c r="I35" s="54"/>
      <c r="J35" s="54"/>
      <c r="K35" s="54"/>
      <c r="L35" s="54"/>
      <c r="M35" s="54"/>
      <c r="N35" s="54"/>
      <c r="O35" s="54"/>
      <c r="P35" s="54"/>
      <c r="Q35" s="51"/>
      <c r="R35" s="51"/>
      <c r="S35" s="51"/>
      <c r="T35" s="51"/>
      <c r="U35" s="51"/>
      <c r="V35" s="51"/>
      <c r="W35" s="51"/>
      <c r="X35" s="51"/>
      <c r="Y35" s="51"/>
      <c r="Z35" s="51"/>
    </row>
    <row r="36" spans="1:26">
      <c r="A36" s="30" t="s">
        <v>59</v>
      </c>
      <c r="B36" s="99">
        <v>4982</v>
      </c>
      <c r="C36" s="99">
        <v>5061</v>
      </c>
      <c r="D36" s="99">
        <v>5298</v>
      </c>
      <c r="E36" s="99">
        <v>5893</v>
      </c>
      <c r="F36" s="99">
        <v>6442</v>
      </c>
      <c r="G36" s="187"/>
      <c r="H36" s="187"/>
      <c r="I36" s="54"/>
      <c r="J36" s="54"/>
      <c r="K36" s="54"/>
      <c r="L36" s="54"/>
      <c r="M36" s="54"/>
      <c r="N36" s="54"/>
      <c r="O36" s="54"/>
      <c r="P36" s="54"/>
      <c r="Q36" s="51"/>
      <c r="R36" s="51"/>
      <c r="S36" s="51"/>
      <c r="T36" s="51"/>
      <c r="U36" s="51"/>
      <c r="V36" s="51"/>
      <c r="W36" s="51"/>
      <c r="X36" s="51"/>
      <c r="Y36" s="51"/>
      <c r="Z36" s="51"/>
    </row>
    <row r="37" spans="1:26">
      <c r="A37" s="30" t="s">
        <v>60</v>
      </c>
      <c r="B37" s="99">
        <v>-36658</v>
      </c>
      <c r="C37" s="99">
        <v>-42588</v>
      </c>
      <c r="D37" s="99">
        <v>-51354</v>
      </c>
      <c r="E37" s="99">
        <v>-60429</v>
      </c>
      <c r="F37" s="99">
        <v>-71431</v>
      </c>
      <c r="G37" s="187"/>
      <c r="H37" s="187"/>
      <c r="I37" s="54"/>
      <c r="J37" s="54"/>
      <c r="K37" s="54"/>
      <c r="L37" s="54"/>
      <c r="M37" s="54"/>
      <c r="N37" s="54"/>
      <c r="O37" s="54"/>
      <c r="P37" s="54"/>
      <c r="Q37" s="51"/>
      <c r="R37" s="51"/>
      <c r="S37" s="51"/>
      <c r="T37" s="51"/>
      <c r="U37" s="51"/>
      <c r="V37" s="51"/>
      <c r="W37" s="51"/>
      <c r="X37" s="51"/>
      <c r="Y37" s="51"/>
      <c r="Z37" s="51"/>
    </row>
    <row r="38" spans="1:26">
      <c r="A38" s="30" t="s">
        <v>61</v>
      </c>
      <c r="B38" s="99">
        <v>38747</v>
      </c>
      <c r="C38" s="99">
        <v>45648</v>
      </c>
      <c r="D38" s="99">
        <v>53607</v>
      </c>
      <c r="E38" s="99">
        <v>62564</v>
      </c>
      <c r="F38" s="99">
        <v>72907</v>
      </c>
      <c r="G38" s="187"/>
      <c r="H38" s="187"/>
      <c r="I38" s="54"/>
      <c r="J38" s="54"/>
      <c r="K38" s="54"/>
      <c r="L38" s="54"/>
      <c r="M38" s="54"/>
      <c r="N38" s="54"/>
      <c r="O38" s="54"/>
      <c r="P38" s="54"/>
      <c r="Q38" s="51"/>
      <c r="R38" s="51"/>
      <c r="S38" s="51"/>
      <c r="T38" s="51"/>
      <c r="U38" s="51"/>
      <c r="V38" s="51"/>
      <c r="W38" s="51"/>
      <c r="X38" s="51"/>
      <c r="Y38" s="51"/>
      <c r="Z38" s="51"/>
    </row>
    <row r="39" spans="1:26">
      <c r="A39" s="30" t="s">
        <v>62</v>
      </c>
      <c r="B39" s="99">
        <v>-680</v>
      </c>
      <c r="C39" s="99">
        <v>-809</v>
      </c>
      <c r="D39" s="99">
        <v>-1253</v>
      </c>
      <c r="E39" s="99">
        <v>-1099</v>
      </c>
      <c r="F39" s="99">
        <v>-1433</v>
      </c>
      <c r="G39" s="187"/>
      <c r="H39" s="187"/>
      <c r="I39" s="54"/>
      <c r="J39" s="54"/>
      <c r="K39" s="54"/>
      <c r="L39" s="54"/>
      <c r="M39" s="54"/>
      <c r="N39" s="54"/>
      <c r="O39" s="54"/>
      <c r="P39" s="54"/>
      <c r="Q39" s="51"/>
      <c r="R39" s="51"/>
      <c r="S39" s="51"/>
      <c r="T39" s="51"/>
      <c r="U39" s="51"/>
      <c r="V39" s="51"/>
      <c r="W39" s="51"/>
      <c r="X39" s="51"/>
      <c r="Y39" s="51"/>
      <c r="Z39" s="51"/>
    </row>
    <row r="40" spans="1:26">
      <c r="A40" s="30" t="s">
        <v>63</v>
      </c>
      <c r="B40" s="99">
        <v>6391</v>
      </c>
      <c r="C40" s="99">
        <v>7312</v>
      </c>
      <c r="D40" s="99">
        <v>6298</v>
      </c>
      <c r="E40" s="99">
        <v>6929</v>
      </c>
      <c r="F40" s="99">
        <v>6485</v>
      </c>
      <c r="G40" s="187"/>
      <c r="H40" s="187"/>
      <c r="I40" s="54"/>
      <c r="J40" s="54"/>
      <c r="K40" s="54"/>
      <c r="L40" s="54"/>
      <c r="M40" s="54"/>
      <c r="N40" s="54"/>
      <c r="O40" s="54"/>
      <c r="P40" s="54"/>
      <c r="Q40" s="51"/>
      <c r="R40" s="51"/>
      <c r="S40" s="51"/>
      <c r="T40" s="51"/>
      <c r="U40" s="51"/>
      <c r="V40" s="51"/>
      <c r="W40" s="51"/>
      <c r="X40" s="51"/>
      <c r="Y40" s="51"/>
      <c r="Z40" s="51"/>
    </row>
    <row r="41" spans="1:26">
      <c r="A41" s="30" t="s">
        <v>64</v>
      </c>
      <c r="B41" s="99">
        <v>97</v>
      </c>
      <c r="C41" s="99">
        <v>71</v>
      </c>
      <c r="D41" s="99">
        <v>58</v>
      </c>
      <c r="E41" s="99">
        <v>46</v>
      </c>
      <c r="F41" s="99">
        <v>30</v>
      </c>
      <c r="G41" s="187"/>
      <c r="H41" s="187"/>
      <c r="I41" s="54"/>
      <c r="J41" s="54"/>
      <c r="K41" s="54"/>
      <c r="L41" s="54"/>
      <c r="M41" s="54"/>
      <c r="N41" s="54"/>
      <c r="O41" s="54"/>
      <c r="P41" s="54"/>
      <c r="Q41" s="51"/>
      <c r="R41" s="51"/>
      <c r="S41" s="51"/>
      <c r="T41" s="51"/>
      <c r="U41" s="51"/>
      <c r="V41" s="51"/>
      <c r="W41" s="51"/>
      <c r="X41" s="51"/>
      <c r="Y41" s="51"/>
      <c r="Z41" s="51"/>
    </row>
    <row r="42" spans="1:26">
      <c r="A42" s="30" t="s">
        <v>65</v>
      </c>
      <c r="B42" s="99">
        <v>6488</v>
      </c>
      <c r="C42" s="99">
        <v>7383</v>
      </c>
      <c r="D42" s="99">
        <v>6356</v>
      </c>
      <c r="E42" s="99">
        <v>6975</v>
      </c>
      <c r="F42" s="99">
        <v>6515</v>
      </c>
      <c r="G42" s="187"/>
      <c r="H42" s="187"/>
      <c r="I42" s="54"/>
      <c r="J42" s="54"/>
      <c r="K42" s="54"/>
      <c r="L42" s="54"/>
      <c r="M42" s="54"/>
      <c r="N42" s="54"/>
      <c r="O42" s="54"/>
      <c r="P42" s="54"/>
      <c r="Q42" s="51"/>
      <c r="R42" s="51"/>
      <c r="S42" s="51"/>
      <c r="T42" s="51"/>
      <c r="U42" s="51"/>
      <c r="V42" s="51"/>
      <c r="W42" s="51"/>
      <c r="X42" s="51"/>
      <c r="Y42" s="51"/>
      <c r="Z42" s="51"/>
    </row>
    <row r="43" spans="1:26">
      <c r="A43" s="30" t="s">
        <v>66</v>
      </c>
      <c r="B43" s="99">
        <v>33584</v>
      </c>
      <c r="C43" s="99">
        <v>37669</v>
      </c>
      <c r="D43" s="99">
        <v>38724</v>
      </c>
      <c r="E43" s="99">
        <v>42448</v>
      </c>
      <c r="F43" s="99">
        <v>48081</v>
      </c>
      <c r="G43" s="187"/>
      <c r="H43" s="187"/>
      <c r="I43" s="54"/>
      <c r="J43" s="54"/>
      <c r="K43" s="54"/>
      <c r="L43" s="54"/>
      <c r="M43" s="54"/>
      <c r="N43" s="54"/>
      <c r="O43" s="54"/>
      <c r="P43" s="54"/>
      <c r="Q43" s="51"/>
      <c r="R43" s="51"/>
      <c r="S43" s="51"/>
      <c r="T43" s="51"/>
      <c r="U43" s="51"/>
      <c r="V43" s="51"/>
      <c r="W43" s="51"/>
      <c r="X43" s="51"/>
      <c r="Y43" s="51"/>
      <c r="Z43" s="51"/>
    </row>
    <row r="44" spans="1:26">
      <c r="A44" s="30" t="s">
        <v>67</v>
      </c>
      <c r="B44" s="99"/>
      <c r="C44" s="99"/>
      <c r="D44" s="99" t="s">
        <v>26</v>
      </c>
      <c r="E44" s="99" t="s">
        <v>26</v>
      </c>
      <c r="F44" s="99" t="s">
        <v>26</v>
      </c>
      <c r="G44" s="187"/>
      <c r="H44" s="187"/>
      <c r="I44" s="54"/>
      <c r="J44" s="54"/>
      <c r="K44" s="54"/>
      <c r="L44" s="54"/>
      <c r="M44" s="54"/>
      <c r="N44" s="54"/>
      <c r="O44" s="54"/>
      <c r="P44" s="54"/>
      <c r="Q44" s="51"/>
      <c r="R44" s="51"/>
      <c r="S44" s="51"/>
      <c r="T44" s="51"/>
      <c r="U44" s="51"/>
      <c r="V44" s="51"/>
      <c r="W44" s="51"/>
      <c r="X44" s="51"/>
      <c r="Y44" s="51"/>
      <c r="Z44" s="51"/>
    </row>
    <row r="45" spans="1:26">
      <c r="A45" s="30" t="s">
        <v>58</v>
      </c>
      <c r="B45" s="99"/>
      <c r="C45" s="99"/>
      <c r="D45" s="99" t="s">
        <v>26</v>
      </c>
      <c r="E45" s="99" t="s">
        <v>26</v>
      </c>
      <c r="F45" s="99" t="s">
        <v>26</v>
      </c>
      <c r="G45" s="187"/>
      <c r="H45" s="187"/>
      <c r="I45" s="54"/>
      <c r="J45" s="54"/>
      <c r="K45" s="54"/>
      <c r="L45" s="54"/>
      <c r="M45" s="54"/>
      <c r="N45" s="54"/>
      <c r="O45" s="54"/>
      <c r="P45" s="54"/>
      <c r="Q45" s="51"/>
      <c r="R45" s="51"/>
      <c r="S45" s="51"/>
      <c r="T45" s="51"/>
      <c r="U45" s="51"/>
      <c r="V45" s="51"/>
      <c r="W45" s="51"/>
      <c r="X45" s="51"/>
      <c r="Y45" s="51"/>
      <c r="Z45" s="51"/>
    </row>
    <row r="46" spans="1:26">
      <c r="A46" s="30" t="s">
        <v>68</v>
      </c>
      <c r="B46" s="99">
        <v>0</v>
      </c>
      <c r="C46" s="99">
        <v>0</v>
      </c>
      <c r="D46" s="99">
        <v>0</v>
      </c>
      <c r="E46" s="99">
        <v>0</v>
      </c>
      <c r="F46" s="99">
        <v>0</v>
      </c>
      <c r="G46" s="187"/>
      <c r="H46" s="187"/>
      <c r="I46" s="54"/>
      <c r="J46" s="54"/>
      <c r="K46" s="54"/>
      <c r="L46" s="54"/>
      <c r="M46" s="54"/>
      <c r="N46" s="54"/>
      <c r="O46" s="54"/>
      <c r="P46" s="54"/>
      <c r="Q46" s="51"/>
      <c r="R46" s="51"/>
      <c r="S46" s="51"/>
      <c r="T46" s="51"/>
      <c r="U46" s="51"/>
      <c r="V46" s="51"/>
      <c r="W46" s="51"/>
      <c r="X46" s="51"/>
      <c r="Y46" s="51"/>
      <c r="Z46" s="51"/>
    </row>
    <row r="47" spans="1:26">
      <c r="A47" s="30" t="s">
        <v>69</v>
      </c>
      <c r="B47" s="99"/>
      <c r="C47" s="99"/>
      <c r="D47" s="99" t="s">
        <v>26</v>
      </c>
      <c r="E47" s="99" t="s">
        <v>26</v>
      </c>
      <c r="F47" s="99" t="s">
        <v>26</v>
      </c>
      <c r="G47" s="187"/>
      <c r="H47" s="187"/>
      <c r="I47" s="54"/>
      <c r="J47" s="54"/>
      <c r="K47" s="54"/>
      <c r="L47" s="54"/>
      <c r="M47" s="54"/>
      <c r="N47" s="54"/>
      <c r="O47" s="54"/>
      <c r="P47" s="54"/>
      <c r="Q47" s="51"/>
      <c r="R47" s="51"/>
      <c r="S47" s="51"/>
      <c r="T47" s="51"/>
      <c r="U47" s="51"/>
      <c r="V47" s="51"/>
      <c r="W47" s="51"/>
      <c r="X47" s="51"/>
      <c r="Y47" s="51"/>
      <c r="Z47" s="51"/>
    </row>
    <row r="48" spans="1:26">
      <c r="A48" s="30" t="s">
        <v>58</v>
      </c>
      <c r="B48" s="99"/>
      <c r="C48" s="99"/>
      <c r="D48" s="99" t="s">
        <v>26</v>
      </c>
      <c r="E48" s="99" t="s">
        <v>26</v>
      </c>
      <c r="F48" s="99" t="s">
        <v>26</v>
      </c>
      <c r="G48" s="187"/>
      <c r="H48" s="187"/>
      <c r="I48" s="54"/>
      <c r="J48" s="54"/>
      <c r="K48" s="54"/>
      <c r="L48" s="54"/>
      <c r="M48" s="54"/>
      <c r="N48" s="54"/>
      <c r="O48" s="54"/>
      <c r="P48" s="54"/>
      <c r="Q48" s="51"/>
      <c r="R48" s="51"/>
      <c r="S48" s="51"/>
      <c r="T48" s="51"/>
      <c r="U48" s="51"/>
      <c r="V48" s="51"/>
      <c r="W48" s="51"/>
      <c r="X48" s="51"/>
      <c r="Y48" s="51"/>
      <c r="Z48" s="51"/>
    </row>
    <row r="49" spans="1:26">
      <c r="A49" s="30" t="s">
        <v>68</v>
      </c>
      <c r="B49" s="99">
        <v>0</v>
      </c>
      <c r="C49" s="99">
        <v>0</v>
      </c>
      <c r="D49" s="99">
        <v>0</v>
      </c>
      <c r="E49" s="99">
        <v>0</v>
      </c>
      <c r="F49" s="99">
        <v>0</v>
      </c>
      <c r="G49" s="187"/>
      <c r="H49" s="187"/>
      <c r="I49" s="54"/>
      <c r="J49" s="54"/>
      <c r="K49" s="54"/>
      <c r="L49" s="54"/>
      <c r="M49" s="54"/>
      <c r="N49" s="54"/>
      <c r="O49" s="54"/>
      <c r="P49" s="54"/>
      <c r="Q49" s="51"/>
      <c r="R49" s="51"/>
      <c r="S49" s="51"/>
      <c r="T49" s="51"/>
      <c r="U49" s="51"/>
      <c r="V49" s="51"/>
      <c r="W49" s="51"/>
      <c r="X49" s="51"/>
      <c r="Y49" s="51"/>
      <c r="Z49" s="51"/>
    </row>
    <row r="50" spans="1:26">
      <c r="A50" s="202" t="s">
        <v>1425</v>
      </c>
      <c r="B50" s="187"/>
      <c r="C50" s="187"/>
      <c r="D50" s="187"/>
      <c r="E50" s="187"/>
      <c r="F50" s="187"/>
      <c r="G50" s="187"/>
      <c r="H50" s="187"/>
      <c r="I50" s="54"/>
      <c r="J50" s="54"/>
      <c r="K50" s="54"/>
      <c r="L50" s="54"/>
      <c r="M50" s="54"/>
      <c r="N50" s="54"/>
      <c r="O50" s="54"/>
      <c r="P50" s="54"/>
      <c r="Q50" s="51"/>
      <c r="R50" s="51"/>
      <c r="S50" s="51"/>
      <c r="T50" s="51"/>
      <c r="U50" s="51"/>
      <c r="V50" s="51"/>
      <c r="W50" s="51"/>
      <c r="X50" s="51"/>
      <c r="Y50" s="51"/>
      <c r="Z50" s="51"/>
    </row>
    <row r="51" spans="1:26">
      <c r="A51" s="187"/>
      <c r="B51" s="187"/>
      <c r="C51" s="187"/>
      <c r="D51" s="187"/>
      <c r="E51" s="187"/>
      <c r="F51" s="187"/>
      <c r="G51" s="187"/>
      <c r="H51" s="187"/>
      <c r="I51" s="54"/>
      <c r="J51" s="54"/>
      <c r="K51" s="54"/>
      <c r="L51" s="54"/>
      <c r="M51" s="54"/>
      <c r="N51" s="54"/>
      <c r="O51" s="54"/>
      <c r="P51" s="54"/>
      <c r="Q51" s="51"/>
      <c r="R51" s="51"/>
      <c r="S51" s="51"/>
      <c r="T51" s="51"/>
      <c r="U51" s="51"/>
      <c r="V51" s="51"/>
      <c r="W51" s="51"/>
      <c r="X51" s="51"/>
      <c r="Y51" s="51"/>
      <c r="Z51" s="51"/>
    </row>
    <row r="52" spans="1:26">
      <c r="A52" s="187"/>
      <c r="B52" s="187"/>
      <c r="C52" s="187"/>
      <c r="D52" s="187"/>
      <c r="E52" s="187"/>
      <c r="F52" s="187"/>
      <c r="G52" s="187"/>
      <c r="H52" s="187"/>
      <c r="I52" s="54"/>
      <c r="J52" s="54"/>
      <c r="K52" s="54"/>
      <c r="L52" s="54"/>
      <c r="M52" s="54"/>
      <c r="N52" s="54"/>
      <c r="O52" s="54"/>
      <c r="P52" s="54"/>
      <c r="Q52" s="51"/>
      <c r="R52" s="51"/>
      <c r="S52" s="51"/>
      <c r="T52" s="51"/>
      <c r="U52" s="51"/>
      <c r="V52" s="51"/>
      <c r="W52" s="51"/>
      <c r="X52" s="51"/>
      <c r="Y52" s="51"/>
      <c r="Z52" s="51"/>
    </row>
    <row r="53" spans="1:26">
      <c r="A53" s="187"/>
      <c r="B53" s="187"/>
      <c r="C53" s="187"/>
      <c r="D53" s="187"/>
      <c r="E53" s="187"/>
      <c r="F53" s="187"/>
      <c r="G53" s="187"/>
      <c r="H53" s="187"/>
      <c r="I53" s="54"/>
      <c r="J53" s="54"/>
      <c r="K53" s="54"/>
      <c r="L53" s="54"/>
      <c r="M53" s="54"/>
      <c r="N53" s="54"/>
      <c r="O53" s="54"/>
      <c r="P53" s="54"/>
      <c r="Q53" s="51"/>
      <c r="R53" s="51"/>
      <c r="S53" s="51"/>
      <c r="T53" s="51"/>
      <c r="U53" s="51"/>
      <c r="V53" s="51"/>
      <c r="W53" s="51"/>
      <c r="X53" s="51"/>
      <c r="Y53" s="51"/>
      <c r="Z53" s="51"/>
    </row>
    <row r="54" spans="1:26">
      <c r="A54" s="187"/>
      <c r="B54" s="187"/>
      <c r="C54" s="187"/>
      <c r="D54" s="187"/>
      <c r="E54" s="187"/>
      <c r="F54" s="187"/>
      <c r="G54" s="187"/>
      <c r="H54" s="187"/>
      <c r="I54" s="54"/>
      <c r="J54" s="54"/>
      <c r="K54" s="54"/>
      <c r="L54" s="54"/>
      <c r="M54" s="54"/>
      <c r="N54" s="54"/>
      <c r="O54" s="54"/>
      <c r="P54" s="54"/>
      <c r="Q54" s="51"/>
      <c r="R54" s="51"/>
      <c r="S54" s="51"/>
      <c r="T54" s="51"/>
      <c r="U54" s="51"/>
      <c r="V54" s="51"/>
      <c r="W54" s="51"/>
      <c r="X54" s="51"/>
      <c r="Y54" s="51"/>
      <c r="Z54" s="51"/>
    </row>
    <row r="55" spans="1:26">
      <c r="A55" s="187"/>
      <c r="B55" s="187"/>
      <c r="C55" s="187"/>
      <c r="D55" s="187"/>
      <c r="E55" s="187"/>
      <c r="F55" s="187"/>
      <c r="G55" s="187"/>
      <c r="H55" s="187"/>
      <c r="I55" s="54"/>
      <c r="J55" s="54"/>
      <c r="K55" s="54"/>
      <c r="L55" s="54"/>
      <c r="M55" s="54"/>
      <c r="N55" s="54"/>
      <c r="O55" s="54"/>
      <c r="P55" s="54"/>
      <c r="Q55" s="51"/>
      <c r="R55" s="51"/>
      <c r="S55" s="51"/>
      <c r="T55" s="51"/>
      <c r="U55" s="51"/>
      <c r="V55" s="51"/>
      <c r="W55" s="51"/>
      <c r="X55" s="51"/>
      <c r="Y55" s="51"/>
      <c r="Z55" s="51"/>
    </row>
    <row r="56" spans="1:26">
      <c r="A56" s="187"/>
      <c r="B56" s="187"/>
      <c r="C56" s="187"/>
      <c r="D56" s="187"/>
      <c r="E56" s="187"/>
      <c r="F56" s="187"/>
      <c r="G56" s="187"/>
      <c r="H56" s="187"/>
      <c r="I56" s="54"/>
      <c r="J56" s="54"/>
      <c r="K56" s="54"/>
      <c r="L56" s="54"/>
      <c r="M56" s="54"/>
      <c r="N56" s="54"/>
      <c r="O56" s="54"/>
      <c r="P56" s="54"/>
      <c r="Q56" s="51"/>
      <c r="R56" s="51"/>
      <c r="S56" s="51"/>
      <c r="T56" s="51"/>
      <c r="U56" s="51"/>
      <c r="V56" s="51"/>
      <c r="W56" s="51"/>
      <c r="X56" s="51"/>
      <c r="Y56" s="51"/>
      <c r="Z56" s="51"/>
    </row>
    <row r="57" spans="1:26">
      <c r="A57" s="187"/>
      <c r="B57" s="187"/>
      <c r="C57" s="187"/>
      <c r="D57" s="187"/>
      <c r="E57" s="187"/>
      <c r="F57" s="187"/>
      <c r="G57" s="187"/>
      <c r="H57" s="187"/>
      <c r="I57" s="54"/>
      <c r="J57" s="54"/>
      <c r="K57" s="54"/>
      <c r="L57" s="54"/>
      <c r="M57" s="54"/>
      <c r="N57" s="54"/>
      <c r="O57" s="54"/>
      <c r="P57" s="54"/>
      <c r="Q57" s="51"/>
      <c r="R57" s="51"/>
      <c r="S57" s="51"/>
      <c r="T57" s="51"/>
      <c r="U57" s="51"/>
      <c r="V57" s="51"/>
      <c r="W57" s="51"/>
      <c r="X57" s="51"/>
      <c r="Y57" s="51"/>
      <c r="Z57" s="51"/>
    </row>
    <row r="58" spans="1:26">
      <c r="A58" s="187"/>
      <c r="B58" s="187"/>
      <c r="C58" s="187"/>
      <c r="D58" s="187"/>
      <c r="E58" s="187"/>
      <c r="F58" s="187"/>
      <c r="G58" s="187"/>
      <c r="H58" s="187"/>
      <c r="I58" s="54"/>
      <c r="J58" s="54"/>
      <c r="K58" s="54"/>
      <c r="L58" s="54"/>
      <c r="M58" s="54"/>
      <c r="N58" s="54"/>
      <c r="O58" s="54"/>
      <c r="P58" s="54"/>
      <c r="Q58" s="51"/>
      <c r="R58" s="51"/>
      <c r="S58" s="51"/>
      <c r="T58" s="51"/>
      <c r="U58" s="51"/>
      <c r="V58" s="51"/>
      <c r="W58" s="51"/>
      <c r="X58" s="51"/>
      <c r="Y58" s="51"/>
      <c r="Z58" s="51"/>
    </row>
    <row r="59" spans="1:26">
      <c r="A59" s="187"/>
      <c r="B59" s="187"/>
      <c r="C59" s="187"/>
      <c r="D59" s="187"/>
      <c r="E59" s="187"/>
      <c r="F59" s="187"/>
      <c r="G59" s="187"/>
      <c r="H59" s="187"/>
      <c r="I59" s="54"/>
      <c r="J59" s="54"/>
      <c r="K59" s="54"/>
      <c r="L59" s="54"/>
      <c r="M59" s="54"/>
      <c r="N59" s="54"/>
      <c r="O59" s="54"/>
      <c r="P59" s="54"/>
      <c r="Q59" s="51"/>
      <c r="R59" s="51"/>
      <c r="S59" s="51"/>
      <c r="T59" s="51"/>
      <c r="U59" s="51"/>
      <c r="V59" s="51"/>
      <c r="W59" s="51"/>
      <c r="X59" s="51"/>
      <c r="Y59" s="51"/>
      <c r="Z59" s="51"/>
    </row>
    <row r="60" spans="1:26">
      <c r="A60" s="187"/>
      <c r="B60" s="187"/>
      <c r="C60" s="187"/>
      <c r="D60" s="187"/>
      <c r="E60" s="187"/>
      <c r="F60" s="187"/>
      <c r="G60" s="187"/>
      <c r="H60" s="187"/>
      <c r="I60" s="54"/>
      <c r="J60" s="54"/>
      <c r="K60" s="54"/>
      <c r="L60" s="54"/>
      <c r="M60" s="54"/>
      <c r="N60" s="54"/>
      <c r="O60" s="54"/>
      <c r="P60" s="54"/>
      <c r="Q60" s="51"/>
      <c r="R60" s="51"/>
      <c r="S60" s="51"/>
      <c r="T60" s="51"/>
      <c r="U60" s="51"/>
      <c r="V60" s="51"/>
      <c r="W60" s="51"/>
      <c r="X60" s="51"/>
      <c r="Y60" s="51"/>
      <c r="Z60" s="51"/>
    </row>
    <row r="61" spans="1:26">
      <c r="A61" s="187"/>
      <c r="B61" s="187"/>
      <c r="C61" s="187"/>
      <c r="D61" s="187"/>
      <c r="E61" s="187"/>
      <c r="F61" s="187"/>
      <c r="G61" s="187"/>
      <c r="H61" s="187"/>
      <c r="I61" s="54"/>
      <c r="J61" s="54"/>
      <c r="K61" s="54"/>
      <c r="L61" s="54"/>
      <c r="M61" s="54"/>
      <c r="N61" s="54"/>
      <c r="O61" s="54"/>
      <c r="P61" s="54"/>
      <c r="Q61" s="51"/>
      <c r="R61" s="51"/>
      <c r="S61" s="51"/>
      <c r="T61" s="51"/>
      <c r="U61" s="51"/>
      <c r="V61" s="51"/>
      <c r="W61" s="51"/>
      <c r="X61" s="51"/>
      <c r="Y61" s="51"/>
      <c r="Z61" s="51"/>
    </row>
    <row r="62" spans="1:26">
      <c r="A62" s="187"/>
      <c r="B62" s="187"/>
      <c r="C62" s="187"/>
      <c r="D62" s="187"/>
      <c r="E62" s="187"/>
      <c r="F62" s="187"/>
      <c r="G62" s="187"/>
      <c r="H62" s="187"/>
      <c r="I62" s="54"/>
      <c r="J62" s="54"/>
      <c r="K62" s="54"/>
      <c r="L62" s="54"/>
      <c r="M62" s="54"/>
      <c r="N62" s="54"/>
      <c r="O62" s="54"/>
      <c r="P62" s="54"/>
      <c r="Q62" s="51"/>
      <c r="R62" s="51"/>
      <c r="S62" s="51"/>
      <c r="T62" s="51"/>
      <c r="U62" s="51"/>
      <c r="V62" s="51"/>
      <c r="W62" s="51"/>
      <c r="X62" s="51"/>
      <c r="Y62" s="51"/>
      <c r="Z62" s="51"/>
    </row>
    <row r="63" spans="1:26">
      <c r="A63" s="187"/>
      <c r="B63" s="187"/>
      <c r="C63" s="187"/>
      <c r="D63" s="187"/>
      <c r="E63" s="187"/>
      <c r="F63" s="187"/>
      <c r="G63" s="187"/>
      <c r="H63" s="187"/>
      <c r="I63" s="54"/>
      <c r="J63" s="54"/>
      <c r="K63" s="54"/>
      <c r="L63" s="54"/>
      <c r="M63" s="54"/>
      <c r="N63" s="54"/>
      <c r="O63" s="54"/>
      <c r="P63" s="54"/>
      <c r="Q63" s="51"/>
      <c r="R63" s="51"/>
      <c r="S63" s="51"/>
      <c r="T63" s="51"/>
      <c r="U63" s="51"/>
      <c r="V63" s="51"/>
      <c r="W63" s="51"/>
      <c r="X63" s="51"/>
      <c r="Y63" s="51"/>
      <c r="Z63" s="51"/>
    </row>
    <row r="64" spans="1:26">
      <c r="A64" s="187"/>
      <c r="B64" s="187"/>
      <c r="C64" s="187"/>
      <c r="D64" s="187"/>
      <c r="E64" s="187"/>
      <c r="F64" s="187"/>
      <c r="G64" s="187"/>
      <c r="H64" s="187"/>
      <c r="I64" s="54"/>
      <c r="J64" s="54"/>
      <c r="K64" s="54"/>
      <c r="L64" s="54"/>
      <c r="M64" s="54"/>
      <c r="N64" s="54"/>
      <c r="O64" s="54"/>
      <c r="P64" s="54"/>
      <c r="Q64" s="51"/>
      <c r="R64" s="51"/>
      <c r="S64" s="51"/>
      <c r="T64" s="51"/>
      <c r="U64" s="51"/>
      <c r="V64" s="51"/>
      <c r="W64" s="51"/>
      <c r="X64" s="51"/>
      <c r="Y64" s="51"/>
      <c r="Z64" s="51"/>
    </row>
    <row r="65" spans="1:26">
      <c r="A65" s="187"/>
      <c r="B65" s="187"/>
      <c r="C65" s="187"/>
      <c r="D65" s="187"/>
      <c r="E65" s="187"/>
      <c r="F65" s="187"/>
      <c r="G65" s="187"/>
      <c r="H65" s="187"/>
      <c r="I65" s="54"/>
      <c r="J65" s="54"/>
      <c r="K65" s="54"/>
      <c r="L65" s="54"/>
      <c r="M65" s="54"/>
      <c r="N65" s="54"/>
      <c r="O65" s="54"/>
      <c r="P65" s="54"/>
      <c r="Q65" s="51"/>
      <c r="R65" s="51"/>
      <c r="S65" s="51"/>
      <c r="T65" s="51"/>
      <c r="U65" s="51"/>
      <c r="V65" s="51"/>
      <c r="W65" s="51"/>
      <c r="X65" s="51"/>
      <c r="Y65" s="51"/>
      <c r="Z65" s="51"/>
    </row>
    <row r="66" spans="1:26">
      <c r="A66" s="187"/>
      <c r="B66" s="187"/>
      <c r="C66" s="187"/>
      <c r="D66" s="187"/>
      <c r="E66" s="187"/>
      <c r="F66" s="187"/>
      <c r="G66" s="187"/>
      <c r="H66" s="187"/>
      <c r="I66" s="54"/>
      <c r="J66" s="54"/>
      <c r="K66" s="54"/>
      <c r="L66" s="54"/>
      <c r="M66" s="54"/>
      <c r="N66" s="54"/>
      <c r="O66" s="54"/>
      <c r="P66" s="54"/>
      <c r="Q66" s="51"/>
      <c r="R66" s="51"/>
      <c r="S66" s="51"/>
      <c r="T66" s="51"/>
      <c r="U66" s="51"/>
      <c r="V66" s="51"/>
      <c r="W66" s="51"/>
      <c r="X66" s="51"/>
      <c r="Y66" s="51"/>
      <c r="Z66" s="51"/>
    </row>
    <row r="67" spans="1:26">
      <c r="A67" s="187"/>
      <c r="B67" s="187"/>
      <c r="C67" s="187"/>
      <c r="D67" s="187"/>
      <c r="E67" s="187"/>
      <c r="F67" s="187"/>
      <c r="G67" s="187"/>
      <c r="H67" s="187"/>
      <c r="I67" s="54"/>
      <c r="J67" s="54"/>
      <c r="K67" s="54"/>
      <c r="L67" s="54"/>
      <c r="M67" s="54"/>
      <c r="N67" s="54"/>
      <c r="O67" s="54"/>
      <c r="P67" s="54"/>
      <c r="Q67" s="51"/>
      <c r="R67" s="51"/>
      <c r="S67" s="51"/>
      <c r="T67" s="51"/>
      <c r="U67" s="51"/>
      <c r="V67" s="51"/>
      <c r="W67" s="51"/>
      <c r="X67" s="51"/>
      <c r="Y67" s="51"/>
      <c r="Z67" s="51"/>
    </row>
    <row r="68" spans="1:26">
      <c r="A68" s="187"/>
      <c r="B68" s="187"/>
      <c r="C68" s="187"/>
      <c r="D68" s="187"/>
      <c r="E68" s="187"/>
      <c r="F68" s="187"/>
      <c r="G68" s="187"/>
      <c r="H68" s="187"/>
      <c r="I68" s="54"/>
      <c r="J68" s="54"/>
      <c r="K68" s="54"/>
      <c r="L68" s="54"/>
      <c r="M68" s="54"/>
      <c r="N68" s="54"/>
      <c r="O68" s="54"/>
      <c r="P68" s="54"/>
      <c r="Q68" s="51"/>
      <c r="R68" s="51"/>
      <c r="S68" s="51"/>
      <c r="T68" s="51"/>
      <c r="U68" s="51"/>
      <c r="V68" s="51"/>
      <c r="W68" s="51"/>
      <c r="X68" s="51"/>
      <c r="Y68" s="51"/>
      <c r="Z68" s="51"/>
    </row>
    <row r="69" spans="1:26">
      <c r="A69" s="187"/>
      <c r="B69" s="187"/>
      <c r="C69" s="187"/>
      <c r="D69" s="187"/>
      <c r="E69" s="187"/>
      <c r="F69" s="187"/>
      <c r="G69" s="187"/>
      <c r="H69" s="187"/>
      <c r="I69" s="54"/>
      <c r="J69" s="54"/>
      <c r="K69" s="54"/>
      <c r="L69" s="54"/>
      <c r="M69" s="54"/>
      <c r="N69" s="54"/>
      <c r="O69" s="54"/>
      <c r="P69" s="54"/>
      <c r="Q69" s="51"/>
      <c r="R69" s="51"/>
      <c r="S69" s="51"/>
      <c r="T69" s="51"/>
      <c r="U69" s="51"/>
      <c r="V69" s="51"/>
      <c r="W69" s="51"/>
      <c r="X69" s="51"/>
      <c r="Y69" s="51"/>
      <c r="Z69" s="51"/>
    </row>
    <row r="70" spans="1:26">
      <c r="A70" s="187"/>
      <c r="B70" s="187"/>
      <c r="C70" s="187"/>
      <c r="D70" s="187"/>
      <c r="E70" s="187"/>
      <c r="F70" s="187"/>
      <c r="G70" s="187"/>
      <c r="H70" s="187"/>
      <c r="I70" s="54"/>
      <c r="J70" s="54"/>
      <c r="K70" s="54"/>
      <c r="L70" s="54"/>
      <c r="M70" s="54"/>
      <c r="N70" s="54"/>
      <c r="O70" s="54"/>
      <c r="P70" s="54"/>
      <c r="Q70" s="51"/>
      <c r="R70" s="51"/>
      <c r="S70" s="51"/>
      <c r="T70" s="51"/>
      <c r="U70" s="51"/>
      <c r="V70" s="51"/>
      <c r="W70" s="51"/>
      <c r="X70" s="51"/>
      <c r="Y70" s="51"/>
      <c r="Z70" s="51"/>
    </row>
    <row r="71" spans="1:26">
      <c r="A71" s="187"/>
      <c r="B71" s="187"/>
      <c r="C71" s="187"/>
      <c r="D71" s="187"/>
      <c r="E71" s="187"/>
      <c r="F71" s="187"/>
      <c r="G71" s="187"/>
      <c r="H71" s="187"/>
      <c r="I71" s="54"/>
      <c r="J71" s="54"/>
      <c r="K71" s="54"/>
      <c r="L71" s="54"/>
      <c r="M71" s="54"/>
      <c r="N71" s="54"/>
      <c r="O71" s="54"/>
      <c r="P71" s="54"/>
      <c r="Q71" s="51"/>
      <c r="R71" s="51"/>
      <c r="S71" s="51"/>
      <c r="T71" s="51"/>
      <c r="U71" s="51"/>
      <c r="V71" s="51"/>
      <c r="W71" s="51"/>
      <c r="X71" s="51"/>
      <c r="Y71" s="51"/>
      <c r="Z71" s="51"/>
    </row>
    <row r="72" spans="1:26">
      <c r="A72" s="187"/>
      <c r="B72" s="187"/>
      <c r="C72" s="187"/>
      <c r="D72" s="187"/>
      <c r="E72" s="187"/>
      <c r="F72" s="187"/>
      <c r="G72" s="187"/>
      <c r="H72" s="187"/>
      <c r="I72" s="54"/>
      <c r="J72" s="54"/>
      <c r="K72" s="54"/>
      <c r="L72" s="54"/>
      <c r="M72" s="54"/>
      <c r="N72" s="54"/>
      <c r="O72" s="54"/>
      <c r="P72" s="54"/>
      <c r="Q72" s="51"/>
      <c r="R72" s="51"/>
      <c r="S72" s="51"/>
      <c r="T72" s="51"/>
      <c r="U72" s="51"/>
      <c r="V72" s="51"/>
      <c r="W72" s="51"/>
      <c r="X72" s="51"/>
      <c r="Y72" s="51"/>
      <c r="Z72" s="51"/>
    </row>
    <row r="73" spans="1:26">
      <c r="A73" s="187"/>
      <c r="B73" s="187"/>
      <c r="C73" s="187"/>
      <c r="D73" s="187"/>
      <c r="E73" s="187"/>
      <c r="F73" s="187"/>
      <c r="G73" s="187"/>
      <c r="H73" s="187"/>
      <c r="I73" s="54"/>
      <c r="J73" s="54"/>
      <c r="K73" s="54"/>
      <c r="L73" s="54"/>
      <c r="M73" s="54"/>
      <c r="N73" s="54"/>
      <c r="O73" s="54"/>
      <c r="P73" s="54"/>
      <c r="Q73" s="51"/>
      <c r="R73" s="51"/>
      <c r="S73" s="51"/>
      <c r="T73" s="51"/>
      <c r="U73" s="51"/>
      <c r="V73" s="51"/>
      <c r="W73" s="51"/>
      <c r="X73" s="51"/>
      <c r="Y73" s="51"/>
      <c r="Z73" s="51"/>
    </row>
    <row r="74" spans="1:26">
      <c r="A74" s="187"/>
      <c r="B74" s="187"/>
      <c r="C74" s="187"/>
      <c r="D74" s="187"/>
      <c r="E74" s="187"/>
      <c r="F74" s="187"/>
      <c r="G74" s="187"/>
      <c r="H74" s="187"/>
      <c r="I74" s="54"/>
      <c r="J74" s="54"/>
      <c r="K74" s="54"/>
      <c r="L74" s="54"/>
      <c r="M74" s="54"/>
      <c r="N74" s="54"/>
      <c r="O74" s="54"/>
      <c r="P74" s="54"/>
      <c r="Q74" s="51"/>
      <c r="R74" s="51"/>
      <c r="S74" s="51"/>
      <c r="T74" s="51"/>
      <c r="U74" s="51"/>
      <c r="V74" s="51"/>
      <c r="W74" s="51"/>
      <c r="X74" s="51"/>
      <c r="Y74" s="51"/>
      <c r="Z74" s="51"/>
    </row>
    <row r="75" spans="1:26">
      <c r="A75" s="187"/>
      <c r="B75" s="187"/>
      <c r="C75" s="187"/>
      <c r="D75" s="187"/>
      <c r="E75" s="187"/>
      <c r="F75" s="187"/>
      <c r="G75" s="187"/>
      <c r="H75" s="187"/>
      <c r="I75" s="54"/>
      <c r="J75" s="54"/>
      <c r="K75" s="54"/>
      <c r="L75" s="54"/>
      <c r="M75" s="54"/>
      <c r="N75" s="54"/>
      <c r="O75" s="54"/>
      <c r="P75" s="54"/>
      <c r="Q75" s="51"/>
      <c r="R75" s="51"/>
      <c r="S75" s="51"/>
      <c r="T75" s="51"/>
      <c r="U75" s="51"/>
      <c r="V75" s="51"/>
      <c r="W75" s="51"/>
      <c r="X75" s="51"/>
      <c r="Y75" s="51"/>
      <c r="Z75" s="51"/>
    </row>
    <row r="76" spans="1:26">
      <c r="A76" s="187"/>
      <c r="B76" s="187"/>
      <c r="C76" s="187"/>
      <c r="D76" s="187"/>
      <c r="E76" s="187"/>
      <c r="F76" s="187"/>
      <c r="G76" s="187"/>
      <c r="H76" s="187"/>
      <c r="I76" s="54"/>
      <c r="J76" s="54"/>
      <c r="K76" s="54"/>
      <c r="L76" s="54"/>
      <c r="M76" s="54"/>
      <c r="N76" s="54"/>
      <c r="O76" s="54"/>
      <c r="P76" s="54"/>
      <c r="Q76" s="51"/>
      <c r="R76" s="51"/>
      <c r="S76" s="51"/>
      <c r="T76" s="51"/>
      <c r="U76" s="51"/>
      <c r="V76" s="51"/>
      <c r="W76" s="51"/>
      <c r="X76" s="51"/>
      <c r="Y76" s="51"/>
      <c r="Z76" s="51"/>
    </row>
    <row r="77" spans="1:26">
      <c r="A77" s="187"/>
      <c r="B77" s="187"/>
      <c r="C77" s="187"/>
      <c r="D77" s="187"/>
      <c r="E77" s="187"/>
      <c r="F77" s="187"/>
      <c r="G77" s="187"/>
      <c r="H77" s="187"/>
      <c r="I77" s="54"/>
      <c r="J77" s="54"/>
      <c r="K77" s="54"/>
      <c r="L77" s="54"/>
      <c r="M77" s="54"/>
      <c r="N77" s="54"/>
      <c r="O77" s="54"/>
      <c r="P77" s="54"/>
      <c r="Q77" s="51"/>
      <c r="R77" s="51"/>
      <c r="S77" s="51"/>
      <c r="T77" s="51"/>
      <c r="U77" s="51"/>
      <c r="V77" s="51"/>
      <c r="W77" s="51"/>
      <c r="X77" s="51"/>
      <c r="Y77" s="51"/>
      <c r="Z77" s="51"/>
    </row>
    <row r="78" spans="1:26">
      <c r="A78" s="187"/>
      <c r="B78" s="187"/>
      <c r="C78" s="187"/>
      <c r="D78" s="187"/>
      <c r="E78" s="187"/>
      <c r="F78" s="187"/>
      <c r="G78" s="187"/>
      <c r="H78" s="187"/>
      <c r="I78" s="54"/>
      <c r="J78" s="54"/>
      <c r="K78" s="54"/>
      <c r="L78" s="54"/>
      <c r="M78" s="54"/>
      <c r="N78" s="54"/>
      <c r="O78" s="54"/>
      <c r="P78" s="54"/>
      <c r="Q78" s="51"/>
      <c r="R78" s="51"/>
      <c r="S78" s="51"/>
      <c r="T78" s="51"/>
      <c r="U78" s="51"/>
      <c r="V78" s="51"/>
      <c r="W78" s="51"/>
      <c r="X78" s="51"/>
      <c r="Y78" s="51"/>
      <c r="Z78" s="51"/>
    </row>
    <row r="79" spans="1:26">
      <c r="A79" s="187"/>
      <c r="B79" s="187"/>
      <c r="C79" s="187"/>
      <c r="D79" s="187"/>
      <c r="E79" s="187"/>
      <c r="F79" s="187"/>
      <c r="G79" s="187"/>
      <c r="H79" s="187"/>
      <c r="I79" s="54"/>
      <c r="J79" s="54"/>
      <c r="K79" s="54"/>
      <c r="L79" s="54"/>
      <c r="M79" s="54"/>
      <c r="N79" s="54"/>
      <c r="O79" s="54"/>
      <c r="P79" s="54"/>
      <c r="Q79" s="51"/>
      <c r="R79" s="51"/>
      <c r="S79" s="51"/>
      <c r="T79" s="51"/>
      <c r="U79" s="51"/>
      <c r="V79" s="51"/>
      <c r="W79" s="51"/>
      <c r="X79" s="51"/>
      <c r="Y79" s="51"/>
      <c r="Z79" s="51"/>
    </row>
    <row r="80" spans="1:26">
      <c r="A80" s="187"/>
      <c r="B80" s="187"/>
      <c r="C80" s="187"/>
      <c r="D80" s="187"/>
      <c r="E80" s="187"/>
      <c r="F80" s="187"/>
      <c r="G80" s="187"/>
      <c r="H80" s="187"/>
      <c r="I80" s="54"/>
      <c r="J80" s="54"/>
      <c r="K80" s="54"/>
      <c r="L80" s="54"/>
      <c r="M80" s="54"/>
      <c r="N80" s="54"/>
      <c r="O80" s="54"/>
      <c r="P80" s="54"/>
      <c r="Q80" s="51"/>
      <c r="R80" s="51"/>
      <c r="S80" s="51"/>
      <c r="T80" s="51"/>
      <c r="U80" s="51"/>
      <c r="V80" s="51"/>
      <c r="W80" s="51"/>
      <c r="X80" s="51"/>
      <c r="Y80" s="51"/>
      <c r="Z80" s="51"/>
    </row>
    <row r="81" spans="1:26">
      <c r="A81" s="187"/>
      <c r="B81" s="187"/>
      <c r="C81" s="187"/>
      <c r="D81" s="187"/>
      <c r="E81" s="187"/>
      <c r="F81" s="187"/>
      <c r="G81" s="187"/>
      <c r="H81" s="187"/>
      <c r="I81" s="54"/>
      <c r="J81" s="54"/>
      <c r="K81" s="54"/>
      <c r="L81" s="54"/>
      <c r="M81" s="54"/>
      <c r="N81" s="54"/>
      <c r="O81" s="54"/>
      <c r="P81" s="54"/>
      <c r="Q81" s="51"/>
      <c r="R81" s="51"/>
      <c r="S81" s="51"/>
      <c r="T81" s="51"/>
      <c r="U81" s="51"/>
      <c r="V81" s="51"/>
      <c r="W81" s="51"/>
      <c r="X81" s="51"/>
      <c r="Y81" s="51"/>
      <c r="Z81" s="51"/>
    </row>
    <row r="82" spans="1:26">
      <c r="A82" s="54"/>
      <c r="B82" s="54"/>
      <c r="C82" s="54"/>
      <c r="D82" s="54"/>
      <c r="E82" s="54"/>
      <c r="F82" s="54"/>
      <c r="G82" s="54"/>
      <c r="H82" s="54"/>
      <c r="I82" s="54"/>
      <c r="J82" s="54"/>
      <c r="K82" s="54"/>
      <c r="L82" s="54"/>
      <c r="M82" s="54"/>
      <c r="N82" s="54"/>
      <c r="O82" s="54"/>
      <c r="P82" s="54"/>
      <c r="Q82" s="51"/>
      <c r="R82" s="51"/>
      <c r="S82" s="51"/>
      <c r="T82" s="51"/>
      <c r="U82" s="51"/>
      <c r="V82" s="51"/>
      <c r="W82" s="51"/>
      <c r="X82" s="51"/>
      <c r="Y82" s="51"/>
      <c r="Z82" s="51"/>
    </row>
    <row r="83" spans="1:26">
      <c r="A83" s="54"/>
      <c r="B83" s="54"/>
      <c r="C83" s="54"/>
      <c r="D83" s="54"/>
      <c r="E83" s="54"/>
      <c r="F83" s="54"/>
      <c r="G83" s="54"/>
      <c r="H83" s="54"/>
      <c r="I83" s="54"/>
      <c r="J83" s="54"/>
      <c r="K83" s="54"/>
      <c r="L83" s="54"/>
      <c r="M83" s="54"/>
      <c r="N83" s="54"/>
      <c r="O83" s="54"/>
      <c r="P83" s="54"/>
      <c r="Q83" s="51"/>
      <c r="R83" s="51"/>
      <c r="S83" s="51"/>
      <c r="T83" s="51"/>
      <c r="U83" s="51"/>
      <c r="V83" s="51"/>
      <c r="W83" s="51"/>
      <c r="X83" s="51"/>
      <c r="Y83" s="51"/>
      <c r="Z83" s="51"/>
    </row>
    <row r="84" spans="1:26">
      <c r="A84" s="54"/>
      <c r="B84" s="54"/>
      <c r="C84" s="54"/>
      <c r="D84" s="54"/>
      <c r="E84" s="54"/>
      <c r="F84" s="54"/>
      <c r="G84" s="54"/>
      <c r="H84" s="54"/>
      <c r="I84" s="54"/>
      <c r="J84" s="54"/>
      <c r="K84" s="54"/>
      <c r="L84" s="54"/>
      <c r="M84" s="54"/>
      <c r="N84" s="54"/>
      <c r="O84" s="54"/>
      <c r="P84" s="54"/>
      <c r="Q84" s="51"/>
      <c r="R84" s="51"/>
      <c r="S84" s="51"/>
      <c r="T84" s="51"/>
      <c r="U84" s="51"/>
      <c r="V84" s="51"/>
      <c r="W84" s="51"/>
      <c r="X84" s="51"/>
      <c r="Y84" s="51"/>
      <c r="Z84" s="51"/>
    </row>
    <row r="85" spans="1:26">
      <c r="A85" s="54"/>
      <c r="B85" s="54"/>
      <c r="C85" s="54"/>
      <c r="D85" s="54"/>
      <c r="E85" s="54"/>
      <c r="F85" s="54"/>
      <c r="G85" s="54"/>
      <c r="H85" s="54"/>
      <c r="I85" s="54"/>
      <c r="J85" s="54"/>
      <c r="K85" s="54"/>
      <c r="L85" s="54"/>
      <c r="M85" s="54"/>
      <c r="N85" s="54"/>
      <c r="O85" s="54"/>
      <c r="P85" s="54"/>
      <c r="Q85" s="51"/>
      <c r="R85" s="51"/>
      <c r="S85" s="51"/>
      <c r="T85" s="51"/>
      <c r="U85" s="51"/>
      <c r="V85" s="51"/>
      <c r="W85" s="51"/>
      <c r="X85" s="51"/>
      <c r="Y85" s="51"/>
      <c r="Z85" s="51"/>
    </row>
    <row r="86" spans="1:26">
      <c r="A86" s="54"/>
      <c r="B86" s="54"/>
      <c r="C86" s="54"/>
      <c r="D86" s="54"/>
      <c r="E86" s="54"/>
      <c r="F86" s="54"/>
      <c r="G86" s="54"/>
      <c r="H86" s="54"/>
      <c r="I86" s="54"/>
      <c r="J86" s="54"/>
      <c r="K86" s="54"/>
      <c r="L86" s="54"/>
      <c r="M86" s="54"/>
      <c r="N86" s="54"/>
      <c r="O86" s="54"/>
      <c r="P86" s="54"/>
      <c r="Q86" s="51"/>
      <c r="R86" s="51"/>
      <c r="S86" s="51"/>
      <c r="T86" s="51"/>
      <c r="U86" s="51"/>
      <c r="V86" s="51"/>
      <c r="W86" s="51"/>
      <c r="X86" s="51"/>
      <c r="Y86" s="51"/>
      <c r="Z86" s="51"/>
    </row>
    <row r="87" spans="1:26">
      <c r="A87" s="54"/>
      <c r="B87" s="54"/>
      <c r="C87" s="54"/>
      <c r="D87" s="54"/>
      <c r="E87" s="54"/>
      <c r="F87" s="54"/>
      <c r="G87" s="54"/>
      <c r="H87" s="54"/>
      <c r="I87" s="54"/>
      <c r="J87" s="54"/>
      <c r="K87" s="54"/>
      <c r="L87" s="54"/>
      <c r="M87" s="54"/>
      <c r="N87" s="54"/>
      <c r="O87" s="54"/>
      <c r="P87" s="54"/>
      <c r="Q87" s="51"/>
      <c r="R87" s="51"/>
      <c r="S87" s="51"/>
      <c r="T87" s="51"/>
      <c r="U87" s="51"/>
      <c r="V87" s="51"/>
      <c r="W87" s="51"/>
      <c r="X87" s="51"/>
      <c r="Y87" s="51"/>
      <c r="Z87" s="51"/>
    </row>
    <row r="88" spans="1:26">
      <c r="A88" s="54"/>
      <c r="B88" s="54"/>
      <c r="C88" s="54"/>
      <c r="D88" s="54"/>
      <c r="E88" s="54"/>
      <c r="F88" s="54"/>
      <c r="G88" s="54"/>
      <c r="H88" s="54"/>
      <c r="I88" s="54"/>
      <c r="J88" s="54"/>
      <c r="K88" s="54"/>
      <c r="L88" s="54"/>
      <c r="M88" s="54"/>
      <c r="N88" s="54"/>
      <c r="O88" s="54"/>
      <c r="P88" s="54"/>
      <c r="Q88" s="51"/>
      <c r="R88" s="51"/>
      <c r="S88" s="51"/>
      <c r="T88" s="51"/>
      <c r="U88" s="51"/>
      <c r="V88" s="51"/>
      <c r="W88" s="51"/>
      <c r="X88" s="51"/>
      <c r="Y88" s="51"/>
      <c r="Z88" s="51"/>
    </row>
    <row r="89" spans="1:26">
      <c r="A89" s="54"/>
      <c r="B89" s="54"/>
      <c r="C89" s="54"/>
      <c r="D89" s="54"/>
      <c r="E89" s="54"/>
      <c r="F89" s="54"/>
      <c r="G89" s="54"/>
      <c r="H89" s="54"/>
      <c r="I89" s="54"/>
      <c r="J89" s="54"/>
      <c r="K89" s="54"/>
      <c r="L89" s="54"/>
      <c r="M89" s="54"/>
      <c r="N89" s="54"/>
      <c r="O89" s="54"/>
      <c r="P89" s="54"/>
      <c r="Q89" s="51"/>
      <c r="R89" s="51"/>
      <c r="S89" s="51"/>
      <c r="T89" s="51"/>
      <c r="U89" s="51"/>
      <c r="V89" s="51"/>
      <c r="W89" s="51"/>
      <c r="X89" s="51"/>
      <c r="Y89" s="51"/>
      <c r="Z89" s="51"/>
    </row>
    <row r="90" spans="1:26">
      <c r="A90" s="54"/>
      <c r="B90" s="54"/>
      <c r="C90" s="54"/>
      <c r="D90" s="54"/>
      <c r="E90" s="54"/>
      <c r="F90" s="54"/>
      <c r="G90" s="54"/>
      <c r="H90" s="54"/>
      <c r="I90" s="54"/>
      <c r="J90" s="54"/>
      <c r="K90" s="54"/>
      <c r="L90" s="54"/>
      <c r="M90" s="54"/>
      <c r="N90" s="54"/>
      <c r="O90" s="54"/>
      <c r="P90" s="54"/>
      <c r="Q90" s="51"/>
      <c r="R90" s="51"/>
      <c r="S90" s="51"/>
      <c r="T90" s="51"/>
      <c r="U90" s="51"/>
      <c r="V90" s="51"/>
      <c r="W90" s="51"/>
      <c r="X90" s="51"/>
      <c r="Y90" s="51"/>
      <c r="Z90" s="51"/>
    </row>
    <row r="91" spans="1:26">
      <c r="A91" s="54"/>
      <c r="B91" s="54"/>
      <c r="C91" s="54"/>
      <c r="D91" s="54"/>
      <c r="E91" s="54"/>
      <c r="F91" s="54"/>
      <c r="G91" s="54"/>
      <c r="H91" s="54"/>
      <c r="I91" s="54"/>
      <c r="J91" s="54"/>
      <c r="K91" s="54"/>
      <c r="L91" s="54"/>
      <c r="M91" s="54"/>
      <c r="N91" s="54"/>
      <c r="O91" s="54"/>
      <c r="P91" s="54"/>
      <c r="Q91" s="51"/>
      <c r="R91" s="51"/>
      <c r="S91" s="51"/>
      <c r="T91" s="51"/>
      <c r="U91" s="51"/>
      <c r="V91" s="51"/>
      <c r="W91" s="51"/>
      <c r="X91" s="51"/>
      <c r="Y91" s="51"/>
      <c r="Z91" s="51"/>
    </row>
    <row r="92" spans="1:26">
      <c r="A92" s="54"/>
      <c r="B92" s="54"/>
      <c r="C92" s="54"/>
      <c r="D92" s="54"/>
      <c r="E92" s="54"/>
      <c r="F92" s="54"/>
      <c r="G92" s="54"/>
      <c r="H92" s="54"/>
      <c r="I92" s="54"/>
      <c r="J92" s="54"/>
      <c r="K92" s="54"/>
      <c r="L92" s="54"/>
      <c r="M92" s="54"/>
      <c r="N92" s="54"/>
      <c r="O92" s="54"/>
      <c r="P92" s="54"/>
      <c r="Q92" s="51"/>
      <c r="R92" s="51"/>
      <c r="S92" s="51"/>
      <c r="T92" s="51"/>
      <c r="U92" s="51"/>
      <c r="V92" s="51"/>
      <c r="W92" s="51"/>
      <c r="X92" s="51"/>
      <c r="Y92" s="51"/>
      <c r="Z92" s="51"/>
    </row>
    <row r="93" spans="1:26">
      <c r="A93" s="54"/>
      <c r="B93" s="54"/>
      <c r="C93" s="54"/>
      <c r="D93" s="54"/>
      <c r="E93" s="54"/>
      <c r="F93" s="54"/>
      <c r="G93" s="54"/>
      <c r="H93" s="54"/>
      <c r="I93" s="54"/>
      <c r="J93" s="54"/>
      <c r="K93" s="54"/>
      <c r="L93" s="54"/>
      <c r="M93" s="54"/>
      <c r="N93" s="54"/>
      <c r="O93" s="54"/>
      <c r="P93" s="54"/>
      <c r="Q93" s="51"/>
      <c r="R93" s="51"/>
      <c r="S93" s="51"/>
      <c r="T93" s="51"/>
      <c r="U93" s="51"/>
      <c r="V93" s="51"/>
      <c r="W93" s="51"/>
      <c r="X93" s="51"/>
      <c r="Y93" s="51"/>
      <c r="Z93" s="51"/>
    </row>
    <row r="94" spans="1:26">
      <c r="A94" s="54"/>
      <c r="B94" s="54"/>
      <c r="C94" s="54"/>
      <c r="D94" s="54"/>
      <c r="E94" s="54"/>
      <c r="F94" s="54"/>
      <c r="G94" s="54"/>
      <c r="H94" s="54"/>
      <c r="I94" s="54"/>
      <c r="J94" s="54"/>
      <c r="K94" s="54"/>
      <c r="L94" s="54"/>
      <c r="M94" s="54"/>
      <c r="N94" s="54"/>
      <c r="O94" s="54"/>
      <c r="P94" s="54"/>
      <c r="Q94" s="51"/>
      <c r="R94" s="51"/>
      <c r="S94" s="51"/>
      <c r="T94" s="51"/>
      <c r="U94" s="51"/>
      <c r="V94" s="51"/>
      <c r="W94" s="51"/>
      <c r="X94" s="51"/>
      <c r="Y94" s="51"/>
      <c r="Z94" s="51"/>
    </row>
    <row r="95" spans="1:26">
      <c r="A95" s="54"/>
      <c r="B95" s="54"/>
      <c r="C95" s="54"/>
      <c r="D95" s="54"/>
      <c r="E95" s="54"/>
      <c r="F95" s="54"/>
      <c r="G95" s="54"/>
      <c r="H95" s="54"/>
      <c r="I95" s="54"/>
      <c r="J95" s="54"/>
      <c r="K95" s="54"/>
      <c r="L95" s="54"/>
      <c r="M95" s="54"/>
      <c r="N95" s="54"/>
      <c r="O95" s="54"/>
      <c r="P95" s="54"/>
      <c r="Q95" s="51"/>
      <c r="R95" s="51"/>
      <c r="S95" s="51"/>
      <c r="T95" s="51"/>
      <c r="U95" s="51"/>
      <c r="V95" s="51"/>
      <c r="W95" s="51"/>
      <c r="X95" s="51"/>
      <c r="Y95" s="51"/>
      <c r="Z95" s="51"/>
    </row>
    <row r="96" spans="1:26">
      <c r="A96" s="54"/>
      <c r="B96" s="54"/>
      <c r="C96" s="54"/>
      <c r="D96" s="54"/>
      <c r="E96" s="54"/>
      <c r="F96" s="54"/>
      <c r="G96" s="54"/>
      <c r="H96" s="54"/>
      <c r="I96" s="54"/>
      <c r="J96" s="54"/>
      <c r="K96" s="54"/>
      <c r="L96" s="54"/>
      <c r="M96" s="54"/>
      <c r="N96" s="54"/>
      <c r="O96" s="54"/>
      <c r="P96" s="54"/>
      <c r="Q96" s="51"/>
      <c r="R96" s="51"/>
      <c r="S96" s="51"/>
      <c r="T96" s="51"/>
      <c r="U96" s="51"/>
      <c r="V96" s="51"/>
      <c r="W96" s="51"/>
      <c r="X96" s="51"/>
      <c r="Y96" s="51"/>
      <c r="Z96" s="51"/>
    </row>
    <row r="97" spans="1:26">
      <c r="A97" s="54"/>
      <c r="B97" s="54"/>
      <c r="C97" s="54"/>
      <c r="D97" s="54"/>
      <c r="E97" s="54"/>
      <c r="F97" s="54"/>
      <c r="G97" s="54"/>
      <c r="H97" s="54"/>
      <c r="I97" s="54"/>
      <c r="J97" s="54"/>
      <c r="K97" s="54"/>
      <c r="L97" s="54"/>
      <c r="M97" s="54"/>
      <c r="N97" s="54"/>
      <c r="O97" s="54"/>
      <c r="P97" s="54"/>
      <c r="Q97" s="51"/>
      <c r="R97" s="51"/>
      <c r="S97" s="51"/>
      <c r="T97" s="51"/>
      <c r="U97" s="51"/>
      <c r="V97" s="51"/>
      <c r="W97" s="51"/>
      <c r="X97" s="51"/>
      <c r="Y97" s="51"/>
      <c r="Z97" s="51"/>
    </row>
    <row r="98" spans="1:26">
      <c r="A98" s="54"/>
      <c r="B98" s="54"/>
      <c r="C98" s="54"/>
      <c r="D98" s="54"/>
      <c r="E98" s="54"/>
      <c r="F98" s="54"/>
      <c r="G98" s="54"/>
      <c r="H98" s="54"/>
      <c r="I98" s="54"/>
      <c r="J98" s="54"/>
      <c r="K98" s="54"/>
      <c r="L98" s="54"/>
      <c r="M98" s="54"/>
      <c r="N98" s="54"/>
      <c r="O98" s="54"/>
      <c r="P98" s="54"/>
      <c r="Q98" s="51"/>
      <c r="R98" s="51"/>
      <c r="S98" s="51"/>
      <c r="T98" s="51"/>
      <c r="U98" s="51"/>
      <c r="V98" s="51"/>
      <c r="W98" s="51"/>
      <c r="X98" s="51"/>
      <c r="Y98" s="51"/>
      <c r="Z98" s="51"/>
    </row>
    <row r="99" spans="1:26">
      <c r="A99" s="54"/>
      <c r="B99" s="54"/>
      <c r="C99" s="54"/>
      <c r="D99" s="54"/>
      <c r="E99" s="54"/>
      <c r="F99" s="54"/>
      <c r="G99" s="54"/>
      <c r="H99" s="54"/>
      <c r="I99" s="54"/>
      <c r="J99" s="54"/>
      <c r="K99" s="54"/>
      <c r="L99" s="54"/>
      <c r="M99" s="54"/>
      <c r="N99" s="54"/>
      <c r="O99" s="54"/>
      <c r="P99" s="54"/>
      <c r="Q99" s="51"/>
      <c r="R99" s="51"/>
      <c r="S99" s="51"/>
      <c r="T99" s="51"/>
      <c r="U99" s="51"/>
      <c r="V99" s="51"/>
      <c r="W99" s="51"/>
      <c r="X99" s="51"/>
      <c r="Y99" s="51"/>
      <c r="Z99" s="51"/>
    </row>
    <row r="100" spans="1:26">
      <c r="A100" s="54"/>
      <c r="B100" s="54"/>
      <c r="C100" s="54"/>
      <c r="D100" s="54"/>
      <c r="E100" s="54"/>
      <c r="F100" s="54"/>
      <c r="G100" s="54"/>
      <c r="H100" s="54"/>
      <c r="I100" s="54"/>
      <c r="J100" s="54"/>
      <c r="K100" s="54"/>
      <c r="L100" s="54"/>
      <c r="M100" s="54"/>
      <c r="N100" s="54"/>
      <c r="O100" s="54"/>
      <c r="P100" s="54"/>
      <c r="Q100" s="51"/>
      <c r="R100" s="51"/>
      <c r="S100" s="51"/>
      <c r="T100" s="51"/>
      <c r="U100" s="51"/>
      <c r="V100" s="51"/>
      <c r="W100" s="51"/>
      <c r="X100" s="51"/>
      <c r="Y100" s="51"/>
      <c r="Z100" s="51"/>
    </row>
  </sheetData>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56A3-FDAE-4A16-961D-818F76ADA400}">
  <dimension ref="A1:AD100"/>
  <sheetViews>
    <sheetView workbookViewId="0"/>
  </sheetViews>
  <sheetFormatPr defaultRowHeight="14"/>
  <cols>
    <col min="5" max="5" width="28.4140625" customWidth="1"/>
    <col min="6" max="6" width="78.83203125" customWidth="1"/>
    <col min="9" max="9" width="13.83203125" customWidth="1"/>
    <col min="12" max="12" width="18.4140625" customWidth="1"/>
    <col min="25" max="25" width="11.25" customWidth="1"/>
  </cols>
  <sheetData>
    <row r="1" spans="1:30" ht="20">
      <c r="A1" s="67" t="s">
        <v>2370</v>
      </c>
      <c r="B1" s="67"/>
      <c r="C1" s="67"/>
      <c r="D1" s="67"/>
      <c r="E1" s="67"/>
      <c r="F1" s="47"/>
      <c r="G1" s="47"/>
      <c r="H1" s="47"/>
      <c r="I1" s="47"/>
      <c r="J1" s="47"/>
      <c r="K1" s="47"/>
      <c r="L1" s="47"/>
      <c r="M1" s="47"/>
      <c r="N1" s="47"/>
      <c r="O1" s="47"/>
      <c r="P1" s="47"/>
      <c r="Q1" s="47"/>
      <c r="R1" s="47"/>
      <c r="S1" s="47"/>
      <c r="T1" s="47"/>
      <c r="U1" s="47"/>
      <c r="V1" s="47"/>
      <c r="W1" s="47"/>
      <c r="X1" s="47"/>
      <c r="Y1" s="47"/>
      <c r="Z1" s="50"/>
      <c r="AA1" s="50"/>
      <c r="AB1" s="50"/>
      <c r="AC1" s="50"/>
      <c r="AD1" s="50"/>
    </row>
    <row r="2" spans="1:30">
      <c r="A2" s="320"/>
      <c r="B2" s="320"/>
      <c r="C2" s="320"/>
      <c r="D2" s="320"/>
      <c r="E2" s="320"/>
      <c r="F2" s="320"/>
      <c r="G2" s="47"/>
      <c r="H2" s="47"/>
      <c r="I2" s="47"/>
      <c r="J2" s="47"/>
      <c r="K2" s="47"/>
      <c r="L2" s="47"/>
      <c r="M2" s="47"/>
      <c r="N2" s="47"/>
      <c r="O2" s="47"/>
      <c r="P2" s="47"/>
      <c r="Q2" s="47"/>
      <c r="R2" s="47"/>
      <c r="S2" s="47"/>
      <c r="T2" s="47"/>
      <c r="U2" s="47"/>
      <c r="V2" s="47"/>
      <c r="W2" s="47"/>
      <c r="X2" s="47"/>
      <c r="Y2" s="47"/>
      <c r="Z2" s="50"/>
      <c r="AA2" s="50"/>
      <c r="AB2" s="50"/>
      <c r="AC2" s="50"/>
      <c r="AD2" s="50"/>
    </row>
    <row r="3" spans="1:30">
      <c r="A3" s="320" t="s">
        <v>2351</v>
      </c>
      <c r="B3" s="320"/>
      <c r="C3" s="320"/>
      <c r="D3" s="320"/>
      <c r="E3" s="320"/>
      <c r="F3" s="320"/>
      <c r="G3" s="47"/>
      <c r="H3" s="47"/>
      <c r="I3" s="47"/>
      <c r="J3" s="47"/>
      <c r="K3" s="47"/>
      <c r="L3" s="47"/>
      <c r="M3" s="47"/>
      <c r="N3" s="47"/>
      <c r="O3" s="47"/>
      <c r="P3" s="47"/>
      <c r="Q3" s="47"/>
      <c r="R3" s="47"/>
      <c r="S3" s="47"/>
      <c r="T3" s="47"/>
      <c r="U3" s="47"/>
      <c r="V3" s="47"/>
      <c r="W3" s="47"/>
      <c r="X3" s="47"/>
      <c r="Y3" s="47"/>
      <c r="Z3" s="50"/>
      <c r="AA3" s="50"/>
      <c r="AB3" s="50"/>
      <c r="AC3" s="50"/>
      <c r="AD3" s="50"/>
    </row>
    <row r="4" spans="1:30">
      <c r="A4" s="320" t="s">
        <v>2352</v>
      </c>
      <c r="B4" s="320"/>
      <c r="C4" s="320"/>
      <c r="D4" s="320"/>
      <c r="E4" s="320"/>
      <c r="F4" s="320"/>
      <c r="G4" s="47"/>
      <c r="H4" s="47"/>
      <c r="I4" s="47"/>
      <c r="J4" s="47"/>
      <c r="K4" s="47"/>
      <c r="L4" s="47"/>
      <c r="M4" s="47"/>
      <c r="N4" s="47"/>
      <c r="O4" s="47"/>
      <c r="P4" s="47"/>
      <c r="Q4" s="47"/>
      <c r="R4" s="47"/>
      <c r="S4" s="47"/>
      <c r="T4" s="47"/>
      <c r="U4" s="47"/>
      <c r="V4" s="47"/>
      <c r="W4" s="47"/>
      <c r="X4" s="47"/>
      <c r="Y4" s="47"/>
      <c r="Z4" s="50"/>
      <c r="AA4" s="50"/>
      <c r="AB4" s="50"/>
      <c r="AC4" s="50"/>
      <c r="AD4" s="50"/>
    </row>
    <row r="5" spans="1:30">
      <c r="A5" s="320"/>
      <c r="B5" s="320"/>
      <c r="C5" s="320"/>
      <c r="D5" s="320"/>
      <c r="E5" s="320"/>
      <c r="F5" s="320"/>
      <c r="G5" s="47"/>
      <c r="H5" s="47"/>
      <c r="I5" s="47"/>
      <c r="J5" s="47"/>
      <c r="K5" s="47"/>
      <c r="L5" s="47"/>
      <c r="M5" s="47"/>
      <c r="N5" s="47"/>
      <c r="O5" s="47"/>
      <c r="P5" s="47"/>
      <c r="Q5" s="47"/>
      <c r="R5" s="47"/>
      <c r="S5" s="47"/>
      <c r="T5" s="47"/>
      <c r="U5" s="47"/>
      <c r="V5" s="47"/>
      <c r="W5" s="47"/>
      <c r="X5" s="47"/>
      <c r="Y5" s="47"/>
      <c r="Z5" s="50"/>
      <c r="AA5" s="50"/>
      <c r="AB5" s="50"/>
      <c r="AC5" s="50"/>
      <c r="AD5" s="50"/>
    </row>
    <row r="6" spans="1:30">
      <c r="A6" s="320" t="s">
        <v>2353</v>
      </c>
      <c r="B6" s="320"/>
      <c r="C6" s="320"/>
      <c r="D6" s="320"/>
      <c r="E6" s="320"/>
      <c r="F6" s="320"/>
      <c r="G6" s="47"/>
      <c r="H6" s="47"/>
      <c r="I6" s="47"/>
      <c r="J6" s="47"/>
      <c r="K6" s="47"/>
      <c r="L6" s="47"/>
      <c r="M6" s="47"/>
      <c r="N6" s="47"/>
      <c r="O6" s="47"/>
      <c r="P6" s="47"/>
      <c r="Q6" s="47"/>
      <c r="R6" s="47"/>
      <c r="S6" s="47"/>
      <c r="T6" s="47"/>
      <c r="U6" s="47"/>
      <c r="V6" s="47"/>
      <c r="W6" s="47"/>
      <c r="X6" s="47"/>
      <c r="Y6" s="47"/>
      <c r="Z6" s="50"/>
      <c r="AA6" s="50"/>
      <c r="AB6" s="50"/>
      <c r="AC6" s="50"/>
      <c r="AD6" s="50"/>
    </row>
    <row r="7" spans="1:30">
      <c r="A7" s="320" t="s">
        <v>2373</v>
      </c>
      <c r="B7" s="320"/>
      <c r="C7" s="320"/>
      <c r="D7" s="320"/>
      <c r="E7" s="320"/>
      <c r="F7" s="320"/>
      <c r="G7" s="47"/>
      <c r="H7" s="47"/>
      <c r="I7" s="47"/>
      <c r="J7" s="47"/>
      <c r="K7" s="47"/>
      <c r="L7" s="47"/>
      <c r="M7" s="47"/>
      <c r="N7" s="47"/>
      <c r="O7" s="47"/>
      <c r="P7" s="47"/>
      <c r="Q7" s="47"/>
      <c r="R7" s="47"/>
      <c r="S7" s="47"/>
      <c r="T7" s="47"/>
      <c r="U7" s="47"/>
      <c r="V7" s="47"/>
      <c r="W7" s="47"/>
      <c r="X7" s="47"/>
      <c r="Y7" s="47"/>
      <c r="Z7" s="50"/>
      <c r="AA7" s="50"/>
      <c r="AB7" s="50"/>
      <c r="AC7" s="50"/>
      <c r="AD7" s="50"/>
    </row>
    <row r="8" spans="1:30">
      <c r="A8" s="320"/>
      <c r="B8" s="320"/>
      <c r="C8" s="320"/>
      <c r="D8" s="320"/>
      <c r="E8" s="320"/>
      <c r="F8" s="320"/>
      <c r="G8" s="47"/>
      <c r="H8" s="47"/>
      <c r="I8" s="47"/>
      <c r="J8" s="47"/>
      <c r="K8" s="47"/>
      <c r="L8" s="47"/>
      <c r="M8" s="47"/>
      <c r="N8" s="47"/>
      <c r="O8" s="47"/>
      <c r="P8" s="47"/>
      <c r="Q8" s="47"/>
      <c r="R8" s="47"/>
      <c r="S8" s="47"/>
      <c r="T8" s="47"/>
      <c r="U8" s="47"/>
      <c r="V8" s="47"/>
      <c r="W8" s="47"/>
      <c r="X8" s="47"/>
      <c r="Y8" s="47"/>
      <c r="Z8" s="50"/>
      <c r="AA8" s="50"/>
      <c r="AB8" s="50"/>
      <c r="AC8" s="50"/>
      <c r="AD8" s="50"/>
    </row>
    <row r="9" spans="1:30">
      <c r="A9" s="320" t="s">
        <v>2354</v>
      </c>
      <c r="B9" s="320"/>
      <c r="C9" s="320"/>
      <c r="D9" s="320"/>
      <c r="E9" s="320"/>
      <c r="F9" s="320"/>
      <c r="G9" s="47"/>
      <c r="H9" s="47"/>
      <c r="I9" s="47"/>
      <c r="J9" s="47"/>
      <c r="K9" s="47"/>
      <c r="L9" s="47"/>
      <c r="M9" s="47"/>
      <c r="N9" s="47"/>
      <c r="O9" s="47"/>
      <c r="P9" s="47"/>
      <c r="Q9" s="47"/>
      <c r="R9" s="47"/>
      <c r="S9" s="47"/>
      <c r="T9" s="47"/>
      <c r="U9" s="47"/>
      <c r="V9" s="47"/>
      <c r="W9" s="47"/>
      <c r="X9" s="47"/>
      <c r="Y9" s="47"/>
      <c r="Z9" s="50"/>
      <c r="AA9" s="50"/>
      <c r="AB9" s="50"/>
      <c r="AC9" s="50"/>
      <c r="AD9" s="50"/>
    </row>
    <row r="10" spans="1:30">
      <c r="A10" s="320" t="s">
        <v>2355</v>
      </c>
      <c r="B10" s="320"/>
      <c r="C10" s="320"/>
      <c r="D10" s="320"/>
      <c r="E10" s="320"/>
      <c r="F10" s="320"/>
      <c r="G10" s="47"/>
      <c r="H10" s="47"/>
      <c r="I10" s="47"/>
      <c r="J10" s="47"/>
      <c r="K10" s="47"/>
      <c r="L10" s="47"/>
      <c r="M10" s="47"/>
      <c r="N10" s="47"/>
      <c r="O10" s="47"/>
      <c r="P10" s="47"/>
      <c r="Q10" s="47"/>
      <c r="R10" s="47"/>
      <c r="S10" s="47"/>
      <c r="T10" s="47"/>
      <c r="U10" s="47"/>
      <c r="V10" s="47"/>
      <c r="W10" s="47"/>
      <c r="X10" s="47"/>
      <c r="Y10" s="47"/>
      <c r="Z10" s="50"/>
      <c r="AA10" s="50"/>
      <c r="AB10" s="50"/>
      <c r="AC10" s="50"/>
      <c r="AD10" s="50"/>
    </row>
    <row r="11" spans="1:30">
      <c r="A11" s="320"/>
      <c r="B11" s="320"/>
      <c r="C11" s="320"/>
      <c r="D11" s="320"/>
      <c r="E11" s="320"/>
      <c r="F11" s="320"/>
      <c r="G11" s="47"/>
      <c r="H11" s="47"/>
      <c r="I11" s="47"/>
      <c r="J11" s="47"/>
      <c r="K11" s="47"/>
      <c r="L11" s="47"/>
      <c r="M11" s="47"/>
      <c r="N11" s="47"/>
      <c r="O11" s="47"/>
      <c r="P11" s="47"/>
      <c r="Q11" s="47"/>
      <c r="R11" s="47"/>
      <c r="S11" s="47"/>
      <c r="T11" s="47"/>
      <c r="U11" s="47"/>
      <c r="V11" s="47"/>
      <c r="W11" s="47"/>
      <c r="X11" s="47"/>
      <c r="Y11" s="47"/>
      <c r="Z11" s="50"/>
      <c r="AA11" s="50"/>
      <c r="AB11" s="50"/>
      <c r="AC11" s="50"/>
      <c r="AD11" s="50"/>
    </row>
    <row r="12" spans="1:30">
      <c r="A12" s="320" t="s">
        <v>2356</v>
      </c>
      <c r="B12" s="320"/>
      <c r="C12" s="320"/>
      <c r="D12" s="320"/>
      <c r="E12" s="320"/>
      <c r="F12" s="320"/>
      <c r="G12" s="47"/>
      <c r="H12" s="47"/>
      <c r="I12" s="47"/>
      <c r="J12" s="47"/>
      <c r="K12" s="47"/>
      <c r="L12" s="47"/>
      <c r="M12" s="47"/>
      <c r="N12" s="47"/>
      <c r="O12" s="47"/>
      <c r="P12" s="47"/>
      <c r="Q12" s="47"/>
      <c r="R12" s="47"/>
      <c r="S12" s="47"/>
      <c r="T12" s="47"/>
      <c r="U12" s="47"/>
      <c r="V12" s="47"/>
      <c r="W12" s="47"/>
      <c r="X12" s="47"/>
      <c r="Y12" s="47"/>
      <c r="Z12" s="50"/>
      <c r="AA12" s="50"/>
      <c r="AB12" s="50"/>
      <c r="AC12" s="50"/>
      <c r="AD12" s="50"/>
    </row>
    <row r="13" spans="1:30">
      <c r="A13" s="320" t="s">
        <v>2357</v>
      </c>
      <c r="B13" s="320"/>
      <c r="C13" s="320"/>
      <c r="D13" s="320"/>
      <c r="E13" s="320"/>
      <c r="F13" s="320"/>
      <c r="G13" s="47"/>
      <c r="H13" s="47"/>
      <c r="I13" s="47"/>
      <c r="J13" s="47"/>
      <c r="K13" s="47"/>
      <c r="L13" s="47"/>
      <c r="M13" s="47"/>
      <c r="N13" s="47"/>
      <c r="O13" s="47"/>
      <c r="P13" s="47"/>
      <c r="Q13" s="47"/>
      <c r="R13" s="47"/>
      <c r="S13" s="47"/>
      <c r="T13" s="47"/>
      <c r="U13" s="47"/>
      <c r="V13" s="47"/>
      <c r="W13" s="47"/>
      <c r="X13" s="47"/>
      <c r="Y13" s="47"/>
      <c r="Z13" s="50"/>
      <c r="AA13" s="50"/>
      <c r="AB13" s="50"/>
      <c r="AC13" s="50"/>
      <c r="AD13" s="50"/>
    </row>
    <row r="14" spans="1:30">
      <c r="A14" s="320"/>
      <c r="B14" s="320"/>
      <c r="C14" s="320"/>
      <c r="D14" s="320"/>
      <c r="E14" s="320"/>
      <c r="F14" s="320"/>
      <c r="G14" s="47"/>
      <c r="H14" s="47"/>
      <c r="I14" s="47"/>
      <c r="J14" s="47"/>
      <c r="K14" s="47"/>
      <c r="L14" s="47"/>
      <c r="M14" s="47"/>
      <c r="N14" s="47"/>
      <c r="O14" s="47"/>
      <c r="P14" s="47"/>
      <c r="Q14" s="47"/>
      <c r="R14" s="47"/>
      <c r="S14" s="47"/>
      <c r="T14" s="47"/>
      <c r="U14" s="47"/>
      <c r="V14" s="47"/>
      <c r="W14" s="47"/>
      <c r="X14" s="47"/>
      <c r="Y14" s="47"/>
      <c r="Z14" s="50"/>
      <c r="AA14" s="50"/>
      <c r="AB14" s="50"/>
      <c r="AC14" s="50"/>
      <c r="AD14" s="50"/>
    </row>
    <row r="15" spans="1:30">
      <c r="A15" s="320" t="s">
        <v>2358</v>
      </c>
      <c r="B15" s="320"/>
      <c r="C15" s="320"/>
      <c r="D15" s="320"/>
      <c r="E15" s="320"/>
      <c r="F15" s="320"/>
      <c r="G15" s="47"/>
      <c r="H15" s="47"/>
      <c r="I15" s="47"/>
      <c r="J15" s="47"/>
      <c r="K15" s="47"/>
      <c r="L15" s="47"/>
      <c r="M15" s="47"/>
      <c r="N15" s="47"/>
      <c r="O15" s="47"/>
      <c r="P15" s="47"/>
      <c r="Q15" s="47"/>
      <c r="R15" s="47"/>
      <c r="S15" s="47"/>
      <c r="T15" s="47"/>
      <c r="U15" s="47"/>
      <c r="V15" s="47"/>
      <c r="W15" s="47"/>
      <c r="X15" s="47"/>
      <c r="Y15" s="47"/>
      <c r="Z15" s="50"/>
      <c r="AA15" s="50"/>
      <c r="AB15" s="50"/>
      <c r="AC15" s="50"/>
      <c r="AD15" s="50"/>
    </row>
    <row r="16" spans="1:30">
      <c r="A16" s="320" t="s">
        <v>2359</v>
      </c>
      <c r="B16" s="320"/>
      <c r="C16" s="320"/>
      <c r="D16" s="320"/>
      <c r="E16" s="320"/>
      <c r="F16" s="320"/>
      <c r="G16" s="47"/>
      <c r="H16" s="47"/>
      <c r="I16" s="47"/>
      <c r="J16" s="47"/>
      <c r="K16" s="47"/>
      <c r="L16" s="47"/>
      <c r="M16" s="47"/>
      <c r="N16" s="47"/>
      <c r="O16" s="47"/>
      <c r="P16" s="47"/>
      <c r="Q16" s="47"/>
      <c r="R16" s="47"/>
      <c r="S16" s="47"/>
      <c r="T16" s="47"/>
      <c r="U16" s="47"/>
      <c r="V16" s="47"/>
      <c r="W16" s="47"/>
      <c r="X16" s="47"/>
      <c r="Y16" s="47"/>
      <c r="Z16" s="50"/>
      <c r="AA16" s="50"/>
      <c r="AB16" s="50"/>
      <c r="AC16" s="50"/>
      <c r="AD16" s="50"/>
    </row>
    <row r="17" spans="1:30">
      <c r="A17" s="320"/>
      <c r="B17" s="320"/>
      <c r="C17" s="320"/>
      <c r="D17" s="320"/>
      <c r="E17" s="320"/>
      <c r="F17" s="320"/>
      <c r="G17" s="47"/>
      <c r="H17" s="47"/>
      <c r="I17" s="47"/>
      <c r="J17" s="47"/>
      <c r="K17" s="47"/>
      <c r="L17" s="47"/>
      <c r="M17" s="47"/>
      <c r="N17" s="47"/>
      <c r="O17" s="47"/>
      <c r="P17" s="47"/>
      <c r="Q17" s="47"/>
      <c r="R17" s="47"/>
      <c r="S17" s="47"/>
      <c r="T17" s="47"/>
      <c r="U17" s="47"/>
      <c r="V17" s="47"/>
      <c r="W17" s="47"/>
      <c r="X17" s="47"/>
      <c r="Y17" s="47"/>
      <c r="Z17" s="50"/>
      <c r="AA17" s="50"/>
      <c r="AB17" s="50"/>
      <c r="AC17" s="50"/>
      <c r="AD17" s="50"/>
    </row>
    <row r="18" spans="1:30">
      <c r="A18" s="320" t="s">
        <v>2360</v>
      </c>
      <c r="B18" s="320"/>
      <c r="C18" s="320"/>
      <c r="D18" s="320"/>
      <c r="E18" s="320"/>
      <c r="F18" s="320"/>
      <c r="G18" s="47"/>
      <c r="H18" s="47"/>
      <c r="I18" s="47"/>
      <c r="J18" s="47"/>
      <c r="K18" s="47"/>
      <c r="L18" s="47"/>
      <c r="M18" s="47"/>
      <c r="N18" s="47"/>
      <c r="O18" s="47"/>
      <c r="P18" s="47"/>
      <c r="Q18" s="47"/>
      <c r="R18" s="47"/>
      <c r="S18" s="47"/>
      <c r="T18" s="47"/>
      <c r="U18" s="47"/>
      <c r="V18" s="47"/>
      <c r="W18" s="47"/>
      <c r="X18" s="47"/>
      <c r="Y18" s="47"/>
      <c r="Z18" s="50"/>
      <c r="AA18" s="50"/>
      <c r="AB18" s="50"/>
      <c r="AC18" s="50"/>
      <c r="AD18" s="50"/>
    </row>
    <row r="19" spans="1:30">
      <c r="A19" s="320" t="s">
        <v>2361</v>
      </c>
      <c r="B19" s="320"/>
      <c r="C19" s="320"/>
      <c r="D19" s="320"/>
      <c r="E19" s="320"/>
      <c r="F19" s="320"/>
      <c r="G19" s="47"/>
      <c r="H19" s="47"/>
      <c r="I19" s="47"/>
      <c r="J19" s="47"/>
      <c r="K19" s="47"/>
      <c r="L19" s="47"/>
      <c r="M19" s="47"/>
      <c r="N19" s="47"/>
      <c r="O19" s="47"/>
      <c r="P19" s="47"/>
      <c r="Q19" s="47"/>
      <c r="R19" s="47"/>
      <c r="S19" s="47"/>
      <c r="T19" s="47"/>
      <c r="U19" s="47"/>
      <c r="V19" s="47"/>
      <c r="W19" s="47"/>
      <c r="X19" s="47"/>
      <c r="Y19" s="47"/>
      <c r="Z19" s="50"/>
      <c r="AA19" s="50"/>
      <c r="AB19" s="50"/>
      <c r="AC19" s="50"/>
      <c r="AD19" s="50"/>
    </row>
    <row r="20" spans="1:30">
      <c r="A20" s="320"/>
      <c r="B20" s="320"/>
      <c r="C20" s="320"/>
      <c r="D20" s="320"/>
      <c r="E20" s="320"/>
      <c r="F20" s="320"/>
      <c r="G20" s="47"/>
      <c r="H20" s="47"/>
      <c r="I20" s="47"/>
      <c r="J20" s="47"/>
      <c r="K20" s="47"/>
      <c r="L20" s="47"/>
      <c r="M20" s="47"/>
      <c r="N20" s="47"/>
      <c r="O20" s="47"/>
      <c r="P20" s="47"/>
      <c r="Q20" s="47"/>
      <c r="R20" s="47"/>
      <c r="S20" s="47"/>
      <c r="T20" s="47"/>
      <c r="U20" s="47"/>
      <c r="V20" s="47"/>
      <c r="W20" s="47"/>
      <c r="X20" s="47"/>
      <c r="Y20" s="47"/>
      <c r="Z20" s="50"/>
      <c r="AA20" s="50"/>
      <c r="AB20" s="50"/>
      <c r="AC20" s="50"/>
      <c r="AD20" s="50"/>
    </row>
    <row r="21" spans="1:30">
      <c r="A21" s="320" t="s">
        <v>1267</v>
      </c>
      <c r="B21" s="320"/>
      <c r="C21" s="320"/>
      <c r="D21" s="320"/>
      <c r="E21" s="320"/>
      <c r="F21" s="320"/>
      <c r="G21" s="47"/>
      <c r="H21" s="47"/>
      <c r="I21" s="47"/>
      <c r="J21" s="47"/>
      <c r="K21" s="47"/>
      <c r="L21" s="47"/>
      <c r="M21" s="47"/>
      <c r="N21" s="47"/>
      <c r="O21" s="47"/>
      <c r="P21" s="47"/>
      <c r="Q21" s="47"/>
      <c r="R21" s="47"/>
      <c r="S21" s="47"/>
      <c r="T21" s="47"/>
      <c r="U21" s="47"/>
      <c r="V21" s="47"/>
      <c r="W21" s="47"/>
      <c r="X21" s="47"/>
      <c r="Y21" s="47"/>
      <c r="Z21" s="50"/>
      <c r="AA21" s="50"/>
      <c r="AB21" s="50"/>
      <c r="AC21" s="50"/>
      <c r="AD21" s="50"/>
    </row>
    <row r="22" spans="1:30">
      <c r="A22" s="320" t="s">
        <v>2362</v>
      </c>
      <c r="B22" s="320"/>
      <c r="C22" s="320"/>
      <c r="D22" s="320"/>
      <c r="E22" s="320"/>
      <c r="F22" s="320"/>
      <c r="G22" s="47"/>
      <c r="H22" s="47"/>
      <c r="I22" s="47"/>
      <c r="J22" s="47"/>
      <c r="K22" s="47"/>
      <c r="L22" s="47"/>
      <c r="M22" s="47"/>
      <c r="N22" s="47"/>
      <c r="O22" s="47"/>
      <c r="P22" s="47"/>
      <c r="Q22" s="47"/>
      <c r="R22" s="47"/>
      <c r="S22" s="47"/>
      <c r="T22" s="47"/>
      <c r="U22" s="47"/>
      <c r="V22" s="47"/>
      <c r="W22" s="47"/>
      <c r="X22" s="47"/>
      <c r="Y22" s="47"/>
      <c r="Z22" s="50"/>
      <c r="AA22" s="50"/>
      <c r="AB22" s="50"/>
      <c r="AC22" s="50"/>
      <c r="AD22" s="50"/>
    </row>
    <row r="23" spans="1:30">
      <c r="A23" s="320"/>
      <c r="B23" s="320"/>
      <c r="C23" s="320"/>
      <c r="D23" s="320"/>
      <c r="E23" s="320"/>
      <c r="F23" s="320"/>
      <c r="G23" s="47"/>
      <c r="H23" s="47"/>
      <c r="I23" s="47"/>
      <c r="J23" s="47"/>
      <c r="K23" s="47"/>
      <c r="L23" s="47"/>
      <c r="M23" s="47"/>
      <c r="N23" s="47"/>
      <c r="O23" s="47"/>
      <c r="P23" s="47"/>
      <c r="Q23" s="47"/>
      <c r="R23" s="47"/>
      <c r="S23" s="47"/>
      <c r="T23" s="47"/>
      <c r="U23" s="47"/>
      <c r="V23" s="47"/>
      <c r="W23" s="47"/>
      <c r="X23" s="47"/>
      <c r="Y23" s="47"/>
      <c r="Z23" s="50"/>
      <c r="AA23" s="50"/>
      <c r="AB23" s="50"/>
      <c r="AC23" s="50"/>
      <c r="AD23" s="50"/>
    </row>
    <row r="24" spans="1:30">
      <c r="A24" s="320" t="s">
        <v>2363</v>
      </c>
      <c r="B24" s="320"/>
      <c r="C24" s="320"/>
      <c r="D24" s="320"/>
      <c r="E24" s="320"/>
      <c r="F24" s="320"/>
      <c r="G24" s="47"/>
      <c r="H24" s="47"/>
      <c r="I24" s="47"/>
      <c r="J24" s="47"/>
      <c r="K24" s="47"/>
      <c r="L24" s="47"/>
      <c r="M24" s="47"/>
      <c r="N24" s="47"/>
      <c r="O24" s="47"/>
      <c r="P24" s="47"/>
      <c r="Q24" s="47"/>
      <c r="R24" s="47"/>
      <c r="S24" s="47"/>
      <c r="T24" s="47"/>
      <c r="U24" s="47"/>
      <c r="V24" s="47"/>
      <c r="W24" s="47"/>
      <c r="X24" s="47"/>
      <c r="Y24" s="47"/>
      <c r="Z24" s="50"/>
      <c r="AA24" s="50"/>
      <c r="AB24" s="50"/>
      <c r="AC24" s="50"/>
      <c r="AD24" s="50"/>
    </row>
    <row r="25" spans="1:30">
      <c r="A25" s="320" t="s">
        <v>2364</v>
      </c>
      <c r="B25" s="320"/>
      <c r="C25" s="320"/>
      <c r="D25" s="320"/>
      <c r="E25" s="320"/>
      <c r="F25" s="320"/>
      <c r="G25" s="47"/>
      <c r="H25" s="47"/>
      <c r="I25" s="47"/>
      <c r="J25" s="47"/>
      <c r="K25" s="47"/>
      <c r="L25" s="47"/>
      <c r="M25" s="47"/>
      <c r="N25" s="47"/>
      <c r="O25" s="47"/>
      <c r="P25" s="47"/>
      <c r="Q25" s="47"/>
      <c r="R25" s="47"/>
      <c r="S25" s="47"/>
      <c r="T25" s="47"/>
      <c r="U25" s="47"/>
      <c r="V25" s="47"/>
      <c r="W25" s="47"/>
      <c r="X25" s="47"/>
      <c r="Y25" s="47"/>
      <c r="Z25" s="50"/>
      <c r="AA25" s="50"/>
      <c r="AB25" s="50"/>
      <c r="AC25" s="50"/>
      <c r="AD25" s="50"/>
    </row>
    <row r="26" spans="1:30">
      <c r="A26" s="320" t="s">
        <v>2365</v>
      </c>
      <c r="B26" s="320"/>
      <c r="C26" s="320"/>
      <c r="D26" s="320"/>
      <c r="E26" s="320"/>
      <c r="F26" s="320"/>
      <c r="G26" s="47"/>
      <c r="H26" s="47"/>
      <c r="I26" s="47"/>
      <c r="J26" s="47"/>
      <c r="K26" s="47"/>
      <c r="L26" s="47"/>
      <c r="M26" s="47"/>
      <c r="N26" s="47"/>
      <c r="O26" s="47"/>
      <c r="P26" s="47"/>
      <c r="Q26" s="47"/>
      <c r="R26" s="47"/>
      <c r="S26" s="47"/>
      <c r="T26" s="47"/>
      <c r="U26" s="47"/>
      <c r="V26" s="47"/>
      <c r="W26" s="47"/>
      <c r="X26" s="47"/>
      <c r="Y26" s="47"/>
      <c r="Z26" s="50"/>
      <c r="AA26" s="50"/>
      <c r="AB26" s="50"/>
      <c r="AC26" s="50"/>
      <c r="AD26" s="50"/>
    </row>
    <row r="27" spans="1:30">
      <c r="A27" s="320" t="s">
        <v>2371</v>
      </c>
      <c r="B27" s="320"/>
      <c r="C27" s="320"/>
      <c r="D27" s="320"/>
      <c r="E27" s="320"/>
      <c r="F27" s="320"/>
      <c r="G27" s="47"/>
      <c r="H27" s="47"/>
      <c r="I27" s="47"/>
      <c r="J27" s="47"/>
      <c r="K27" s="47"/>
      <c r="L27" s="47"/>
      <c r="M27" s="47"/>
      <c r="N27" s="47"/>
      <c r="O27" s="47"/>
      <c r="P27" s="47"/>
      <c r="Q27" s="47"/>
      <c r="R27" s="47"/>
      <c r="S27" s="47"/>
      <c r="T27" s="47"/>
      <c r="U27" s="47"/>
      <c r="V27" s="47"/>
      <c r="W27" s="47"/>
      <c r="X27" s="47"/>
      <c r="Y27" s="47"/>
      <c r="Z27" s="50"/>
      <c r="AA27" s="50"/>
      <c r="AB27" s="50"/>
      <c r="AC27" s="50"/>
      <c r="AD27" s="50"/>
    </row>
    <row r="28" spans="1:30">
      <c r="A28" s="320"/>
      <c r="B28" s="320"/>
      <c r="C28" s="320"/>
      <c r="D28" s="320"/>
      <c r="E28" s="320"/>
      <c r="F28" s="320"/>
      <c r="G28" s="47"/>
      <c r="H28" s="47"/>
      <c r="I28" s="47"/>
      <c r="J28" s="47"/>
      <c r="K28" s="47"/>
      <c r="L28" s="47"/>
      <c r="M28" s="47"/>
      <c r="N28" s="47"/>
      <c r="O28" s="47"/>
      <c r="P28" s="47"/>
      <c r="Q28" s="47"/>
      <c r="R28" s="47"/>
      <c r="S28" s="47"/>
      <c r="T28" s="47"/>
      <c r="U28" s="47"/>
      <c r="V28" s="47"/>
      <c r="W28" s="47"/>
      <c r="X28" s="47"/>
      <c r="Y28" s="47"/>
      <c r="Z28" s="50"/>
      <c r="AA28" s="50"/>
      <c r="AB28" s="50"/>
      <c r="AC28" s="50"/>
      <c r="AD28" s="50"/>
    </row>
    <row r="29" spans="1:30">
      <c r="A29" s="320" t="s">
        <v>1268</v>
      </c>
      <c r="B29" s="320"/>
      <c r="C29" s="320"/>
      <c r="D29" s="320"/>
      <c r="E29" s="320"/>
      <c r="F29" s="320"/>
      <c r="G29" s="47"/>
      <c r="H29" s="47"/>
      <c r="I29" s="47"/>
      <c r="J29" s="47"/>
      <c r="K29" s="47"/>
      <c r="L29" s="47"/>
      <c r="M29" s="47"/>
      <c r="N29" s="47"/>
      <c r="O29" s="47"/>
      <c r="P29" s="47"/>
      <c r="Q29" s="47"/>
      <c r="R29" s="47"/>
      <c r="S29" s="47"/>
      <c r="T29" s="47"/>
      <c r="U29" s="47"/>
      <c r="V29" s="47"/>
      <c r="W29" s="47"/>
      <c r="X29" s="47"/>
      <c r="Y29" s="47"/>
      <c r="Z29" s="50"/>
      <c r="AA29" s="50"/>
      <c r="AB29" s="50"/>
      <c r="AC29" s="50"/>
      <c r="AD29" s="50"/>
    </row>
    <row r="30" spans="1:30">
      <c r="A30" s="320" t="s">
        <v>2366</v>
      </c>
      <c r="B30" s="320"/>
      <c r="C30" s="320"/>
      <c r="D30" s="320"/>
      <c r="E30" s="320"/>
      <c r="F30" s="320"/>
      <c r="G30" s="47"/>
      <c r="H30" s="47"/>
      <c r="I30" s="47"/>
      <c r="J30" s="47"/>
      <c r="K30" s="47"/>
      <c r="L30" s="47"/>
      <c r="M30" s="47"/>
      <c r="N30" s="47"/>
      <c r="O30" s="47"/>
      <c r="P30" s="47"/>
      <c r="Q30" s="47"/>
      <c r="R30" s="47"/>
      <c r="S30" s="47"/>
      <c r="T30" s="47"/>
      <c r="U30" s="47"/>
      <c r="V30" s="47"/>
      <c r="W30" s="47"/>
      <c r="X30" s="47"/>
      <c r="Y30" s="47"/>
      <c r="Z30" s="50"/>
      <c r="AA30" s="50"/>
      <c r="AB30" s="50"/>
      <c r="AC30" s="50"/>
      <c r="AD30" s="50"/>
    </row>
    <row r="31" spans="1:30">
      <c r="A31" s="320"/>
      <c r="B31" s="320"/>
      <c r="C31" s="320"/>
      <c r="D31" s="320"/>
      <c r="E31" s="320"/>
      <c r="F31" s="320"/>
      <c r="G31" s="47"/>
      <c r="H31" s="47"/>
      <c r="I31" s="47"/>
      <c r="J31" s="47"/>
      <c r="K31" s="47"/>
      <c r="L31" s="47"/>
      <c r="M31" s="47"/>
      <c r="N31" s="47"/>
      <c r="O31" s="47"/>
      <c r="P31" s="47"/>
      <c r="Q31" s="47"/>
      <c r="R31" s="47"/>
      <c r="S31" s="47"/>
      <c r="T31" s="47"/>
      <c r="U31" s="47"/>
      <c r="V31" s="47"/>
      <c r="W31" s="47"/>
      <c r="X31" s="47"/>
      <c r="Y31" s="47"/>
      <c r="Z31" s="50"/>
      <c r="AA31" s="50"/>
      <c r="AB31" s="50"/>
      <c r="AC31" s="50"/>
      <c r="AD31" s="50"/>
    </row>
    <row r="32" spans="1:30">
      <c r="A32" s="320" t="s">
        <v>1269</v>
      </c>
      <c r="B32" s="320"/>
      <c r="C32" s="320"/>
      <c r="D32" s="320"/>
      <c r="E32" s="320"/>
      <c r="F32" s="320"/>
      <c r="G32" s="47"/>
      <c r="H32" s="47"/>
      <c r="I32" s="47"/>
      <c r="J32" s="47"/>
      <c r="K32" s="47"/>
      <c r="L32" s="47"/>
      <c r="M32" s="47"/>
      <c r="N32" s="47"/>
      <c r="O32" s="47"/>
      <c r="P32" s="47"/>
      <c r="Q32" s="47"/>
      <c r="R32" s="47"/>
      <c r="S32" s="47"/>
      <c r="T32" s="47"/>
      <c r="U32" s="47"/>
      <c r="V32" s="47"/>
      <c r="W32" s="47"/>
      <c r="X32" s="47"/>
      <c r="Y32" s="47"/>
      <c r="Z32" s="50"/>
      <c r="AA32" s="50"/>
      <c r="AB32" s="50"/>
      <c r="AC32" s="50"/>
      <c r="AD32" s="50"/>
    </row>
    <row r="33" spans="1:30">
      <c r="A33" s="320" t="s">
        <v>2367</v>
      </c>
      <c r="B33" s="320"/>
      <c r="C33" s="320"/>
      <c r="D33" s="320"/>
      <c r="E33" s="320"/>
      <c r="F33" s="320"/>
      <c r="G33" s="47"/>
      <c r="H33" s="47"/>
      <c r="I33" s="47"/>
      <c r="J33" s="47"/>
      <c r="K33" s="47"/>
      <c r="L33" s="47"/>
      <c r="M33" s="47"/>
      <c r="N33" s="47"/>
      <c r="O33" s="47"/>
      <c r="P33" s="47"/>
      <c r="Q33" s="47"/>
      <c r="R33" s="47"/>
      <c r="S33" s="47"/>
      <c r="T33" s="47"/>
      <c r="U33" s="47"/>
      <c r="V33" s="47"/>
      <c r="W33" s="47"/>
      <c r="X33" s="47"/>
      <c r="Y33" s="47"/>
      <c r="Z33" s="50"/>
      <c r="AA33" s="50"/>
      <c r="AB33" s="50"/>
      <c r="AC33" s="50"/>
      <c r="AD33" s="50"/>
    </row>
    <row r="34" spans="1:30">
      <c r="A34" s="320"/>
      <c r="B34" s="320"/>
      <c r="C34" s="320"/>
      <c r="D34" s="320"/>
      <c r="E34" s="320"/>
      <c r="F34" s="320"/>
      <c r="G34" s="47"/>
      <c r="H34" s="47"/>
      <c r="I34" s="47"/>
      <c r="J34" s="47"/>
      <c r="K34" s="47"/>
      <c r="L34" s="47"/>
      <c r="M34" s="47"/>
      <c r="N34" s="47"/>
      <c r="O34" s="47"/>
      <c r="P34" s="47"/>
      <c r="Q34" s="47"/>
      <c r="R34" s="47"/>
      <c r="S34" s="47"/>
      <c r="T34" s="47"/>
      <c r="U34" s="47"/>
      <c r="V34" s="47"/>
      <c r="W34" s="47"/>
      <c r="X34" s="47"/>
      <c r="Y34" s="47"/>
      <c r="Z34" s="50"/>
      <c r="AA34" s="50"/>
      <c r="AB34" s="50"/>
      <c r="AC34" s="50"/>
      <c r="AD34" s="50"/>
    </row>
    <row r="35" spans="1:30">
      <c r="A35" s="320" t="s">
        <v>1270</v>
      </c>
      <c r="B35" s="320"/>
      <c r="C35" s="320"/>
      <c r="D35" s="320"/>
      <c r="E35" s="320"/>
      <c r="F35" s="320"/>
      <c r="G35" s="47"/>
      <c r="H35" s="47"/>
      <c r="I35" s="47"/>
      <c r="J35" s="47"/>
      <c r="K35" s="47"/>
      <c r="L35" s="47"/>
      <c r="M35" s="47"/>
      <c r="N35" s="47"/>
      <c r="O35" s="47"/>
      <c r="P35" s="47"/>
      <c r="Q35" s="47"/>
      <c r="R35" s="47"/>
      <c r="S35" s="47"/>
      <c r="T35" s="47"/>
      <c r="U35" s="47"/>
      <c r="V35" s="47"/>
      <c r="W35" s="47"/>
      <c r="X35" s="47"/>
      <c r="Y35" s="47"/>
      <c r="Z35" s="50"/>
      <c r="AA35" s="50"/>
      <c r="AB35" s="50"/>
      <c r="AC35" s="50"/>
      <c r="AD35" s="50"/>
    </row>
    <row r="36" spans="1:30">
      <c r="A36" s="320" t="s">
        <v>2368</v>
      </c>
      <c r="B36" s="320"/>
      <c r="C36" s="320"/>
      <c r="D36" s="320"/>
      <c r="E36" s="320"/>
      <c r="F36" s="320"/>
      <c r="G36" s="47"/>
      <c r="H36" s="47"/>
      <c r="I36" s="47"/>
      <c r="J36" s="47"/>
      <c r="K36" s="47"/>
      <c r="L36" s="47"/>
      <c r="M36" s="47"/>
      <c r="N36" s="47"/>
      <c r="O36" s="47"/>
      <c r="P36" s="47"/>
      <c r="Q36" s="47"/>
      <c r="R36" s="47"/>
      <c r="S36" s="47"/>
      <c r="T36" s="47"/>
      <c r="U36" s="47"/>
      <c r="V36" s="47"/>
      <c r="W36" s="47"/>
      <c r="X36" s="47"/>
      <c r="Y36" s="47"/>
      <c r="Z36" s="50"/>
      <c r="AA36" s="50"/>
      <c r="AB36" s="50"/>
      <c r="AC36" s="50"/>
      <c r="AD36" s="50"/>
    </row>
    <row r="37" spans="1:30">
      <c r="A37" s="320"/>
      <c r="B37" s="320"/>
      <c r="C37" s="320"/>
      <c r="D37" s="320"/>
      <c r="E37" s="320"/>
      <c r="F37" s="320"/>
      <c r="G37" s="47"/>
      <c r="H37" s="47"/>
      <c r="I37" s="47"/>
      <c r="J37" s="47"/>
      <c r="K37" s="47"/>
      <c r="L37" s="47"/>
      <c r="M37" s="47"/>
      <c r="N37" s="47"/>
      <c r="O37" s="47"/>
      <c r="P37" s="47"/>
      <c r="Q37" s="47"/>
      <c r="R37" s="47"/>
      <c r="S37" s="47"/>
      <c r="T37" s="47"/>
      <c r="U37" s="47"/>
      <c r="V37" s="47"/>
      <c r="W37" s="47"/>
      <c r="X37" s="47"/>
      <c r="Y37" s="47"/>
      <c r="Z37" s="50"/>
      <c r="AA37" s="50"/>
      <c r="AB37" s="50"/>
      <c r="AC37" s="50"/>
      <c r="AD37" s="50"/>
    </row>
    <row r="38" spans="1:30">
      <c r="A38" s="320" t="s">
        <v>1271</v>
      </c>
      <c r="B38" s="320"/>
      <c r="C38" s="320"/>
      <c r="D38" s="320"/>
      <c r="E38" s="320"/>
      <c r="F38" s="320"/>
      <c r="G38" s="47"/>
      <c r="H38" s="47"/>
      <c r="I38" s="47"/>
      <c r="J38" s="47"/>
      <c r="K38" s="47"/>
      <c r="L38" s="47"/>
      <c r="M38" s="47"/>
      <c r="N38" s="47"/>
      <c r="O38" s="47"/>
      <c r="P38" s="47"/>
      <c r="Q38" s="47"/>
      <c r="R38" s="47"/>
      <c r="S38" s="47"/>
      <c r="T38" s="47"/>
      <c r="U38" s="47"/>
      <c r="V38" s="47"/>
      <c r="W38" s="47"/>
      <c r="X38" s="47"/>
      <c r="Y38" s="47"/>
      <c r="Z38" s="50"/>
      <c r="AA38" s="50"/>
      <c r="AB38" s="50"/>
      <c r="AC38" s="50"/>
      <c r="AD38" s="50"/>
    </row>
    <row r="39" spans="1:30">
      <c r="A39" s="320" t="s">
        <v>2369</v>
      </c>
      <c r="B39" s="320"/>
      <c r="C39" s="320"/>
      <c r="D39" s="320"/>
      <c r="E39" s="320"/>
      <c r="F39" s="320"/>
      <c r="G39" s="47"/>
      <c r="H39" s="47"/>
      <c r="I39" s="47"/>
      <c r="J39" s="47"/>
      <c r="K39" s="47"/>
      <c r="L39" s="47"/>
      <c r="M39" s="47"/>
      <c r="N39" s="47"/>
      <c r="O39" s="47"/>
      <c r="P39" s="47"/>
      <c r="Q39" s="47"/>
      <c r="R39" s="47"/>
      <c r="S39" s="47"/>
      <c r="T39" s="47"/>
      <c r="U39" s="47"/>
      <c r="V39" s="47"/>
      <c r="W39" s="47"/>
      <c r="X39" s="47"/>
      <c r="Y39" s="47"/>
      <c r="Z39" s="50"/>
      <c r="AA39" s="50"/>
      <c r="AB39" s="50"/>
      <c r="AC39" s="50"/>
      <c r="AD39" s="50"/>
    </row>
    <row r="40" spans="1:30">
      <c r="A40" s="320"/>
      <c r="B40" s="320"/>
      <c r="C40" s="320"/>
      <c r="D40" s="320"/>
      <c r="E40" s="320"/>
      <c r="F40" s="320"/>
      <c r="G40" s="47"/>
      <c r="H40" s="47"/>
      <c r="I40" s="47"/>
      <c r="J40" s="47"/>
      <c r="K40" s="47"/>
      <c r="L40" s="47"/>
      <c r="M40" s="47"/>
      <c r="N40" s="47"/>
      <c r="O40" s="47"/>
      <c r="P40" s="47"/>
      <c r="Q40" s="47"/>
      <c r="R40" s="47"/>
      <c r="S40" s="47"/>
      <c r="T40" s="47"/>
      <c r="U40" s="47"/>
      <c r="V40" s="47"/>
      <c r="W40" s="47"/>
      <c r="X40" s="47"/>
      <c r="Y40" s="47"/>
      <c r="Z40" s="50"/>
      <c r="AA40" s="50"/>
      <c r="AB40" s="50"/>
      <c r="AC40" s="50"/>
      <c r="AD40" s="50"/>
    </row>
    <row r="41" spans="1:30">
      <c r="A41" s="198"/>
      <c r="B41" s="198"/>
      <c r="C41" s="198"/>
      <c r="D41" s="198"/>
      <c r="E41" s="198"/>
      <c r="F41" s="47"/>
      <c r="G41" s="47"/>
      <c r="H41" s="47"/>
      <c r="I41" s="47"/>
      <c r="J41" s="47"/>
      <c r="K41" s="47"/>
      <c r="L41" s="47"/>
      <c r="M41" s="47"/>
      <c r="N41" s="47"/>
      <c r="O41" s="47"/>
      <c r="P41" s="47"/>
      <c r="Q41" s="47"/>
      <c r="R41" s="47"/>
      <c r="S41" s="47"/>
      <c r="T41" s="47"/>
      <c r="U41" s="47"/>
      <c r="V41" s="47"/>
      <c r="W41" s="47"/>
      <c r="X41" s="47"/>
      <c r="Y41" s="47"/>
      <c r="Z41" s="50"/>
      <c r="AA41" s="50"/>
      <c r="AB41" s="50"/>
      <c r="AC41" s="50"/>
      <c r="AD41" s="50"/>
    </row>
    <row r="42" spans="1:30">
      <c r="A42" s="63" t="s">
        <v>1316</v>
      </c>
      <c r="B42" s="63"/>
      <c r="C42" s="63"/>
      <c r="D42" s="63"/>
      <c r="E42" s="63"/>
      <c r="F42" s="63"/>
      <c r="G42" s="63"/>
      <c r="H42" s="63"/>
      <c r="I42" s="63"/>
      <c r="J42" s="63"/>
      <c r="K42" s="63"/>
      <c r="L42" s="63"/>
      <c r="M42" s="63"/>
      <c r="N42" s="63"/>
      <c r="O42" s="63"/>
      <c r="P42" s="63"/>
      <c r="Q42" s="63"/>
      <c r="R42" s="63"/>
      <c r="S42" s="63"/>
      <c r="T42" s="63"/>
      <c r="U42" s="63"/>
      <c r="V42" s="63"/>
      <c r="W42" s="63"/>
      <c r="X42" s="47"/>
      <c r="Y42" s="47"/>
      <c r="Z42" s="50"/>
      <c r="AA42" s="50"/>
      <c r="AB42" s="50"/>
      <c r="AC42" s="50"/>
      <c r="AD42" s="50"/>
    </row>
    <row r="43" spans="1:30">
      <c r="A43" s="63" t="s">
        <v>2372</v>
      </c>
      <c r="B43" s="63"/>
      <c r="C43" s="63"/>
      <c r="D43" s="63"/>
      <c r="E43" s="63"/>
      <c r="F43" s="63"/>
      <c r="G43" s="63"/>
      <c r="H43" s="63"/>
      <c r="I43" s="63"/>
      <c r="J43" s="63"/>
      <c r="K43" s="63"/>
      <c r="L43" s="63"/>
      <c r="M43" s="63"/>
      <c r="N43" s="63"/>
      <c r="O43" s="63"/>
      <c r="P43" s="63"/>
      <c r="Q43" s="63"/>
      <c r="R43" s="63"/>
      <c r="S43" s="63"/>
      <c r="T43" s="63"/>
      <c r="U43" s="63"/>
      <c r="V43" s="63"/>
      <c r="W43" s="63"/>
      <c r="X43" s="47"/>
      <c r="Y43" s="47"/>
      <c r="Z43" s="50"/>
      <c r="AA43" s="50"/>
      <c r="AB43" s="50"/>
      <c r="AC43" s="50"/>
      <c r="AD43" s="50"/>
    </row>
    <row r="44" spans="1:30">
      <c r="A44" s="63" t="s">
        <v>2495</v>
      </c>
      <c r="B44" s="63"/>
      <c r="C44" s="63"/>
      <c r="D44" s="63"/>
      <c r="E44" s="63"/>
      <c r="F44" s="63"/>
      <c r="G44" s="47"/>
      <c r="H44" s="47"/>
      <c r="I44" s="47"/>
      <c r="J44" s="47"/>
      <c r="K44" s="47"/>
      <c r="L44" s="47"/>
      <c r="M44" s="47"/>
      <c r="N44" s="47"/>
      <c r="O44" s="47"/>
      <c r="P44" s="47"/>
      <c r="Q44" s="47"/>
      <c r="R44" s="47"/>
      <c r="S44" s="47"/>
      <c r="T44" s="47"/>
      <c r="U44" s="47"/>
      <c r="V44" s="47"/>
      <c r="W44" s="47"/>
      <c r="X44" s="47"/>
      <c r="Y44" s="47"/>
      <c r="Z44" s="50"/>
      <c r="AA44" s="50"/>
      <c r="AB44" s="50"/>
      <c r="AC44" s="50"/>
      <c r="AD44" s="50"/>
    </row>
    <row r="45" spans="1:30">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50"/>
      <c r="AA45" s="50"/>
      <c r="AB45" s="50"/>
      <c r="AC45" s="50"/>
      <c r="AD45" s="50"/>
    </row>
    <row r="46" spans="1:30">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row>
    <row r="47" spans="1:30">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row>
    <row r="48" spans="1:30">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row>
    <row r="49" spans="1:30">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row>
    <row r="50" spans="1:3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row>
    <row r="51" spans="1:30">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row>
    <row r="52" spans="1:30">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row>
    <row r="53" spans="1:30">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row>
    <row r="54" spans="1:30">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row>
    <row r="55" spans="1:30">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row>
    <row r="56" spans="1:30">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row>
    <row r="57" spans="1:30">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row>
    <row r="58" spans="1:30">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row>
    <row r="59" spans="1:30">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row>
    <row r="60" spans="1:3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row>
    <row r="61" spans="1:30">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row>
    <row r="62" spans="1:30">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row>
    <row r="63" spans="1:30">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row>
    <row r="64" spans="1:30">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row>
    <row r="65" spans="1:30">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row>
    <row r="66" spans="1:30">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row>
    <row r="67" spans="1:30">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row>
    <row r="68" spans="1:30">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row>
    <row r="69" spans="1:30">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row>
    <row r="70" spans="1:3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row>
    <row r="71" spans="1:30">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row>
    <row r="72" spans="1:30">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row>
    <row r="73" spans="1:30">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row>
    <row r="74" spans="1:30">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row>
    <row r="75" spans="1:30">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row>
    <row r="76" spans="1:30">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row>
    <row r="77" spans="1:30">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row>
    <row r="78" spans="1:30">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row>
    <row r="79" spans="1:30">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row>
    <row r="80" spans="1:3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row>
    <row r="81" spans="1:30">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row>
    <row r="82" spans="1:30">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row>
    <row r="83" spans="1:30">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row>
    <row r="84" spans="1:30">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row>
    <row r="85" spans="1:30">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row>
    <row r="86" spans="1:30">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row>
    <row r="87" spans="1:30">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row>
    <row r="88" spans="1:30">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row>
    <row r="89" spans="1:30">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row>
    <row r="90" spans="1:3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row>
    <row r="91" spans="1:30">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row>
    <row r="92" spans="1:30">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row>
    <row r="93" spans="1:30">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row>
    <row r="94" spans="1:30">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row>
    <row r="95" spans="1:30">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row>
    <row r="96" spans="1:30">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row>
    <row r="97" spans="1:30">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row>
    <row r="98" spans="1:30">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row>
    <row r="99" spans="1:30">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row>
    <row r="100" spans="1:3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E2768-FE9C-485E-A485-592913B449D1}">
  <dimension ref="A1:AI89"/>
  <sheetViews>
    <sheetView workbookViewId="0"/>
  </sheetViews>
  <sheetFormatPr defaultRowHeight="14"/>
  <cols>
    <col min="1" max="1" width="24.58203125" customWidth="1"/>
    <col min="3" max="3" width="23.4140625" customWidth="1"/>
    <col min="4" max="4" width="11.25" customWidth="1"/>
    <col min="5" max="5" width="12.4140625" customWidth="1"/>
    <col min="6" max="6" width="12" customWidth="1"/>
    <col min="11" max="11" width="21.83203125" customWidth="1"/>
    <col min="12" max="12" width="15.1640625" customWidth="1"/>
    <col min="13" max="13" width="12.83203125" customWidth="1"/>
    <col min="15" max="15" width="11.75" customWidth="1"/>
    <col min="20" max="20" width="7.4140625" customWidth="1"/>
    <col min="26" max="26" width="30.25" customWidth="1"/>
    <col min="27" max="27" width="75.58203125" customWidth="1"/>
    <col min="28" max="28" width="10.83203125" customWidth="1"/>
  </cols>
  <sheetData>
    <row r="1" spans="1:35" ht="18">
      <c r="A1" s="66" t="s">
        <v>1276</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52"/>
      <c r="AD1" s="52"/>
      <c r="AE1" s="52"/>
      <c r="AF1" s="52"/>
      <c r="AG1" s="52"/>
      <c r="AH1" s="52"/>
      <c r="AI1" s="52"/>
    </row>
    <row r="2" spans="1:35" ht="15.5">
      <c r="A2" s="65" t="s">
        <v>2374</v>
      </c>
      <c r="B2" s="65"/>
      <c r="C2" s="65"/>
      <c r="D2" s="65"/>
      <c r="E2" s="46"/>
      <c r="F2" s="47"/>
      <c r="G2" s="47"/>
      <c r="H2" s="47"/>
      <c r="I2" s="47"/>
      <c r="J2" s="47"/>
      <c r="K2" s="47"/>
      <c r="L2" s="47"/>
      <c r="M2" s="47"/>
      <c r="N2" s="47"/>
      <c r="O2" s="47"/>
      <c r="P2" s="47"/>
      <c r="Q2" s="47"/>
      <c r="R2" s="47"/>
      <c r="S2" s="47"/>
      <c r="T2" s="47"/>
      <c r="U2" s="47"/>
      <c r="V2" s="47"/>
      <c r="W2" s="47"/>
      <c r="X2" s="47"/>
      <c r="Y2" s="47"/>
      <c r="Z2" s="47"/>
      <c r="AA2" s="47"/>
      <c r="AB2" s="47"/>
      <c r="AC2" s="52"/>
      <c r="AD2" s="52"/>
      <c r="AE2" s="52"/>
      <c r="AF2" s="52"/>
      <c r="AG2" s="52"/>
      <c r="AH2" s="52"/>
      <c r="AI2" s="52"/>
    </row>
    <row r="3" spans="1:35">
      <c r="A3" s="320" t="s">
        <v>2390</v>
      </c>
      <c r="B3" s="320"/>
      <c r="C3" s="320"/>
      <c r="D3" s="320"/>
      <c r="E3" s="320"/>
      <c r="F3" s="320"/>
      <c r="G3" s="320"/>
      <c r="H3" s="320"/>
      <c r="I3" s="320"/>
      <c r="J3" s="320"/>
      <c r="K3" s="320"/>
      <c r="L3" s="320"/>
      <c r="M3" s="320"/>
      <c r="N3" s="320"/>
      <c r="O3" s="320"/>
      <c r="P3" s="47"/>
      <c r="Q3" s="47"/>
      <c r="R3" s="47"/>
      <c r="S3" s="47"/>
      <c r="T3" s="47"/>
      <c r="U3" s="47"/>
      <c r="V3" s="47"/>
      <c r="W3" s="47"/>
      <c r="X3" s="47"/>
      <c r="Y3" s="47"/>
      <c r="Z3" s="47"/>
      <c r="AA3" s="47"/>
      <c r="AB3" s="47"/>
      <c r="AC3" s="52"/>
      <c r="AD3" s="52"/>
      <c r="AE3" s="52"/>
      <c r="AF3" s="52"/>
      <c r="AG3" s="52"/>
      <c r="AH3" s="52"/>
      <c r="AI3" s="52"/>
    </row>
    <row r="4" spans="1:35">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52"/>
      <c r="AD4" s="52"/>
      <c r="AE4" s="52"/>
      <c r="AF4" s="52"/>
      <c r="AG4" s="52"/>
      <c r="AH4" s="52"/>
      <c r="AI4" s="52"/>
    </row>
    <row r="5" spans="1:35" ht="15.5">
      <c r="A5" s="65" t="s">
        <v>1277</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52"/>
      <c r="AD5" s="52"/>
      <c r="AE5" s="52"/>
      <c r="AF5" s="52"/>
      <c r="AG5" s="52"/>
      <c r="AH5" s="52"/>
      <c r="AI5" s="52"/>
    </row>
    <row r="6" spans="1:35">
      <c r="A6" s="320" t="s">
        <v>2375</v>
      </c>
      <c r="B6" s="320"/>
      <c r="C6" s="320"/>
      <c r="D6" s="47"/>
      <c r="E6" s="47"/>
      <c r="F6" s="47"/>
      <c r="G6" s="47"/>
      <c r="H6" s="47"/>
      <c r="I6" s="47"/>
      <c r="J6" s="47"/>
      <c r="K6" s="47"/>
      <c r="L6" s="47"/>
      <c r="M6" s="47"/>
      <c r="N6" s="47"/>
      <c r="O6" s="47"/>
      <c r="P6" s="47"/>
      <c r="Q6" s="47"/>
      <c r="R6" s="47"/>
      <c r="S6" s="47"/>
      <c r="T6" s="47"/>
      <c r="U6" s="47"/>
      <c r="V6" s="47"/>
      <c r="W6" s="47"/>
      <c r="X6" s="47"/>
      <c r="Y6" s="47"/>
      <c r="Z6" s="47"/>
      <c r="AA6" s="47"/>
      <c r="AB6" s="47"/>
      <c r="AC6" s="52"/>
      <c r="AD6" s="52"/>
      <c r="AE6" s="52"/>
      <c r="AF6" s="52"/>
      <c r="AG6" s="52"/>
      <c r="AH6" s="52"/>
      <c r="AI6" s="52"/>
    </row>
    <row r="7" spans="1:35">
      <c r="A7" s="320" t="s">
        <v>2376</v>
      </c>
      <c r="B7" s="320"/>
      <c r="C7" s="320"/>
      <c r="D7" s="47"/>
      <c r="E7" s="47"/>
      <c r="F7" s="47"/>
      <c r="G7" s="47"/>
      <c r="H7" s="47"/>
      <c r="I7" s="47"/>
      <c r="J7" s="47"/>
      <c r="K7" s="47"/>
      <c r="L7" s="47"/>
      <c r="M7" s="47"/>
      <c r="N7" s="47"/>
      <c r="O7" s="47"/>
      <c r="P7" s="47"/>
      <c r="Q7" s="47"/>
      <c r="R7" s="47"/>
      <c r="S7" s="47"/>
      <c r="T7" s="47"/>
      <c r="U7" s="47"/>
      <c r="V7" s="47"/>
      <c r="W7" s="47"/>
      <c r="X7" s="47"/>
      <c r="Y7" s="47"/>
      <c r="Z7" s="47"/>
      <c r="AA7" s="47"/>
      <c r="AB7" s="47"/>
      <c r="AC7" s="52"/>
      <c r="AD7" s="52"/>
      <c r="AE7" s="52"/>
      <c r="AF7" s="52"/>
      <c r="AG7" s="52"/>
      <c r="AH7" s="52"/>
      <c r="AI7" s="52"/>
    </row>
    <row r="8" spans="1:35">
      <c r="A8" s="320" t="s">
        <v>1278</v>
      </c>
      <c r="B8" s="320"/>
      <c r="C8" s="320"/>
      <c r="D8" s="47"/>
      <c r="E8" s="47"/>
      <c r="F8" s="47"/>
      <c r="G8" s="47"/>
      <c r="H8" s="47"/>
      <c r="I8" s="47"/>
      <c r="J8" s="47"/>
      <c r="K8" s="47"/>
      <c r="L8" s="47"/>
      <c r="M8" s="47"/>
      <c r="N8" s="47"/>
      <c r="O8" s="47"/>
      <c r="P8" s="47"/>
      <c r="Q8" s="47"/>
      <c r="R8" s="47"/>
      <c r="S8" s="47"/>
      <c r="T8" s="47"/>
      <c r="U8" s="47"/>
      <c r="V8" s="47"/>
      <c r="W8" s="47"/>
      <c r="X8" s="47"/>
      <c r="Y8" s="47"/>
      <c r="Z8" s="47"/>
      <c r="AA8" s="47"/>
      <c r="AB8" s="47"/>
      <c r="AC8" s="52"/>
      <c r="AD8" s="52"/>
      <c r="AE8" s="52"/>
      <c r="AF8" s="52"/>
      <c r="AG8" s="52"/>
      <c r="AH8" s="52"/>
      <c r="AI8" s="52"/>
    </row>
    <row r="9" spans="1:35">
      <c r="A9" s="201"/>
      <c r="B9" s="201"/>
      <c r="C9" s="201"/>
      <c r="D9" s="47"/>
      <c r="E9" s="47"/>
      <c r="F9" s="47"/>
      <c r="G9" s="47"/>
      <c r="H9" s="47"/>
      <c r="I9" s="47"/>
      <c r="J9" s="47"/>
      <c r="K9" s="47"/>
      <c r="L9" s="47"/>
      <c r="M9" s="47"/>
      <c r="N9" s="47"/>
      <c r="O9" s="47"/>
      <c r="P9" s="47"/>
      <c r="Q9" s="47"/>
      <c r="R9" s="47"/>
      <c r="S9" s="47"/>
      <c r="T9" s="47"/>
      <c r="U9" s="47"/>
      <c r="V9" s="47"/>
      <c r="W9" s="47"/>
      <c r="X9" s="47"/>
      <c r="Y9" s="47"/>
      <c r="Z9" s="47"/>
      <c r="AA9" s="47"/>
      <c r="AB9" s="47"/>
      <c r="AC9" s="52"/>
      <c r="AD9" s="52"/>
      <c r="AE9" s="52"/>
      <c r="AF9" s="52"/>
      <c r="AG9" s="52"/>
      <c r="AH9" s="52"/>
      <c r="AI9" s="52"/>
    </row>
    <row r="10" spans="1:35">
      <c r="A10" s="46" t="s">
        <v>1279</v>
      </c>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52"/>
      <c r="AD10" s="52"/>
      <c r="AE10" s="52"/>
      <c r="AF10" s="52"/>
      <c r="AG10" s="52"/>
      <c r="AH10" s="52"/>
      <c r="AI10" s="52"/>
    </row>
    <row r="11" spans="1:35">
      <c r="A11" s="320" t="s">
        <v>2388</v>
      </c>
      <c r="B11" s="320"/>
      <c r="C11" s="320"/>
      <c r="D11" s="320"/>
      <c r="E11" s="47"/>
      <c r="F11" s="47"/>
      <c r="G11" s="47"/>
      <c r="H11" s="47"/>
      <c r="I11" s="47"/>
      <c r="J11" s="47"/>
      <c r="K11" s="47"/>
      <c r="L11" s="47"/>
      <c r="M11" s="47"/>
      <c r="N11" s="47"/>
      <c r="O11" s="47"/>
      <c r="P11" s="47"/>
      <c r="Q11" s="47"/>
      <c r="R11" s="47"/>
      <c r="S11" s="47"/>
      <c r="T11" s="47"/>
      <c r="U11" s="47"/>
      <c r="V11" s="47"/>
      <c r="W11" s="47"/>
      <c r="X11" s="47"/>
      <c r="Y11" s="47"/>
      <c r="Z11" s="47"/>
      <c r="AA11" s="47"/>
      <c r="AB11" s="47"/>
      <c r="AC11" s="52"/>
      <c r="AD11" s="52"/>
      <c r="AE11" s="52"/>
      <c r="AF11" s="52"/>
      <c r="AG11" s="52"/>
      <c r="AH11" s="52"/>
      <c r="AI11" s="52"/>
    </row>
    <row r="12" spans="1:35">
      <c r="A12" s="320" t="s">
        <v>2377</v>
      </c>
      <c r="B12" s="320"/>
      <c r="C12" s="320"/>
      <c r="D12" s="320"/>
      <c r="E12" s="47"/>
      <c r="F12" s="47"/>
      <c r="G12" s="47"/>
      <c r="H12" s="47"/>
      <c r="I12" s="47"/>
      <c r="J12" s="47"/>
      <c r="K12" s="47"/>
      <c r="L12" s="47"/>
      <c r="M12" s="47"/>
      <c r="N12" s="47"/>
      <c r="O12" s="47"/>
      <c r="P12" s="47"/>
      <c r="Q12" s="47"/>
      <c r="R12" s="47"/>
      <c r="S12" s="47"/>
      <c r="T12" s="47"/>
      <c r="U12" s="47"/>
      <c r="V12" s="47"/>
      <c r="W12" s="47"/>
      <c r="X12" s="47"/>
      <c r="Y12" s="47"/>
      <c r="Z12" s="47"/>
      <c r="AA12" s="47"/>
      <c r="AB12" s="47"/>
      <c r="AC12" s="52"/>
      <c r="AD12" s="52"/>
      <c r="AE12" s="52"/>
      <c r="AF12" s="52"/>
      <c r="AG12" s="52"/>
      <c r="AH12" s="52"/>
      <c r="AI12" s="52"/>
    </row>
    <row r="13" spans="1:35">
      <c r="A13" s="320" t="s">
        <v>2378</v>
      </c>
      <c r="B13" s="320"/>
      <c r="C13" s="320"/>
      <c r="D13" s="320"/>
      <c r="E13" s="47"/>
      <c r="F13" s="47"/>
      <c r="G13" s="47"/>
      <c r="H13" s="47"/>
      <c r="I13" s="47"/>
      <c r="J13" s="47"/>
      <c r="K13" s="47"/>
      <c r="L13" s="47"/>
      <c r="M13" s="47"/>
      <c r="N13" s="47"/>
      <c r="O13" s="47"/>
      <c r="P13" s="47"/>
      <c r="Q13" s="47"/>
      <c r="R13" s="47"/>
      <c r="S13" s="47"/>
      <c r="T13" s="47"/>
      <c r="U13" s="47"/>
      <c r="V13" s="47"/>
      <c r="W13" s="47"/>
      <c r="X13" s="47"/>
      <c r="Y13" s="47"/>
      <c r="Z13" s="47"/>
      <c r="AA13" s="47"/>
      <c r="AB13" s="47"/>
      <c r="AC13" s="52"/>
      <c r="AD13" s="52"/>
      <c r="AE13" s="52"/>
      <c r="AF13" s="52"/>
      <c r="AG13" s="52"/>
      <c r="AH13" s="52"/>
      <c r="AI13" s="52"/>
    </row>
    <row r="14" spans="1:3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52"/>
      <c r="AD14" s="52"/>
      <c r="AE14" s="52"/>
      <c r="AF14" s="52"/>
      <c r="AG14" s="52"/>
      <c r="AH14" s="52"/>
      <c r="AI14" s="52"/>
    </row>
    <row r="15" spans="1:35">
      <c r="A15" s="46" t="s">
        <v>1280</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52"/>
      <c r="AD15" s="52"/>
      <c r="AE15" s="52"/>
      <c r="AF15" s="52"/>
      <c r="AG15" s="52"/>
      <c r="AH15" s="52"/>
      <c r="AI15" s="52"/>
    </row>
    <row r="16" spans="1:35">
      <c r="A16" s="320" t="s">
        <v>1281</v>
      </c>
      <c r="B16" s="320"/>
      <c r="C16" s="320"/>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52"/>
      <c r="AD16" s="52"/>
      <c r="AE16" s="52"/>
      <c r="AF16" s="52"/>
      <c r="AG16" s="52"/>
      <c r="AH16" s="52"/>
      <c r="AI16" s="52"/>
    </row>
    <row r="17" spans="1:35">
      <c r="A17" s="320" t="s">
        <v>2379</v>
      </c>
      <c r="B17" s="320"/>
      <c r="C17" s="320"/>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52"/>
      <c r="AD17" s="52"/>
      <c r="AE17" s="52"/>
      <c r="AF17" s="52"/>
      <c r="AG17" s="52"/>
      <c r="AH17" s="52"/>
      <c r="AI17" s="52"/>
    </row>
    <row r="18" spans="1:35">
      <c r="A18" s="320" t="s">
        <v>2380</v>
      </c>
      <c r="B18" s="320"/>
      <c r="C18" s="320"/>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52"/>
      <c r="AD18" s="52"/>
      <c r="AE18" s="52"/>
      <c r="AF18" s="52"/>
      <c r="AG18" s="52"/>
      <c r="AH18" s="52"/>
      <c r="AI18" s="52"/>
    </row>
    <row r="19" spans="1:3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52"/>
      <c r="AD19" s="52"/>
      <c r="AE19" s="52"/>
      <c r="AF19" s="52"/>
      <c r="AG19" s="52"/>
      <c r="AH19" s="52"/>
      <c r="AI19" s="52"/>
    </row>
    <row r="20" spans="1:35">
      <c r="A20" s="46" t="s">
        <v>1435</v>
      </c>
      <c r="B20" s="46"/>
      <c r="C20" s="46"/>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52"/>
      <c r="AD20" s="52"/>
      <c r="AE20" s="52"/>
      <c r="AF20" s="52"/>
      <c r="AG20" s="52"/>
      <c r="AH20" s="52"/>
      <c r="AI20" s="52"/>
    </row>
    <row r="21" spans="1:35">
      <c r="A21" s="320" t="s">
        <v>2391</v>
      </c>
      <c r="B21" s="320"/>
      <c r="C21" s="320"/>
      <c r="D21" s="320"/>
      <c r="E21" s="320"/>
      <c r="F21" s="320"/>
      <c r="G21" s="320"/>
      <c r="H21" s="320"/>
      <c r="I21" s="320"/>
      <c r="J21" s="320"/>
      <c r="K21" s="320"/>
      <c r="L21" s="320"/>
      <c r="M21" s="320"/>
      <c r="N21" s="320"/>
      <c r="O21" s="320"/>
      <c r="P21" s="47"/>
      <c r="Q21" s="47"/>
      <c r="R21" s="47"/>
      <c r="S21" s="47"/>
      <c r="T21" s="47"/>
      <c r="U21" s="47"/>
      <c r="V21" s="47"/>
      <c r="W21" s="47"/>
      <c r="X21" s="47"/>
      <c r="Y21" s="47"/>
      <c r="Z21" s="47"/>
      <c r="AA21" s="47"/>
      <c r="AB21" s="47"/>
      <c r="AC21" s="52"/>
      <c r="AD21" s="52"/>
      <c r="AE21" s="52"/>
      <c r="AF21" s="52"/>
      <c r="AG21" s="52"/>
      <c r="AH21" s="52"/>
      <c r="AI21" s="52"/>
    </row>
    <row r="22" spans="1:3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6"/>
      <c r="AC22" s="384"/>
      <c r="AD22" s="384"/>
      <c r="AE22" s="384"/>
      <c r="AF22" s="384"/>
      <c r="AG22" s="384"/>
      <c r="AH22" s="384"/>
      <c r="AI22" s="52"/>
    </row>
    <row r="23" spans="1:35">
      <c r="A23" s="320" t="s">
        <v>2389</v>
      </c>
      <c r="B23" s="320"/>
      <c r="C23" s="320"/>
      <c r="D23" s="320"/>
      <c r="E23" s="320"/>
      <c r="F23" s="320"/>
      <c r="G23" s="320"/>
      <c r="H23" s="320"/>
      <c r="I23" s="320"/>
      <c r="J23" s="320"/>
      <c r="K23" s="320"/>
      <c r="L23" s="320"/>
      <c r="M23" s="320"/>
      <c r="N23" s="320"/>
      <c r="O23" s="47"/>
      <c r="P23" s="47"/>
      <c r="Q23" s="47"/>
      <c r="R23" s="47"/>
      <c r="S23" s="47"/>
      <c r="T23" s="47"/>
      <c r="U23" s="47"/>
      <c r="V23" s="47"/>
      <c r="W23" s="47"/>
      <c r="X23" s="47"/>
      <c r="Y23" s="47"/>
      <c r="Z23" s="47"/>
      <c r="AA23" s="47"/>
      <c r="AB23" s="47"/>
      <c r="AC23" s="52"/>
      <c r="AD23" s="52"/>
      <c r="AE23" s="52"/>
      <c r="AF23" s="52"/>
      <c r="AG23" s="52"/>
      <c r="AH23" s="52"/>
      <c r="AI23" s="52"/>
    </row>
    <row r="24" spans="1:3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52"/>
      <c r="AD24" s="52"/>
      <c r="AE24" s="52"/>
      <c r="AF24" s="52"/>
      <c r="AG24" s="52"/>
      <c r="AH24" s="52"/>
      <c r="AI24" s="52"/>
    </row>
    <row r="25" spans="1:35">
      <c r="A25" s="46" t="s">
        <v>1588</v>
      </c>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52"/>
      <c r="AD25" s="52"/>
      <c r="AE25" s="52"/>
      <c r="AF25" s="52"/>
      <c r="AG25" s="52"/>
      <c r="AH25" s="52"/>
      <c r="AI25" s="52"/>
    </row>
    <row r="26" spans="1:35" ht="18">
      <c r="A26" s="515" t="s">
        <v>2381</v>
      </c>
      <c r="B26" s="320"/>
      <c r="C26" s="320"/>
      <c r="D26" s="320"/>
      <c r="E26" s="320"/>
      <c r="F26" s="320"/>
      <c r="G26" s="320"/>
      <c r="H26" s="320"/>
      <c r="I26" s="320"/>
      <c r="J26" s="320"/>
      <c r="K26" s="47"/>
      <c r="L26" s="47"/>
      <c r="M26" s="47"/>
      <c r="N26" s="47"/>
      <c r="O26" s="47"/>
      <c r="P26" s="47"/>
      <c r="Q26" s="47"/>
      <c r="R26" s="47"/>
      <c r="S26" s="47"/>
      <c r="T26" s="47"/>
      <c r="U26" s="47"/>
      <c r="V26" s="47"/>
      <c r="W26" s="47"/>
      <c r="X26" s="47"/>
      <c r="Y26" s="47"/>
      <c r="Z26" s="47"/>
      <c r="AA26" s="47"/>
      <c r="AB26" s="47"/>
      <c r="AC26" s="52"/>
      <c r="AD26" s="52"/>
      <c r="AE26" s="52"/>
      <c r="AF26" s="52"/>
      <c r="AG26" s="52"/>
      <c r="AH26" s="52"/>
      <c r="AI26" s="52"/>
    </row>
    <row r="27" spans="1:35" ht="18">
      <c r="A27" s="514" t="s">
        <v>2382</v>
      </c>
      <c r="B27" s="320"/>
      <c r="C27" s="320"/>
      <c r="D27" s="320"/>
      <c r="E27" s="320"/>
      <c r="F27" s="320"/>
      <c r="G27" s="320"/>
      <c r="H27" s="320"/>
      <c r="I27" s="320"/>
      <c r="J27" s="320"/>
      <c r="K27" s="47"/>
      <c r="L27" s="47"/>
      <c r="M27" s="47"/>
      <c r="N27" s="47"/>
      <c r="O27" s="47"/>
      <c r="P27" s="47"/>
      <c r="Q27" s="47"/>
      <c r="R27" s="47"/>
      <c r="S27" s="47"/>
      <c r="T27" s="47"/>
      <c r="U27" s="47"/>
      <c r="V27" s="47"/>
      <c r="W27" s="47"/>
      <c r="X27" s="47"/>
      <c r="Y27" s="47"/>
      <c r="Z27" s="47"/>
      <c r="AA27" s="47"/>
      <c r="AB27" s="47"/>
      <c r="AC27" s="52"/>
      <c r="AD27" s="52"/>
      <c r="AE27" s="52"/>
      <c r="AF27" s="52"/>
      <c r="AG27" s="52"/>
      <c r="AH27" s="52"/>
      <c r="AI27" s="52"/>
    </row>
    <row r="28" spans="1:35" ht="18">
      <c r="A28" s="514" t="s">
        <v>2383</v>
      </c>
      <c r="B28" s="320"/>
      <c r="C28" s="320"/>
      <c r="D28" s="320"/>
      <c r="E28" s="320"/>
      <c r="F28" s="320"/>
      <c r="G28" s="320"/>
      <c r="H28" s="320"/>
      <c r="I28" s="320"/>
      <c r="J28" s="320"/>
      <c r="K28" s="47"/>
      <c r="L28" s="47"/>
      <c r="M28" s="47"/>
      <c r="N28" s="47"/>
      <c r="O28" s="47"/>
      <c r="P28" s="47"/>
      <c r="Q28" s="47"/>
      <c r="R28" s="47"/>
      <c r="S28" s="47"/>
      <c r="T28" s="47"/>
      <c r="U28" s="47"/>
      <c r="V28" s="47"/>
      <c r="W28" s="47"/>
      <c r="X28" s="47"/>
      <c r="Y28" s="47"/>
      <c r="Z28" s="47"/>
      <c r="AA28" s="47"/>
      <c r="AB28" s="47"/>
      <c r="AC28" s="52"/>
      <c r="AD28" s="52"/>
      <c r="AE28" s="52"/>
      <c r="AF28" s="52"/>
      <c r="AG28" s="52"/>
      <c r="AH28" s="52"/>
      <c r="AI28" s="52"/>
    </row>
    <row r="29" spans="1:35" ht="18">
      <c r="A29" s="515" t="s">
        <v>2384</v>
      </c>
      <c r="B29" s="320"/>
      <c r="C29" s="320"/>
      <c r="D29" s="320"/>
      <c r="E29" s="320"/>
      <c r="F29" s="320"/>
      <c r="G29" s="320"/>
      <c r="H29" s="320"/>
      <c r="I29" s="320"/>
      <c r="J29" s="320"/>
      <c r="K29" s="47"/>
      <c r="L29" s="47"/>
      <c r="M29" s="47"/>
      <c r="N29" s="47"/>
      <c r="O29" s="47"/>
      <c r="P29" s="47"/>
      <c r="Q29" s="47"/>
      <c r="R29" s="47"/>
      <c r="S29" s="47"/>
      <c r="T29" s="47"/>
      <c r="U29" s="47"/>
      <c r="V29" s="47"/>
      <c r="W29" s="47"/>
      <c r="X29" s="47"/>
      <c r="Y29" s="47"/>
      <c r="Z29" s="47"/>
      <c r="AA29" s="47"/>
      <c r="AB29" s="47"/>
      <c r="AC29" s="52"/>
      <c r="AD29" s="52"/>
      <c r="AE29" s="52"/>
      <c r="AF29" s="52"/>
      <c r="AG29" s="52"/>
      <c r="AH29" s="52"/>
      <c r="AI29" s="52"/>
    </row>
    <row r="30" spans="1:35">
      <c r="A30" s="201"/>
      <c r="B30" s="201"/>
      <c r="C30" s="201"/>
      <c r="D30" s="201"/>
      <c r="E30" s="201"/>
      <c r="F30" s="201"/>
      <c r="G30" s="201"/>
      <c r="H30" s="201"/>
      <c r="I30" s="201"/>
      <c r="J30" s="201"/>
      <c r="K30" s="201"/>
      <c r="L30" s="201"/>
      <c r="M30" s="201"/>
      <c r="N30" s="201"/>
      <c r="O30" s="201"/>
      <c r="P30" s="201"/>
      <c r="Q30" s="201"/>
      <c r="R30" s="201"/>
      <c r="S30" s="201"/>
      <c r="T30" s="201"/>
      <c r="U30" s="47"/>
      <c r="V30" s="47"/>
      <c r="W30" s="47"/>
      <c r="X30" s="47"/>
      <c r="Y30" s="47"/>
      <c r="Z30" s="47"/>
      <c r="AA30" s="47"/>
      <c r="AB30" s="47"/>
      <c r="AC30" s="52"/>
      <c r="AD30" s="52"/>
      <c r="AE30" s="52"/>
      <c r="AF30" s="52"/>
      <c r="AG30" s="52"/>
      <c r="AH30" s="52"/>
      <c r="AI30" s="52"/>
    </row>
    <row r="31" spans="1:35">
      <c r="A31" s="46" t="s">
        <v>1108</v>
      </c>
      <c r="B31" s="201"/>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52"/>
      <c r="AD31" s="52"/>
      <c r="AE31" s="52"/>
      <c r="AF31" s="52"/>
      <c r="AG31" s="52"/>
      <c r="AH31" s="52"/>
      <c r="AI31" s="52"/>
    </row>
    <row r="32" spans="1:35">
      <c r="A32" s="320" t="s">
        <v>2385</v>
      </c>
      <c r="B32" s="320"/>
      <c r="C32" s="320"/>
      <c r="D32" s="320"/>
      <c r="E32" s="320"/>
      <c r="F32" s="320"/>
      <c r="G32" s="320"/>
      <c r="H32" s="320"/>
      <c r="I32" s="320"/>
      <c r="J32" s="320"/>
      <c r="K32" s="375"/>
      <c r="L32" s="201"/>
      <c r="M32" s="201"/>
      <c r="N32" s="201"/>
      <c r="O32" s="201"/>
      <c r="P32" s="201"/>
      <c r="Q32" s="201"/>
      <c r="R32" s="201"/>
      <c r="S32" s="201"/>
      <c r="T32" s="201"/>
      <c r="U32" s="201"/>
      <c r="V32" s="201"/>
      <c r="W32" s="201"/>
      <c r="X32" s="201"/>
      <c r="Y32" s="201"/>
      <c r="Z32" s="201"/>
      <c r="AA32" s="201"/>
      <c r="AB32" s="201"/>
      <c r="AC32" s="52"/>
      <c r="AD32" s="52"/>
      <c r="AE32" s="52"/>
      <c r="AF32" s="52"/>
      <c r="AG32" s="52"/>
      <c r="AH32" s="52"/>
      <c r="AI32" s="52"/>
    </row>
    <row r="33" spans="1:35">
      <c r="A33" s="201"/>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52"/>
      <c r="AD33" s="52"/>
      <c r="AE33" s="52"/>
      <c r="AF33" s="52"/>
      <c r="AG33" s="52"/>
      <c r="AH33" s="52"/>
      <c r="AI33" s="52"/>
    </row>
    <row r="34" spans="1:35">
      <c r="A34" s="320" t="s">
        <v>2386</v>
      </c>
      <c r="B34" s="320"/>
      <c r="C34" s="320"/>
      <c r="D34" s="320"/>
      <c r="E34" s="320"/>
      <c r="F34" s="320"/>
      <c r="G34" s="320"/>
      <c r="H34" s="320"/>
      <c r="I34" s="320"/>
      <c r="J34" s="320"/>
      <c r="K34" s="383"/>
      <c r="L34" s="201"/>
      <c r="M34" s="201"/>
      <c r="N34" s="201"/>
      <c r="O34" s="201"/>
      <c r="P34" s="201"/>
      <c r="Q34" s="201"/>
      <c r="R34" s="201"/>
      <c r="S34" s="201"/>
      <c r="T34" s="201"/>
      <c r="U34" s="201"/>
      <c r="V34" s="201"/>
      <c r="W34" s="201"/>
      <c r="X34" s="201"/>
      <c r="Y34" s="201"/>
      <c r="Z34" s="201"/>
      <c r="AA34" s="201"/>
      <c r="AB34" s="201"/>
      <c r="AC34" s="52"/>
      <c r="AD34" s="52"/>
      <c r="AE34" s="52"/>
      <c r="AF34" s="52"/>
      <c r="AG34" s="52"/>
      <c r="AH34" s="52"/>
      <c r="AI34" s="52"/>
    </row>
    <row r="35" spans="1:35">
      <c r="A35" s="201"/>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52"/>
      <c r="AD35" s="52"/>
      <c r="AE35" s="52"/>
      <c r="AF35" s="52"/>
      <c r="AG35" s="52"/>
      <c r="AH35" s="52"/>
      <c r="AI35" s="52"/>
    </row>
    <row r="36" spans="1:35">
      <c r="A36" s="320" t="s">
        <v>2184</v>
      </c>
      <c r="B36" s="320"/>
      <c r="C36" s="320"/>
      <c r="D36" s="320"/>
      <c r="E36" s="320"/>
      <c r="F36" s="320"/>
      <c r="G36" s="320"/>
      <c r="H36" s="320"/>
      <c r="I36" s="320"/>
      <c r="J36" s="320"/>
      <c r="K36" s="375"/>
      <c r="L36" s="201"/>
      <c r="M36" s="201"/>
      <c r="N36" s="201"/>
      <c r="O36" s="201"/>
      <c r="P36" s="201"/>
      <c r="Q36" s="201"/>
      <c r="R36" s="201"/>
      <c r="S36" s="201"/>
      <c r="T36" s="201"/>
      <c r="U36" s="201"/>
      <c r="V36" s="201"/>
      <c r="W36" s="201"/>
      <c r="X36" s="201"/>
      <c r="Y36" s="201"/>
      <c r="Z36" s="201"/>
      <c r="AA36" s="201"/>
      <c r="AB36" s="201"/>
      <c r="AC36" s="52"/>
      <c r="AD36" s="52"/>
      <c r="AE36" s="52"/>
      <c r="AF36" s="52"/>
      <c r="AG36" s="52"/>
      <c r="AH36" s="52"/>
      <c r="AI36" s="52"/>
    </row>
    <row r="37" spans="1:35">
      <c r="A37" s="201"/>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52"/>
      <c r="AD37" s="52"/>
      <c r="AE37" s="52"/>
      <c r="AF37" s="52"/>
      <c r="AG37" s="52"/>
      <c r="AH37" s="52"/>
      <c r="AI37" s="52"/>
    </row>
    <row r="38" spans="1:35">
      <c r="A38" s="320" t="s">
        <v>2387</v>
      </c>
      <c r="B38" s="320"/>
      <c r="C38" s="320"/>
      <c r="D38" s="320"/>
      <c r="E38" s="320"/>
      <c r="F38" s="320"/>
      <c r="G38" s="320"/>
      <c r="H38" s="320"/>
      <c r="I38" s="320"/>
      <c r="J38" s="320"/>
      <c r="K38" s="320"/>
      <c r="L38" s="201"/>
      <c r="M38" s="201"/>
      <c r="N38" s="201"/>
      <c r="O38" s="201"/>
      <c r="P38" s="201"/>
      <c r="Q38" s="201"/>
      <c r="R38" s="201"/>
      <c r="S38" s="201"/>
      <c r="T38" s="201"/>
      <c r="U38" s="201"/>
      <c r="V38" s="201"/>
      <c r="W38" s="201"/>
      <c r="X38" s="201"/>
      <c r="Y38" s="201"/>
      <c r="Z38" s="201"/>
      <c r="AA38" s="201"/>
      <c r="AB38" s="201"/>
      <c r="AC38" s="52"/>
      <c r="AD38" s="52"/>
      <c r="AE38" s="52"/>
      <c r="AF38" s="52"/>
      <c r="AG38" s="52"/>
      <c r="AH38" s="52"/>
      <c r="AI38" s="52"/>
    </row>
    <row r="39" spans="1:35">
      <c r="A39" s="201"/>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52"/>
      <c r="AD39" s="52"/>
      <c r="AE39" s="52"/>
      <c r="AF39" s="52"/>
      <c r="AG39" s="52"/>
      <c r="AH39" s="52"/>
      <c r="AI39" s="52"/>
    </row>
    <row r="40" spans="1:35">
      <c r="A40" s="320" t="s">
        <v>2185</v>
      </c>
      <c r="B40" s="320"/>
      <c r="C40" s="320"/>
      <c r="D40" s="320"/>
      <c r="E40" s="320"/>
      <c r="F40" s="320"/>
      <c r="G40" s="320"/>
      <c r="H40" s="320"/>
      <c r="I40" s="320"/>
      <c r="J40" s="320"/>
      <c r="K40" s="320"/>
      <c r="L40" s="201"/>
      <c r="M40" s="201"/>
      <c r="N40" s="201"/>
      <c r="O40" s="201"/>
      <c r="P40" s="201"/>
      <c r="Q40" s="201"/>
      <c r="R40" s="201"/>
      <c r="S40" s="201"/>
      <c r="T40" s="201"/>
      <c r="U40" s="201"/>
      <c r="V40" s="201"/>
      <c r="W40" s="201"/>
      <c r="X40" s="201"/>
      <c r="Y40" s="201"/>
      <c r="Z40" s="201"/>
      <c r="AA40" s="201"/>
      <c r="AB40" s="201"/>
      <c r="AC40" s="52"/>
      <c r="AD40" s="52"/>
      <c r="AE40" s="52"/>
      <c r="AF40" s="52"/>
      <c r="AG40" s="52"/>
      <c r="AH40" s="52"/>
      <c r="AI40" s="52"/>
    </row>
    <row r="41" spans="1:35">
      <c r="A41" s="201"/>
      <c r="B41" s="201"/>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52"/>
      <c r="AD41" s="52"/>
      <c r="AE41" s="52"/>
      <c r="AF41" s="52"/>
      <c r="AG41" s="52"/>
      <c r="AH41" s="52"/>
      <c r="AI41" s="52"/>
    </row>
    <row r="42" spans="1:35">
      <c r="A42" s="320" t="s">
        <v>2392</v>
      </c>
      <c r="B42" s="320"/>
      <c r="C42" s="320"/>
      <c r="D42" s="320"/>
      <c r="E42" s="320"/>
      <c r="F42" s="320"/>
      <c r="G42" s="320"/>
      <c r="H42" s="320"/>
      <c r="I42" s="320"/>
      <c r="J42" s="320"/>
      <c r="K42" s="320"/>
      <c r="L42" s="320"/>
      <c r="M42" s="320"/>
      <c r="N42" s="375"/>
      <c r="O42" s="375"/>
      <c r="P42" s="201"/>
      <c r="Q42" s="201"/>
      <c r="R42" s="201"/>
      <c r="S42" s="201"/>
      <c r="T42" s="201"/>
      <c r="U42" s="201"/>
      <c r="V42" s="201"/>
      <c r="W42" s="201"/>
      <c r="X42" s="201"/>
      <c r="Y42" s="201"/>
      <c r="Z42" s="201"/>
      <c r="AA42" s="201"/>
      <c r="AB42" s="201"/>
      <c r="AC42" s="52"/>
      <c r="AD42" s="52"/>
      <c r="AE42" s="52"/>
      <c r="AF42" s="52"/>
      <c r="AG42" s="52"/>
      <c r="AH42" s="52"/>
      <c r="AI42" s="52"/>
    </row>
    <row r="43" spans="1:35">
      <c r="A43" s="201"/>
      <c r="B43" s="201"/>
      <c r="C43" s="201"/>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52"/>
      <c r="AD43" s="52"/>
      <c r="AE43" s="52"/>
      <c r="AF43" s="52"/>
      <c r="AG43" s="52"/>
      <c r="AH43" s="52"/>
      <c r="AI43" s="52"/>
    </row>
    <row r="44" spans="1:35">
      <c r="A44" s="201"/>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52"/>
      <c r="AD44" s="52"/>
      <c r="AE44" s="52"/>
      <c r="AF44" s="52"/>
      <c r="AG44" s="52"/>
      <c r="AH44" s="52"/>
      <c r="AI44" s="52"/>
    </row>
    <row r="45" spans="1:35">
      <c r="A45" s="201"/>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52"/>
      <c r="AD45" s="52"/>
      <c r="AE45" s="52"/>
      <c r="AF45" s="52"/>
      <c r="AG45" s="52"/>
      <c r="AH45" s="52"/>
      <c r="AI45" s="52"/>
    </row>
    <row r="46" spans="1:35">
      <c r="A46" s="201"/>
      <c r="B46" s="201"/>
      <c r="C46" s="201"/>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52"/>
      <c r="AD46" s="52"/>
      <c r="AE46" s="52"/>
      <c r="AF46" s="52"/>
      <c r="AG46" s="52"/>
      <c r="AH46" s="52"/>
      <c r="AI46" s="52"/>
    </row>
    <row r="47" spans="1:35">
      <c r="A47" s="201"/>
      <c r="B47" s="201"/>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52"/>
      <c r="AD47" s="52"/>
      <c r="AE47" s="52"/>
      <c r="AF47" s="52"/>
      <c r="AG47" s="52"/>
      <c r="AH47" s="52"/>
      <c r="AI47" s="52"/>
    </row>
    <row r="48" spans="1:35">
      <c r="A48" s="201"/>
      <c r="B48" s="201"/>
      <c r="C48" s="201"/>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52"/>
      <c r="AD48" s="52"/>
      <c r="AE48" s="52"/>
      <c r="AF48" s="52"/>
      <c r="AG48" s="52"/>
      <c r="AH48" s="52"/>
      <c r="AI48" s="52"/>
    </row>
    <row r="49" spans="1:3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row>
    <row r="50" spans="1:3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row>
    <row r="51" spans="1:35">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row>
    <row r="52" spans="1:35">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row>
    <row r="53" spans="1:35">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row>
    <row r="54" spans="1:35">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row>
    <row r="55" spans="1:3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row>
    <row r="56" spans="1:35">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row>
    <row r="57" spans="1:35">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row>
    <row r="58" spans="1:35">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row>
    <row r="59" spans="1:35">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row>
    <row r="60" spans="1:35">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row>
    <row r="61" spans="1:35">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row>
    <row r="62" spans="1:35">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row>
    <row r="63" spans="1:35">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row>
    <row r="64" spans="1:35">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row>
    <row r="65" spans="1:3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row>
    <row r="66" spans="1:35">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row>
    <row r="67" spans="1:3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row>
    <row r="68" spans="1:35">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row>
    <row r="69" spans="1:35">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row>
    <row r="70" spans="1:35">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row>
    <row r="71" spans="1:35">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row>
    <row r="72" spans="1:35">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row>
    <row r="73" spans="1:35">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row>
    <row r="74" spans="1:35">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row>
    <row r="75" spans="1:3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row>
    <row r="76" spans="1:35">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row>
    <row r="77" spans="1:35">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row>
    <row r="78" spans="1:35">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row>
    <row r="79" spans="1:35">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row>
    <row r="80" spans="1:35">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row>
    <row r="81" spans="1:35">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row>
    <row r="82" spans="1:35">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row>
    <row r="83" spans="1:3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row>
    <row r="84" spans="1:3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row>
    <row r="85" spans="1:3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row>
    <row r="86" spans="1:3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row>
    <row r="87" spans="1:3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row>
    <row r="88" spans="1:3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row>
    <row r="89" spans="1:3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78CA-EFE7-4041-BF49-743B72AE033B}">
  <dimension ref="A1:AC180"/>
  <sheetViews>
    <sheetView workbookViewId="0"/>
  </sheetViews>
  <sheetFormatPr defaultRowHeight="14"/>
  <cols>
    <col min="1" max="1" width="26.58203125" customWidth="1"/>
    <col min="2" max="2" width="25.75" customWidth="1"/>
    <col min="3" max="3" width="49.4140625" customWidth="1"/>
    <col min="4" max="4" width="20.75" customWidth="1"/>
    <col min="5" max="5" width="19.25" customWidth="1"/>
    <col min="7" max="7" width="10.4140625" customWidth="1"/>
    <col min="8" max="8" width="11.25" customWidth="1"/>
    <col min="9" max="9" width="6.58203125" customWidth="1"/>
    <col min="12" max="12" width="8.58203125" customWidth="1"/>
    <col min="15" max="15" width="10.4140625" customWidth="1"/>
    <col min="21" max="21" width="4.83203125" customWidth="1"/>
    <col min="25" max="25" width="53.75" customWidth="1"/>
  </cols>
  <sheetData>
    <row r="1" spans="1:29" ht="20">
      <c r="A1" s="67" t="s">
        <v>2395</v>
      </c>
      <c r="B1" s="67"/>
      <c r="C1" s="67"/>
      <c r="D1" s="67"/>
      <c r="E1" s="67"/>
      <c r="F1" s="67"/>
      <c r="G1" s="46"/>
      <c r="H1" s="46"/>
      <c r="I1" s="46"/>
      <c r="J1" s="47"/>
      <c r="K1" s="47"/>
      <c r="L1" s="47"/>
      <c r="M1" s="47"/>
      <c r="N1" s="47"/>
      <c r="O1" s="47"/>
      <c r="P1" s="47"/>
      <c r="Q1" s="47"/>
      <c r="R1" s="47"/>
      <c r="S1" s="47"/>
      <c r="T1" s="47"/>
      <c r="U1" s="47"/>
      <c r="V1" s="47"/>
      <c r="W1" s="47"/>
      <c r="X1" s="47"/>
      <c r="Y1" s="47"/>
      <c r="Z1" s="57"/>
      <c r="AA1" s="52"/>
      <c r="AB1" s="52"/>
      <c r="AC1" s="52"/>
    </row>
    <row r="2" spans="1:29">
      <c r="A2" s="46" t="s">
        <v>2399</v>
      </c>
      <c r="B2" s="47"/>
      <c r="C2" s="47"/>
      <c r="D2" s="47"/>
      <c r="E2" s="47"/>
      <c r="F2" s="47"/>
      <c r="G2" s="47"/>
      <c r="H2" s="47"/>
      <c r="I2" s="47"/>
      <c r="J2" s="47"/>
      <c r="K2" s="47"/>
      <c r="L2" s="47"/>
      <c r="M2" s="47"/>
      <c r="N2" s="47"/>
      <c r="O2" s="47"/>
      <c r="P2" s="47"/>
      <c r="Q2" s="47"/>
      <c r="R2" s="47"/>
      <c r="S2" s="47"/>
      <c r="T2" s="47"/>
      <c r="U2" s="47"/>
      <c r="V2" s="47"/>
      <c r="W2" s="47"/>
      <c r="X2" s="47"/>
      <c r="Y2" s="47"/>
      <c r="Z2" s="57"/>
      <c r="AA2" s="52"/>
      <c r="AB2" s="52"/>
      <c r="AC2" s="52"/>
    </row>
    <row r="3" spans="1:29">
      <c r="A3" s="46" t="s">
        <v>1282</v>
      </c>
      <c r="B3" s="46" t="s">
        <v>129</v>
      </c>
      <c r="C3" s="46" t="s">
        <v>1283</v>
      </c>
      <c r="D3" s="47"/>
      <c r="E3" s="47"/>
      <c r="F3" s="47"/>
      <c r="G3" s="47"/>
      <c r="H3" s="47"/>
      <c r="I3" s="47"/>
      <c r="J3" s="47"/>
      <c r="K3" s="47"/>
      <c r="L3" s="47"/>
      <c r="M3" s="47"/>
      <c r="N3" s="47"/>
      <c r="O3" s="47"/>
      <c r="P3" s="47"/>
      <c r="Q3" s="47"/>
      <c r="R3" s="47"/>
      <c r="S3" s="47"/>
      <c r="T3" s="47"/>
      <c r="U3" s="47"/>
      <c r="V3" s="47"/>
      <c r="W3" s="47"/>
      <c r="X3" s="47"/>
      <c r="Y3" s="47"/>
      <c r="Z3" s="57"/>
      <c r="AA3" s="52"/>
      <c r="AB3" s="52"/>
      <c r="AC3" s="52"/>
    </row>
    <row r="4" spans="1:29">
      <c r="A4" s="320" t="s">
        <v>143</v>
      </c>
      <c r="B4" s="91">
        <v>0.1</v>
      </c>
      <c r="C4" s="46" t="s">
        <v>1284</v>
      </c>
      <c r="D4" s="63" t="s">
        <v>2393</v>
      </c>
      <c r="E4" s="63"/>
      <c r="F4" s="63"/>
      <c r="G4" s="63"/>
      <c r="H4" s="63"/>
      <c r="I4" s="63"/>
      <c r="J4" s="63"/>
      <c r="K4" s="63"/>
      <c r="L4" s="63"/>
      <c r="M4" s="63"/>
      <c r="N4" s="47"/>
      <c r="O4" s="47"/>
      <c r="P4" s="47"/>
      <c r="Q4" s="47"/>
      <c r="R4" s="47"/>
      <c r="S4" s="47"/>
      <c r="T4" s="47"/>
      <c r="U4" s="47"/>
      <c r="V4" s="47"/>
      <c r="W4" s="47"/>
      <c r="X4" s="47"/>
      <c r="Y4" s="47"/>
      <c r="Z4" s="57"/>
      <c r="AA4" s="52"/>
      <c r="AB4" s="52"/>
      <c r="AC4" s="52"/>
    </row>
    <row r="5" spans="1:29">
      <c r="A5" s="320" t="s">
        <v>1345</v>
      </c>
      <c r="B5" s="91">
        <v>0.08</v>
      </c>
      <c r="C5" s="46"/>
      <c r="D5" s="47"/>
      <c r="E5" s="47"/>
      <c r="F5" s="47"/>
      <c r="G5" s="47"/>
      <c r="H5" s="47"/>
      <c r="I5" s="47"/>
      <c r="J5" s="47"/>
      <c r="K5" s="47"/>
      <c r="L5" s="47"/>
      <c r="M5" s="47"/>
      <c r="N5" s="47"/>
      <c r="O5" s="47"/>
      <c r="P5" s="47"/>
      <c r="Q5" s="47"/>
      <c r="R5" s="47"/>
      <c r="S5" s="47"/>
      <c r="T5" s="47"/>
      <c r="U5" s="47"/>
      <c r="V5" s="47"/>
      <c r="W5" s="47"/>
      <c r="X5" s="47"/>
      <c r="Y5" s="47"/>
      <c r="Z5" s="57"/>
      <c r="AA5" s="52"/>
      <c r="AB5" s="52"/>
      <c r="AC5" s="52"/>
    </row>
    <row r="6" spans="1:29">
      <c r="A6" s="320" t="s">
        <v>1346</v>
      </c>
      <c r="B6" s="91">
        <v>0.03</v>
      </c>
      <c r="C6" s="46" t="s">
        <v>1437</v>
      </c>
      <c r="D6" s="63" t="s">
        <v>2400</v>
      </c>
      <c r="E6" s="63"/>
      <c r="F6" s="63"/>
      <c r="G6" s="63"/>
      <c r="H6" s="63"/>
      <c r="I6" s="63"/>
      <c r="J6" s="63"/>
      <c r="K6" s="63"/>
      <c r="L6" s="63"/>
      <c r="M6" s="63"/>
      <c r="N6" s="63"/>
      <c r="O6" s="63"/>
      <c r="P6" s="63"/>
      <c r="Q6" s="63"/>
      <c r="R6" s="63"/>
      <c r="S6" s="63"/>
      <c r="T6" s="63"/>
      <c r="U6" s="63"/>
      <c r="V6" s="47"/>
      <c r="W6" s="47"/>
      <c r="X6" s="47"/>
      <c r="Y6" s="47"/>
      <c r="Z6" s="57"/>
      <c r="AA6" s="52"/>
      <c r="AB6" s="52"/>
      <c r="AC6" s="52"/>
    </row>
    <row r="7" spans="1:29">
      <c r="A7" s="320" t="s">
        <v>1347</v>
      </c>
      <c r="B7" s="87" t="s">
        <v>2398</v>
      </c>
      <c r="C7" s="46"/>
      <c r="D7" s="47"/>
      <c r="E7" s="47"/>
      <c r="F7" s="47"/>
      <c r="G7" s="47"/>
      <c r="H7" s="47"/>
      <c r="I7" s="47"/>
      <c r="J7" s="47"/>
      <c r="K7" s="47"/>
      <c r="L7" s="47"/>
      <c r="M7" s="47"/>
      <c r="N7" s="47"/>
      <c r="O7" s="47"/>
      <c r="P7" s="47"/>
      <c r="Q7" s="47"/>
      <c r="R7" s="47"/>
      <c r="S7" s="47"/>
      <c r="T7" s="47"/>
      <c r="U7" s="47"/>
      <c r="V7" s="47"/>
      <c r="W7" s="47"/>
      <c r="X7" s="47"/>
      <c r="Y7" s="47"/>
      <c r="Z7" s="57"/>
      <c r="AA7" s="52"/>
      <c r="AB7" s="52"/>
      <c r="AC7" s="52"/>
    </row>
    <row r="8" spans="1:29">
      <c r="A8" s="320" t="s">
        <v>1285</v>
      </c>
      <c r="B8" s="91">
        <v>0.12</v>
      </c>
      <c r="C8" s="46" t="s">
        <v>1286</v>
      </c>
      <c r="D8" s="47"/>
      <c r="E8" s="47"/>
      <c r="F8" s="47"/>
      <c r="G8" s="47"/>
      <c r="H8" s="47"/>
      <c r="I8" s="47"/>
      <c r="J8" s="47"/>
      <c r="K8" s="47"/>
      <c r="L8" s="47"/>
      <c r="M8" s="47"/>
      <c r="N8" s="47"/>
      <c r="O8" s="47"/>
      <c r="P8" s="47"/>
      <c r="Q8" s="47"/>
      <c r="R8" s="47"/>
      <c r="S8" s="47"/>
      <c r="T8" s="47"/>
      <c r="U8" s="47"/>
      <c r="V8" s="47"/>
      <c r="W8" s="47"/>
      <c r="X8" s="47"/>
      <c r="Y8" s="47"/>
      <c r="Z8" s="57"/>
      <c r="AA8" s="52"/>
      <c r="AB8" s="52"/>
      <c r="AC8" s="52"/>
    </row>
    <row r="9" spans="1:29">
      <c r="A9" s="320" t="s">
        <v>493</v>
      </c>
      <c r="B9" s="91">
        <v>0.55000000000000004</v>
      </c>
      <c r="C9" s="46" t="s">
        <v>1287</v>
      </c>
      <c r="D9" s="47"/>
      <c r="E9" s="47"/>
      <c r="F9" s="47"/>
      <c r="G9" s="47"/>
      <c r="H9" s="47"/>
      <c r="I9" s="47"/>
      <c r="J9" s="47"/>
      <c r="K9" s="47"/>
      <c r="L9" s="47"/>
      <c r="M9" s="47"/>
      <c r="N9" s="47"/>
      <c r="O9" s="47"/>
      <c r="P9" s="47"/>
      <c r="Q9" s="47"/>
      <c r="R9" s="47"/>
      <c r="S9" s="47"/>
      <c r="T9" s="47"/>
      <c r="U9" s="47"/>
      <c r="V9" s="47"/>
      <c r="W9" s="47"/>
      <c r="X9" s="47"/>
      <c r="Y9" s="47"/>
      <c r="Z9" s="57"/>
      <c r="AA9" s="52"/>
      <c r="AB9" s="52"/>
      <c r="AC9" s="52"/>
    </row>
    <row r="10" spans="1:29">
      <c r="A10" s="320" t="s">
        <v>118</v>
      </c>
      <c r="B10" s="91">
        <v>0.18</v>
      </c>
      <c r="C10" s="46" t="s">
        <v>1288</v>
      </c>
      <c r="D10" s="47"/>
      <c r="E10" s="47"/>
      <c r="F10" s="47"/>
      <c r="G10" s="47"/>
      <c r="H10" s="47"/>
      <c r="I10" s="47"/>
      <c r="J10" s="47"/>
      <c r="K10" s="47"/>
      <c r="L10" s="47"/>
      <c r="M10" s="47"/>
      <c r="N10" s="47"/>
      <c r="O10" s="47"/>
      <c r="P10" s="47"/>
      <c r="Q10" s="47"/>
      <c r="R10" s="47"/>
      <c r="S10" s="47"/>
      <c r="T10" s="47"/>
      <c r="U10" s="47"/>
      <c r="V10" s="47"/>
      <c r="W10" s="47"/>
      <c r="X10" s="47"/>
      <c r="Y10" s="47"/>
      <c r="Z10" s="57"/>
      <c r="AA10" s="52"/>
      <c r="AB10" s="52"/>
      <c r="AC10" s="52"/>
    </row>
    <row r="11" spans="1:29">
      <c r="A11" s="320" t="s">
        <v>853</v>
      </c>
      <c r="B11" s="48" t="s">
        <v>1289</v>
      </c>
      <c r="C11" s="46" t="s">
        <v>1290</v>
      </c>
      <c r="D11" s="47"/>
      <c r="E11" s="47"/>
      <c r="F11" s="47"/>
      <c r="G11" s="47"/>
      <c r="H11" s="47"/>
      <c r="I11" s="47"/>
      <c r="J11" s="47"/>
      <c r="K11" s="47"/>
      <c r="L11" s="47"/>
      <c r="M11" s="47"/>
      <c r="N11" s="47"/>
      <c r="O11" s="47"/>
      <c r="P11" s="47"/>
      <c r="Q11" s="47"/>
      <c r="R11" s="47"/>
      <c r="S11" s="47"/>
      <c r="T11" s="47"/>
      <c r="U11" s="47"/>
      <c r="V11" s="47"/>
      <c r="W11" s="47"/>
      <c r="X11" s="47"/>
      <c r="Y11" s="47"/>
      <c r="Z11" s="57"/>
      <c r="AA11" s="52"/>
      <c r="AB11" s="52"/>
      <c r="AC11" s="52"/>
    </row>
    <row r="12" spans="1:29">
      <c r="A12" s="320" t="s">
        <v>942</v>
      </c>
      <c r="B12" s="48" t="s">
        <v>467</v>
      </c>
      <c r="C12" s="46" t="s">
        <v>1291</v>
      </c>
      <c r="D12" s="47"/>
      <c r="E12" s="47"/>
      <c r="F12" s="47"/>
      <c r="G12" s="47"/>
      <c r="H12" s="47"/>
      <c r="I12" s="47"/>
      <c r="J12" s="47"/>
      <c r="K12" s="47"/>
      <c r="L12" s="47"/>
      <c r="M12" s="47"/>
      <c r="N12" s="47"/>
      <c r="O12" s="47"/>
      <c r="P12" s="47"/>
      <c r="Q12" s="47"/>
      <c r="R12" s="47"/>
      <c r="S12" s="47"/>
      <c r="T12" s="47"/>
      <c r="U12" s="47"/>
      <c r="V12" s="47"/>
      <c r="W12" s="47"/>
      <c r="X12" s="47"/>
      <c r="Y12" s="47"/>
      <c r="Z12" s="57"/>
      <c r="AA12" s="52"/>
      <c r="AB12" s="52"/>
      <c r="AC12" s="52"/>
    </row>
    <row r="13" spans="1:29" ht="56">
      <c r="A13" s="320" t="s">
        <v>198</v>
      </c>
      <c r="B13" s="91">
        <v>0.1</v>
      </c>
      <c r="C13" s="249" t="s">
        <v>2394</v>
      </c>
      <c r="D13" s="47"/>
      <c r="E13" s="47"/>
      <c r="F13" s="47"/>
      <c r="G13" s="47"/>
      <c r="H13" s="47"/>
      <c r="I13" s="47"/>
      <c r="J13" s="47"/>
      <c r="K13" s="47"/>
      <c r="L13" s="47"/>
      <c r="M13" s="47"/>
      <c r="N13" s="47"/>
      <c r="O13" s="47"/>
      <c r="P13" s="47"/>
      <c r="Q13" s="47"/>
      <c r="R13" s="47"/>
      <c r="S13" s="47"/>
      <c r="T13" s="47"/>
      <c r="U13" s="47"/>
      <c r="V13" s="47"/>
      <c r="W13" s="47"/>
      <c r="X13" s="47"/>
      <c r="Y13" s="47"/>
      <c r="Z13" s="57"/>
      <c r="AA13" s="52"/>
      <c r="AB13" s="52"/>
      <c r="AC13" s="52"/>
    </row>
    <row r="14" spans="1:29">
      <c r="A14" s="320" t="s">
        <v>1436</v>
      </c>
      <c r="B14" s="91" t="s">
        <v>1442</v>
      </c>
      <c r="C14" s="46" t="s">
        <v>1443</v>
      </c>
      <c r="D14" s="47"/>
      <c r="E14" s="47"/>
      <c r="F14" s="47"/>
      <c r="G14" s="47"/>
      <c r="H14" s="47"/>
      <c r="I14" s="47"/>
      <c r="J14" s="47"/>
      <c r="K14" s="47"/>
      <c r="L14" s="47"/>
      <c r="M14" s="47"/>
      <c r="N14" s="47"/>
      <c r="O14" s="47"/>
      <c r="P14" s="47"/>
      <c r="Q14" s="47"/>
      <c r="R14" s="47"/>
      <c r="S14" s="47"/>
      <c r="T14" s="47"/>
      <c r="U14" s="47"/>
      <c r="V14" s="47"/>
      <c r="W14" s="47"/>
      <c r="X14" s="47"/>
      <c r="Y14" s="47"/>
      <c r="Z14" s="57"/>
      <c r="AA14" s="52"/>
      <c r="AB14" s="52"/>
      <c r="AC14" s="52"/>
    </row>
    <row r="15" spans="1:29">
      <c r="A15" s="320" t="s">
        <v>448</v>
      </c>
      <c r="B15" s="91">
        <v>0.03</v>
      </c>
      <c r="C15" s="46" t="s">
        <v>1292</v>
      </c>
      <c r="D15" s="47"/>
      <c r="E15" s="47"/>
      <c r="F15" s="47"/>
      <c r="G15" s="47"/>
      <c r="H15" s="47"/>
      <c r="I15" s="47"/>
      <c r="J15" s="47"/>
      <c r="K15" s="47"/>
      <c r="L15" s="47"/>
      <c r="M15" s="47"/>
      <c r="N15" s="47"/>
      <c r="O15" s="47"/>
      <c r="P15" s="47"/>
      <c r="Q15" s="47"/>
      <c r="R15" s="47"/>
      <c r="S15" s="47"/>
      <c r="T15" s="47"/>
      <c r="U15" s="47"/>
      <c r="V15" s="47"/>
      <c r="W15" s="47"/>
      <c r="X15" s="47"/>
      <c r="Y15" s="47"/>
      <c r="Z15" s="57"/>
      <c r="AA15" s="52"/>
      <c r="AB15" s="52"/>
      <c r="AC15" s="52"/>
    </row>
    <row r="16" spans="1:29">
      <c r="A16" s="201"/>
      <c r="B16" s="201"/>
      <c r="C16" s="201"/>
      <c r="D16" s="201"/>
      <c r="E16" s="201"/>
      <c r="F16" s="201"/>
      <c r="G16" s="201"/>
      <c r="H16" s="201"/>
      <c r="I16" s="201"/>
      <c r="J16" s="201"/>
      <c r="K16" s="201"/>
      <c r="L16" s="201"/>
      <c r="M16" s="201"/>
      <c r="N16" s="201"/>
      <c r="O16" s="201"/>
      <c r="P16" s="201"/>
      <c r="Q16" s="201"/>
      <c r="R16" s="201"/>
      <c r="S16" s="201"/>
      <c r="T16" s="201"/>
      <c r="U16" s="201"/>
      <c r="V16" s="47"/>
      <c r="W16" s="47"/>
      <c r="X16" s="47"/>
      <c r="Y16" s="47"/>
      <c r="Z16" s="57"/>
      <c r="AA16" s="52"/>
      <c r="AB16" s="52"/>
      <c r="AC16" s="52"/>
    </row>
    <row r="17" spans="1:29">
      <c r="A17" s="46" t="s">
        <v>1293</v>
      </c>
      <c r="B17" s="47"/>
      <c r="C17" s="47"/>
      <c r="D17" s="47"/>
      <c r="E17" s="47"/>
      <c r="F17" s="47"/>
      <c r="G17" s="47"/>
      <c r="H17" s="47"/>
      <c r="I17" s="47"/>
      <c r="J17" s="47"/>
      <c r="K17" s="47"/>
      <c r="L17" s="47"/>
      <c r="M17" s="47"/>
      <c r="N17" s="47"/>
      <c r="O17" s="47"/>
      <c r="P17" s="47"/>
      <c r="Q17" s="47"/>
      <c r="R17" s="47"/>
      <c r="S17" s="47"/>
      <c r="T17" s="47"/>
      <c r="U17" s="47"/>
      <c r="V17" s="47"/>
      <c r="W17" s="47"/>
      <c r="X17" s="47"/>
      <c r="Y17" s="47"/>
      <c r="Z17" s="52"/>
      <c r="AA17" s="52"/>
      <c r="AB17" s="52"/>
      <c r="AC17" s="52"/>
    </row>
    <row r="18" spans="1:29">
      <c r="A18" s="320" t="s">
        <v>2397</v>
      </c>
      <c r="B18" s="320"/>
      <c r="C18" s="320"/>
      <c r="D18" s="320"/>
      <c r="E18" s="320"/>
      <c r="F18" s="320"/>
      <c r="G18" s="320"/>
      <c r="H18" s="320"/>
      <c r="I18" s="320"/>
      <c r="J18" s="320"/>
      <c r="K18" s="320"/>
      <c r="L18" s="320"/>
      <c r="M18" s="320"/>
      <c r="N18" s="320"/>
      <c r="O18" s="320"/>
      <c r="P18" s="320"/>
      <c r="Q18" s="47"/>
      <c r="R18" s="47"/>
      <c r="S18" s="47"/>
      <c r="T18" s="47"/>
      <c r="U18" s="47"/>
      <c r="V18" s="47"/>
      <c r="W18" s="47"/>
      <c r="X18" s="47"/>
      <c r="Y18" s="47"/>
      <c r="Z18" s="52"/>
      <c r="AA18" s="52"/>
      <c r="AB18" s="52"/>
      <c r="AC18" s="52"/>
    </row>
    <row r="19" spans="1:29">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52"/>
      <c r="AA19" s="52"/>
      <c r="AB19" s="52"/>
      <c r="AC19" s="52"/>
    </row>
    <row r="20" spans="1:29">
      <c r="A20" s="46" t="s">
        <v>1357</v>
      </c>
      <c r="B20" s="47"/>
      <c r="C20" s="47"/>
      <c r="D20" s="47"/>
      <c r="E20" s="47"/>
      <c r="F20" s="47"/>
      <c r="G20" s="47"/>
      <c r="H20" s="47"/>
      <c r="I20" s="47"/>
      <c r="J20" s="47"/>
      <c r="K20" s="47"/>
      <c r="L20" s="47"/>
      <c r="M20" s="47"/>
      <c r="N20" s="47"/>
      <c r="O20" s="47"/>
      <c r="P20" s="47"/>
      <c r="Q20" s="47"/>
      <c r="R20" s="47"/>
      <c r="S20" s="47"/>
      <c r="T20" s="47"/>
      <c r="U20" s="47"/>
      <c r="V20" s="47"/>
      <c r="W20" s="47"/>
      <c r="X20" s="47"/>
      <c r="Y20" s="47"/>
      <c r="Z20" s="52"/>
      <c r="AA20" s="52"/>
      <c r="AB20" s="52"/>
      <c r="AC20" s="52"/>
    </row>
    <row r="21" spans="1:29">
      <c r="A21" s="46" t="s">
        <v>1348</v>
      </c>
      <c r="B21" s="46" t="s">
        <v>213</v>
      </c>
      <c r="C21" s="47"/>
      <c r="D21" s="47"/>
      <c r="E21" s="47"/>
      <c r="F21" s="47"/>
      <c r="G21" s="47"/>
      <c r="H21" s="47"/>
      <c r="I21" s="47"/>
      <c r="J21" s="47"/>
      <c r="K21" s="47"/>
      <c r="L21" s="47"/>
      <c r="M21" s="47"/>
      <c r="N21" s="47"/>
      <c r="O21" s="47"/>
      <c r="P21" s="47"/>
      <c r="Q21" s="47"/>
      <c r="R21" s="47"/>
      <c r="S21" s="47"/>
      <c r="T21" s="47"/>
      <c r="U21" s="47"/>
      <c r="V21" s="201"/>
      <c r="W21" s="201"/>
      <c r="X21" s="201"/>
      <c r="Y21" s="201"/>
      <c r="Z21" s="52"/>
      <c r="AA21" s="52"/>
      <c r="AB21" s="52"/>
      <c r="AC21" s="52"/>
    </row>
    <row r="22" spans="1:29">
      <c r="A22" s="320" t="s">
        <v>1349</v>
      </c>
      <c r="B22" s="46" t="s">
        <v>1350</v>
      </c>
      <c r="C22" s="47"/>
      <c r="D22" s="47"/>
      <c r="E22" s="47"/>
      <c r="F22" s="47"/>
      <c r="G22" s="47"/>
      <c r="H22" s="47"/>
      <c r="I22" s="47"/>
      <c r="J22" s="201"/>
      <c r="K22" s="201"/>
      <c r="L22" s="201"/>
      <c r="M22" s="201"/>
      <c r="N22" s="201"/>
      <c r="O22" s="201"/>
      <c r="P22" s="201"/>
      <c r="Q22" s="201"/>
      <c r="R22" s="201"/>
      <c r="S22" s="201"/>
      <c r="T22" s="201"/>
      <c r="U22" s="201"/>
      <c r="V22" s="201"/>
      <c r="W22" s="201"/>
      <c r="X22" s="201"/>
      <c r="Y22" s="201"/>
      <c r="Z22" s="52"/>
      <c r="AA22" s="52"/>
      <c r="AB22" s="52"/>
      <c r="AC22" s="52"/>
    </row>
    <row r="23" spans="1:29">
      <c r="A23" s="320" t="s">
        <v>1351</v>
      </c>
      <c r="B23" s="46" t="s">
        <v>1352</v>
      </c>
      <c r="C23" s="47"/>
      <c r="D23" s="47"/>
      <c r="E23" s="47"/>
      <c r="F23" s="47"/>
      <c r="G23" s="47"/>
      <c r="H23" s="47"/>
      <c r="I23" s="47"/>
      <c r="J23" s="201"/>
      <c r="K23" s="201"/>
      <c r="L23" s="201"/>
      <c r="M23" s="201"/>
      <c r="N23" s="201"/>
      <c r="O23" s="201"/>
      <c r="P23" s="201"/>
      <c r="Q23" s="201"/>
      <c r="R23" s="201"/>
      <c r="S23" s="201"/>
      <c r="T23" s="201"/>
      <c r="U23" s="201"/>
      <c r="V23" s="47"/>
      <c r="W23" s="47"/>
      <c r="X23" s="47"/>
      <c r="Y23" s="47"/>
      <c r="Z23" s="52"/>
      <c r="AA23" s="52"/>
      <c r="AB23" s="52"/>
      <c r="AC23" s="52"/>
    </row>
    <row r="24" spans="1:29">
      <c r="A24" s="320" t="s">
        <v>1353</v>
      </c>
      <c r="B24" s="46" t="s">
        <v>1354</v>
      </c>
      <c r="C24" s="47"/>
      <c r="D24" s="47"/>
      <c r="E24" s="47"/>
      <c r="F24" s="47"/>
      <c r="G24" s="47"/>
      <c r="H24" s="47"/>
      <c r="I24" s="47"/>
      <c r="J24" s="47"/>
      <c r="K24" s="47"/>
      <c r="L24" s="47"/>
      <c r="M24" s="47"/>
      <c r="N24" s="47"/>
      <c r="O24" s="47"/>
      <c r="P24" s="47"/>
      <c r="Q24" s="47"/>
      <c r="R24" s="47"/>
      <c r="S24" s="47"/>
      <c r="T24" s="47"/>
      <c r="U24" s="47"/>
      <c r="V24" s="47"/>
      <c r="W24" s="47"/>
      <c r="X24" s="47"/>
      <c r="Y24" s="47"/>
      <c r="Z24" s="52"/>
      <c r="AA24" s="52"/>
      <c r="AB24" s="52"/>
      <c r="AC24" s="52"/>
    </row>
    <row r="25" spans="1:29">
      <c r="A25" s="320" t="s">
        <v>1355</v>
      </c>
      <c r="B25" s="46" t="s">
        <v>1356</v>
      </c>
      <c r="C25" s="47"/>
      <c r="D25" s="47"/>
      <c r="E25" s="47"/>
      <c r="F25" s="47"/>
      <c r="G25" s="47"/>
      <c r="H25" s="47"/>
      <c r="I25" s="47"/>
      <c r="J25" s="47"/>
      <c r="K25" s="47"/>
      <c r="L25" s="47"/>
      <c r="M25" s="47"/>
      <c r="N25" s="47"/>
      <c r="O25" s="47"/>
      <c r="P25" s="47"/>
      <c r="Q25" s="47"/>
      <c r="R25" s="47"/>
      <c r="S25" s="47"/>
      <c r="T25" s="47"/>
      <c r="U25" s="47"/>
      <c r="V25" s="47"/>
      <c r="W25" s="47"/>
      <c r="X25" s="47"/>
      <c r="Y25" s="47"/>
      <c r="Z25" s="52"/>
      <c r="AA25" s="52"/>
      <c r="AB25" s="52"/>
      <c r="AC25" s="52"/>
    </row>
    <row r="26" spans="1:29">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52"/>
      <c r="AA26" s="52"/>
      <c r="AB26" s="52"/>
      <c r="AC26" s="52"/>
    </row>
    <row r="27" spans="1:29">
      <c r="A27" s="46" t="s">
        <v>989</v>
      </c>
      <c r="B27" s="47"/>
      <c r="C27" s="47"/>
      <c r="D27" s="47"/>
      <c r="E27" s="47"/>
      <c r="F27" s="47"/>
      <c r="G27" s="47"/>
      <c r="H27" s="47"/>
      <c r="I27" s="47"/>
      <c r="J27" s="47"/>
      <c r="K27" s="47"/>
      <c r="L27" s="47"/>
      <c r="M27" s="47"/>
      <c r="N27" s="47"/>
      <c r="O27" s="47"/>
      <c r="P27" s="47"/>
      <c r="Q27" s="47"/>
      <c r="R27" s="47"/>
      <c r="S27" s="47"/>
      <c r="T27" s="47"/>
      <c r="U27" s="47"/>
      <c r="V27" s="47"/>
      <c r="W27" s="47"/>
      <c r="X27" s="47"/>
      <c r="Y27" s="47"/>
      <c r="Z27" s="52"/>
      <c r="AA27" s="52"/>
      <c r="AB27" s="52"/>
      <c r="AC27" s="52"/>
    </row>
    <row r="28" spans="1:29">
      <c r="A28" s="46" t="s">
        <v>1282</v>
      </c>
      <c r="B28" s="46" t="s">
        <v>989</v>
      </c>
      <c r="C28" s="47"/>
      <c r="D28" s="47"/>
      <c r="E28" s="47"/>
      <c r="F28" s="47"/>
      <c r="G28" s="47"/>
      <c r="H28" s="47"/>
      <c r="I28" s="47"/>
      <c r="J28" s="47"/>
      <c r="K28" s="47"/>
      <c r="L28" s="47"/>
      <c r="M28" s="47"/>
      <c r="N28" s="47"/>
      <c r="O28" s="47"/>
      <c r="P28" s="47"/>
      <c r="Q28" s="47"/>
      <c r="R28" s="47"/>
      <c r="S28" s="47"/>
      <c r="T28" s="47"/>
      <c r="U28" s="47"/>
      <c r="V28" s="47"/>
      <c r="W28" s="47"/>
      <c r="X28" s="47"/>
      <c r="Y28" s="47"/>
      <c r="Z28" s="52"/>
      <c r="AA28" s="52"/>
      <c r="AB28" s="52"/>
      <c r="AC28" s="52"/>
    </row>
    <row r="29" spans="1:29">
      <c r="A29" s="320" t="s">
        <v>1358</v>
      </c>
      <c r="B29" s="46" t="s">
        <v>1359</v>
      </c>
      <c r="C29" s="47"/>
      <c r="D29" s="47"/>
      <c r="E29" s="47"/>
      <c r="F29" s="47"/>
      <c r="G29" s="47"/>
      <c r="H29" s="47"/>
      <c r="I29" s="47"/>
      <c r="J29" s="47"/>
      <c r="K29" s="47"/>
      <c r="L29" s="47"/>
      <c r="M29" s="47"/>
      <c r="N29" s="47"/>
      <c r="O29" s="47"/>
      <c r="P29" s="47"/>
      <c r="Q29" s="47"/>
      <c r="R29" s="47"/>
      <c r="S29" s="47"/>
      <c r="T29" s="47"/>
      <c r="U29" s="47"/>
      <c r="V29" s="47"/>
      <c r="W29" s="47"/>
      <c r="X29" s="47"/>
      <c r="Y29" s="47"/>
      <c r="Z29" s="52"/>
      <c r="AA29" s="52"/>
      <c r="AB29" s="52"/>
      <c r="AC29" s="52"/>
    </row>
    <row r="30" spans="1:29">
      <c r="A30" s="320" t="s">
        <v>1360</v>
      </c>
      <c r="B30" s="46" t="s">
        <v>1361</v>
      </c>
      <c r="C30" s="47"/>
      <c r="D30" s="47"/>
      <c r="E30" s="47"/>
      <c r="F30" s="47"/>
      <c r="G30" s="47"/>
      <c r="H30" s="47"/>
      <c r="I30" s="47"/>
      <c r="J30" s="47"/>
      <c r="K30" s="47"/>
      <c r="L30" s="47"/>
      <c r="M30" s="47"/>
      <c r="N30" s="47"/>
      <c r="O30" s="47"/>
      <c r="P30" s="47"/>
      <c r="Q30" s="47"/>
      <c r="R30" s="47"/>
      <c r="S30" s="47"/>
      <c r="T30" s="47"/>
      <c r="U30" s="47"/>
      <c r="V30" s="47"/>
      <c r="W30" s="47"/>
      <c r="X30" s="47"/>
      <c r="Y30" s="47"/>
      <c r="Z30" s="52"/>
      <c r="AA30" s="52"/>
      <c r="AB30" s="52"/>
      <c r="AC30" s="52"/>
    </row>
    <row r="31" spans="1:29">
      <c r="A31" s="320" t="s">
        <v>243</v>
      </c>
      <c r="B31" s="46" t="s">
        <v>1362</v>
      </c>
      <c r="C31" s="47"/>
      <c r="D31" s="47"/>
      <c r="E31" s="47"/>
      <c r="F31" s="47"/>
      <c r="G31" s="47"/>
      <c r="H31" s="47"/>
      <c r="I31" s="47"/>
      <c r="J31" s="47"/>
      <c r="K31" s="47"/>
      <c r="L31" s="47"/>
      <c r="M31" s="47"/>
      <c r="N31" s="47"/>
      <c r="O31" s="47"/>
      <c r="P31" s="47"/>
      <c r="Q31" s="47"/>
      <c r="R31" s="47"/>
      <c r="S31" s="47"/>
      <c r="T31" s="47"/>
      <c r="U31" s="47"/>
      <c r="V31" s="47"/>
      <c r="W31" s="47"/>
      <c r="X31" s="47"/>
      <c r="Y31" s="47"/>
      <c r="Z31" s="52"/>
      <c r="AA31" s="52"/>
      <c r="AB31" s="52"/>
      <c r="AC31" s="52"/>
    </row>
    <row r="32" spans="1:29">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52"/>
      <c r="AA32" s="52"/>
      <c r="AB32" s="52"/>
      <c r="AC32" s="52"/>
    </row>
    <row r="33" spans="1:29">
      <c r="A33" s="46" t="s">
        <v>1438</v>
      </c>
      <c r="B33" s="47"/>
      <c r="C33" s="47"/>
      <c r="D33" s="47"/>
      <c r="E33" s="47"/>
      <c r="F33" s="47"/>
      <c r="G33" s="47"/>
      <c r="H33" s="47"/>
      <c r="I33" s="47"/>
      <c r="J33" s="47"/>
      <c r="K33" s="47"/>
      <c r="L33" s="47"/>
      <c r="M33" s="47"/>
      <c r="N33" s="47"/>
      <c r="O33" s="47"/>
      <c r="P33" s="47"/>
      <c r="Q33" s="47"/>
      <c r="R33" s="47"/>
      <c r="S33" s="47"/>
      <c r="T33" s="47"/>
      <c r="U33" s="47"/>
      <c r="V33" s="47"/>
      <c r="W33" s="47"/>
      <c r="X33" s="47"/>
      <c r="Y33" s="47"/>
      <c r="Z33" s="52"/>
      <c r="AA33" s="52"/>
      <c r="AB33" s="52"/>
      <c r="AC33" s="52"/>
    </row>
    <row r="34" spans="1:29">
      <c r="A34" s="46" t="s">
        <v>1363</v>
      </c>
      <c r="B34" s="46" t="s">
        <v>1214</v>
      </c>
      <c r="C34" s="47"/>
      <c r="D34" s="47"/>
      <c r="E34" s="47"/>
      <c r="F34" s="47"/>
      <c r="G34" s="47"/>
      <c r="H34" s="47"/>
      <c r="I34" s="47"/>
      <c r="J34" s="47"/>
      <c r="K34" s="47"/>
      <c r="L34" s="47"/>
      <c r="M34" s="47"/>
      <c r="N34" s="47"/>
      <c r="O34" s="47"/>
      <c r="P34" s="47"/>
      <c r="Q34" s="47"/>
      <c r="R34" s="47"/>
      <c r="S34" s="47"/>
      <c r="T34" s="47"/>
      <c r="U34" s="47"/>
      <c r="V34" s="47"/>
      <c r="W34" s="47"/>
      <c r="X34" s="47"/>
      <c r="Y34" s="47"/>
      <c r="Z34" s="52"/>
      <c r="AA34" s="52"/>
      <c r="AB34" s="52"/>
      <c r="AC34" s="52"/>
    </row>
    <row r="35" spans="1:29">
      <c r="A35" s="320" t="s">
        <v>143</v>
      </c>
      <c r="B35" s="46" t="s">
        <v>1364</v>
      </c>
      <c r="C35" s="47"/>
      <c r="D35" s="47"/>
      <c r="E35" s="47"/>
      <c r="F35" s="47"/>
      <c r="G35" s="47"/>
      <c r="H35" s="47"/>
      <c r="I35" s="47"/>
      <c r="J35" s="47"/>
      <c r="K35" s="47"/>
      <c r="L35" s="47"/>
      <c r="M35" s="47"/>
      <c r="N35" s="47"/>
      <c r="O35" s="47"/>
      <c r="P35" s="47"/>
      <c r="Q35" s="47"/>
      <c r="R35" s="47"/>
      <c r="S35" s="47"/>
      <c r="T35" s="47"/>
      <c r="U35" s="47"/>
      <c r="V35" s="47"/>
      <c r="W35" s="47"/>
      <c r="X35" s="47"/>
      <c r="Y35" s="47"/>
      <c r="Z35" s="52"/>
      <c r="AA35" s="52"/>
      <c r="AB35" s="52"/>
      <c r="AC35" s="52"/>
    </row>
    <row r="36" spans="1:29">
      <c r="A36" s="320" t="s">
        <v>198</v>
      </c>
      <c r="B36" s="46" t="s">
        <v>1364</v>
      </c>
      <c r="C36" s="47"/>
      <c r="D36" s="47"/>
      <c r="E36" s="47"/>
      <c r="F36" s="47"/>
      <c r="G36" s="47"/>
      <c r="H36" s="47"/>
      <c r="I36" s="47"/>
      <c r="J36" s="47"/>
      <c r="K36" s="47"/>
      <c r="L36" s="47"/>
      <c r="M36" s="47"/>
      <c r="N36" s="47"/>
      <c r="O36" s="47"/>
      <c r="P36" s="47"/>
      <c r="Q36" s="47"/>
      <c r="R36" s="47"/>
      <c r="S36" s="47"/>
      <c r="T36" s="47"/>
      <c r="U36" s="47"/>
      <c r="V36" s="47"/>
      <c r="W36" s="47"/>
      <c r="X36" s="47"/>
      <c r="Y36" s="47"/>
      <c r="Z36" s="52"/>
      <c r="AA36" s="52"/>
      <c r="AB36" s="52"/>
      <c r="AC36" s="52"/>
    </row>
    <row r="37" spans="1:29">
      <c r="A37" s="320" t="s">
        <v>1252</v>
      </c>
      <c r="B37" s="46" t="s">
        <v>1000</v>
      </c>
      <c r="C37" s="47"/>
      <c r="D37" s="47"/>
      <c r="E37" s="47"/>
      <c r="F37" s="47"/>
      <c r="G37" s="47"/>
      <c r="H37" s="47"/>
      <c r="I37" s="47"/>
      <c r="J37" s="47"/>
      <c r="K37" s="47"/>
      <c r="L37" s="47"/>
      <c r="M37" s="47"/>
      <c r="N37" s="47"/>
      <c r="O37" s="47"/>
      <c r="P37" s="47"/>
      <c r="Q37" s="47"/>
      <c r="R37" s="47"/>
      <c r="S37" s="47"/>
      <c r="T37" s="47"/>
      <c r="U37" s="47"/>
      <c r="V37" s="47"/>
      <c r="W37" s="47"/>
      <c r="X37" s="47"/>
      <c r="Y37" s="47"/>
      <c r="Z37" s="52"/>
      <c r="AA37" s="52"/>
      <c r="AB37" s="52"/>
      <c r="AC37" s="52"/>
    </row>
    <row r="38" spans="1:29">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52"/>
      <c r="AA38" s="52"/>
      <c r="AB38" s="52"/>
      <c r="AC38" s="52"/>
    </row>
    <row r="39" spans="1:29">
      <c r="A39" s="46" t="s">
        <v>1365</v>
      </c>
      <c r="B39" s="47"/>
      <c r="C39" s="47"/>
      <c r="D39" s="47"/>
      <c r="E39" s="47"/>
      <c r="F39" s="47"/>
      <c r="G39" s="47"/>
      <c r="H39" s="47"/>
      <c r="I39" s="47"/>
      <c r="J39" s="47"/>
      <c r="K39" s="47"/>
      <c r="L39" s="47"/>
      <c r="M39" s="47"/>
      <c r="N39" s="47"/>
      <c r="O39" s="47"/>
      <c r="P39" s="47"/>
      <c r="Q39" s="47"/>
      <c r="R39" s="47"/>
      <c r="S39" s="47"/>
      <c r="T39" s="47"/>
      <c r="U39" s="47"/>
      <c r="V39" s="47"/>
      <c r="W39" s="47"/>
      <c r="X39" s="47"/>
      <c r="Y39" s="47"/>
      <c r="Z39" s="52"/>
      <c r="AA39" s="52"/>
      <c r="AB39" s="52"/>
      <c r="AC39" s="52"/>
    </row>
    <row r="40" spans="1:29">
      <c r="A40" s="46" t="s">
        <v>1282</v>
      </c>
      <c r="B40" s="46" t="s">
        <v>1366</v>
      </c>
      <c r="C40" s="47"/>
      <c r="D40" s="47"/>
      <c r="E40" s="47"/>
      <c r="F40" s="47"/>
      <c r="G40" s="47"/>
      <c r="H40" s="47"/>
      <c r="I40" s="47"/>
      <c r="J40" s="47"/>
      <c r="K40" s="47"/>
      <c r="L40" s="47"/>
      <c r="M40" s="47"/>
      <c r="N40" s="47"/>
      <c r="O40" s="47"/>
      <c r="P40" s="47"/>
      <c r="Q40" s="47"/>
      <c r="R40" s="47"/>
      <c r="S40" s="47"/>
      <c r="T40" s="47"/>
      <c r="U40" s="47"/>
      <c r="V40" s="47"/>
      <c r="W40" s="47"/>
      <c r="X40" s="47"/>
      <c r="Y40" s="47"/>
      <c r="Z40" s="52"/>
      <c r="AA40" s="52"/>
      <c r="AB40" s="52"/>
      <c r="AC40" s="52"/>
    </row>
    <row r="41" spans="1:29">
      <c r="A41" s="320" t="s">
        <v>198</v>
      </c>
      <c r="B41" s="46" t="s">
        <v>1367</v>
      </c>
      <c r="C41" s="47"/>
      <c r="D41" s="47"/>
      <c r="E41" s="47"/>
      <c r="F41" s="47"/>
      <c r="G41" s="47"/>
      <c r="H41" s="47"/>
      <c r="I41" s="47"/>
      <c r="J41" s="47"/>
      <c r="K41" s="47"/>
      <c r="L41" s="47"/>
      <c r="M41" s="47"/>
      <c r="N41" s="47"/>
      <c r="O41" s="47"/>
      <c r="P41" s="47"/>
      <c r="Q41" s="47"/>
      <c r="R41" s="47"/>
      <c r="S41" s="47"/>
      <c r="T41" s="47"/>
      <c r="U41" s="47"/>
      <c r="V41" s="47"/>
      <c r="W41" s="47"/>
      <c r="X41" s="47"/>
      <c r="Y41" s="47"/>
      <c r="Z41" s="52"/>
      <c r="AA41" s="52"/>
      <c r="AB41" s="52"/>
      <c r="AC41" s="52"/>
    </row>
    <row r="42" spans="1:29">
      <c r="A42" s="320" t="s">
        <v>492</v>
      </c>
      <c r="B42" s="46" t="s">
        <v>1367</v>
      </c>
      <c r="C42" s="47"/>
      <c r="D42" s="47"/>
      <c r="E42" s="47"/>
      <c r="F42" s="47"/>
      <c r="G42" s="47"/>
      <c r="H42" s="47"/>
      <c r="I42" s="47"/>
      <c r="J42" s="47"/>
      <c r="K42" s="47"/>
      <c r="L42" s="47"/>
      <c r="M42" s="47"/>
      <c r="N42" s="47"/>
      <c r="O42" s="47"/>
      <c r="P42" s="47"/>
      <c r="Q42" s="47"/>
      <c r="R42" s="47"/>
      <c r="S42" s="47"/>
      <c r="T42" s="47"/>
      <c r="U42" s="47"/>
      <c r="V42" s="47"/>
      <c r="W42" s="47"/>
      <c r="X42" s="47"/>
      <c r="Y42" s="47"/>
      <c r="Z42" s="52"/>
      <c r="AA42" s="52"/>
      <c r="AB42" s="52"/>
      <c r="AC42" s="52"/>
    </row>
    <row r="43" spans="1:29">
      <c r="A43" s="320" t="s">
        <v>1252</v>
      </c>
      <c r="B43" s="46" t="s">
        <v>1000</v>
      </c>
      <c r="C43" s="47"/>
      <c r="D43" s="47"/>
      <c r="E43" s="47"/>
      <c r="F43" s="47"/>
      <c r="G43" s="47"/>
      <c r="H43" s="47"/>
      <c r="I43" s="47"/>
      <c r="J43" s="47"/>
      <c r="K43" s="47"/>
      <c r="L43" s="47"/>
      <c r="M43" s="47"/>
      <c r="N43" s="47"/>
      <c r="O43" s="47"/>
      <c r="P43" s="47"/>
      <c r="Q43" s="47"/>
      <c r="R43" s="47"/>
      <c r="S43" s="47"/>
      <c r="T43" s="47"/>
      <c r="U43" s="47"/>
      <c r="V43" s="47"/>
      <c r="W43" s="47"/>
      <c r="X43" s="47"/>
      <c r="Y43" s="47"/>
      <c r="Z43" s="52"/>
      <c r="AA43" s="52"/>
      <c r="AB43" s="52"/>
      <c r="AC43" s="52"/>
    </row>
    <row r="44" spans="1:29">
      <c r="A44" s="320" t="s">
        <v>448</v>
      </c>
      <c r="B44" s="46" t="s">
        <v>1217</v>
      </c>
      <c r="C44" s="47"/>
      <c r="D44" s="47"/>
      <c r="E44" s="47"/>
      <c r="F44" s="47"/>
      <c r="G44" s="47"/>
      <c r="H44" s="47"/>
      <c r="I44" s="47"/>
      <c r="J44" s="47"/>
      <c r="K44" s="47"/>
      <c r="L44" s="47"/>
      <c r="M44" s="47"/>
      <c r="N44" s="47"/>
      <c r="O44" s="47"/>
      <c r="P44" s="47"/>
      <c r="Q44" s="47"/>
      <c r="R44" s="47"/>
      <c r="S44" s="47"/>
      <c r="T44" s="47"/>
      <c r="U44" s="47"/>
      <c r="V44" s="47"/>
      <c r="W44" s="47"/>
      <c r="X44" s="47"/>
      <c r="Y44" s="47"/>
      <c r="Z44" s="52"/>
      <c r="AA44" s="52"/>
      <c r="AB44" s="52"/>
      <c r="AC44" s="52"/>
    </row>
    <row r="45" spans="1:29">
      <c r="A45" s="63" t="s">
        <v>2402</v>
      </c>
      <c r="B45" s="63"/>
      <c r="C45" s="63"/>
      <c r="D45" s="63"/>
      <c r="E45" s="63"/>
      <c r="F45" s="47"/>
      <c r="G45" s="47"/>
      <c r="H45" s="47"/>
      <c r="I45" s="47"/>
      <c r="J45" s="47"/>
      <c r="K45" s="47"/>
      <c r="L45" s="47"/>
      <c r="M45" s="47"/>
      <c r="N45" s="47"/>
      <c r="O45" s="47"/>
      <c r="P45" s="47"/>
      <c r="Q45" s="47"/>
      <c r="R45" s="47"/>
      <c r="S45" s="47"/>
      <c r="T45" s="47"/>
      <c r="U45" s="47"/>
      <c r="V45" s="47"/>
      <c r="W45" s="47"/>
      <c r="X45" s="47"/>
      <c r="Y45" s="47"/>
      <c r="Z45" s="52"/>
      <c r="AA45" s="52"/>
      <c r="AB45" s="52"/>
      <c r="AC45" s="52"/>
    </row>
    <row r="46" spans="1:29">
      <c r="A46" s="46" t="s">
        <v>1368</v>
      </c>
      <c r="B46" s="46" t="s">
        <v>1372</v>
      </c>
      <c r="C46" s="47"/>
      <c r="D46" s="47"/>
      <c r="E46" s="47"/>
      <c r="F46" s="47"/>
      <c r="G46" s="47"/>
      <c r="H46" s="47"/>
      <c r="I46" s="47"/>
      <c r="J46" s="47"/>
      <c r="K46" s="47"/>
      <c r="L46" s="47"/>
      <c r="M46" s="47"/>
      <c r="N46" s="47"/>
      <c r="O46" s="47"/>
      <c r="P46" s="47"/>
      <c r="Q46" s="47"/>
      <c r="R46" s="47"/>
      <c r="S46" s="47"/>
      <c r="T46" s="47"/>
      <c r="U46" s="47"/>
      <c r="V46" s="47"/>
      <c r="W46" s="47"/>
      <c r="X46" s="47"/>
      <c r="Y46" s="47"/>
      <c r="Z46" s="52"/>
      <c r="AA46" s="52"/>
      <c r="AB46" s="52"/>
      <c r="AC46" s="52"/>
    </row>
    <row r="47" spans="1:29">
      <c r="A47" s="320" t="s">
        <v>1369</v>
      </c>
      <c r="B47" s="46" t="s">
        <v>224</v>
      </c>
      <c r="C47" s="47"/>
      <c r="D47" s="47"/>
      <c r="E47" s="47"/>
      <c r="F47" s="47"/>
      <c r="G47" s="47"/>
      <c r="H47" s="47"/>
      <c r="I47" s="47"/>
      <c r="J47" s="47"/>
      <c r="K47" s="47"/>
      <c r="L47" s="47"/>
      <c r="M47" s="47"/>
      <c r="N47" s="47"/>
      <c r="O47" s="47"/>
      <c r="P47" s="47"/>
      <c r="Q47" s="47"/>
      <c r="R47" s="47"/>
      <c r="S47" s="47"/>
      <c r="T47" s="47"/>
      <c r="U47" s="47"/>
      <c r="V47" s="47"/>
      <c r="W47" s="47"/>
      <c r="X47" s="47"/>
      <c r="Y47" s="47"/>
      <c r="Z47" s="52"/>
      <c r="AA47" s="52"/>
      <c r="AB47" s="52"/>
      <c r="AC47" s="52"/>
    </row>
    <row r="48" spans="1:29">
      <c r="A48" s="320" t="s">
        <v>1370</v>
      </c>
      <c r="B48" s="46" t="s">
        <v>1373</v>
      </c>
      <c r="C48" s="47"/>
      <c r="D48" s="47"/>
      <c r="E48" s="47"/>
      <c r="F48" s="47"/>
      <c r="G48" s="47"/>
      <c r="H48" s="47"/>
      <c r="I48" s="47"/>
      <c r="J48" s="47"/>
      <c r="K48" s="47"/>
      <c r="L48" s="47"/>
      <c r="M48" s="47"/>
      <c r="N48" s="47"/>
      <c r="O48" s="47"/>
      <c r="P48" s="47"/>
      <c r="Q48" s="47"/>
      <c r="R48" s="47"/>
      <c r="S48" s="47"/>
      <c r="T48" s="47"/>
      <c r="U48" s="47"/>
      <c r="V48" s="47"/>
      <c r="W48" s="47"/>
      <c r="X48" s="47"/>
      <c r="Y48" s="47"/>
      <c r="Z48" s="52"/>
      <c r="AA48" s="52"/>
      <c r="AB48" s="52"/>
      <c r="AC48" s="52"/>
    </row>
    <row r="49" spans="1:29">
      <c r="A49" s="320" t="s">
        <v>1371</v>
      </c>
      <c r="B49" s="46" t="s">
        <v>1214</v>
      </c>
      <c r="C49" s="47"/>
      <c r="D49" s="47"/>
      <c r="E49" s="47"/>
      <c r="F49" s="47"/>
      <c r="G49" s="47"/>
      <c r="H49" s="47"/>
      <c r="I49" s="47"/>
      <c r="J49" s="47"/>
      <c r="K49" s="47"/>
      <c r="L49" s="47"/>
      <c r="M49" s="47"/>
      <c r="N49" s="47"/>
      <c r="O49" s="47"/>
      <c r="P49" s="47"/>
      <c r="Q49" s="47"/>
      <c r="R49" s="47"/>
      <c r="S49" s="47"/>
      <c r="T49" s="47"/>
      <c r="U49" s="47"/>
      <c r="V49" s="47"/>
      <c r="W49" s="47"/>
      <c r="X49" s="47"/>
      <c r="Y49" s="47"/>
      <c r="Z49" s="52"/>
      <c r="AA49" s="52"/>
      <c r="AB49" s="52"/>
      <c r="AC49" s="52"/>
    </row>
    <row r="50" spans="1:29">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52"/>
      <c r="AA50" s="52"/>
      <c r="AB50" s="52"/>
      <c r="AC50" s="52"/>
    </row>
    <row r="51" spans="1:29">
      <c r="A51" s="63" t="s">
        <v>1439</v>
      </c>
      <c r="B51" s="63"/>
      <c r="C51" s="47"/>
      <c r="D51" s="47"/>
      <c r="E51" s="47"/>
      <c r="F51" s="47"/>
      <c r="G51" s="47"/>
      <c r="H51" s="47"/>
      <c r="I51" s="47"/>
      <c r="J51" s="47"/>
      <c r="K51" s="47"/>
      <c r="L51" s="47"/>
      <c r="M51" s="47"/>
      <c r="N51" s="47"/>
      <c r="O51" s="47"/>
      <c r="P51" s="47"/>
      <c r="Q51" s="47"/>
      <c r="R51" s="47"/>
      <c r="S51" s="47"/>
      <c r="T51" s="47"/>
      <c r="U51" s="47"/>
      <c r="V51" s="47"/>
      <c r="W51" s="47"/>
      <c r="X51" s="47"/>
      <c r="Y51" s="47"/>
      <c r="Z51" s="52"/>
      <c r="AA51" s="52"/>
      <c r="AB51" s="52"/>
      <c r="AC51" s="52"/>
    </row>
    <row r="52" spans="1:29">
      <c r="A52" s="63" t="s">
        <v>1440</v>
      </c>
      <c r="B52" s="63"/>
      <c r="C52" s="47"/>
      <c r="D52" s="47"/>
      <c r="E52" s="47"/>
      <c r="F52" s="47"/>
      <c r="G52" s="47"/>
      <c r="H52" s="47"/>
      <c r="I52" s="47"/>
      <c r="J52" s="47"/>
      <c r="K52" s="47"/>
      <c r="L52" s="47"/>
      <c r="M52" s="47"/>
      <c r="N52" s="47"/>
      <c r="O52" s="47"/>
      <c r="P52" s="47"/>
      <c r="Q52" s="47"/>
      <c r="R52" s="47"/>
      <c r="S52" s="47"/>
      <c r="T52" s="47"/>
      <c r="U52" s="47"/>
      <c r="V52" s="47"/>
      <c r="W52" s="47"/>
      <c r="X52" s="47"/>
      <c r="Y52" s="47"/>
      <c r="Z52" s="52"/>
      <c r="AA52" s="52"/>
      <c r="AB52" s="52"/>
      <c r="AC52" s="52"/>
    </row>
    <row r="53" spans="1:29">
      <c r="A53" s="63" t="s">
        <v>1441</v>
      </c>
      <c r="B53" s="63"/>
      <c r="C53" s="47"/>
      <c r="D53" s="47"/>
      <c r="E53" s="47"/>
      <c r="F53" s="47"/>
      <c r="G53" s="47"/>
      <c r="H53" s="47"/>
      <c r="I53" s="47"/>
      <c r="J53" s="47"/>
      <c r="K53" s="47"/>
      <c r="L53" s="47"/>
      <c r="M53" s="47"/>
      <c r="N53" s="47"/>
      <c r="O53" s="47"/>
      <c r="P53" s="47"/>
      <c r="Q53" s="47"/>
      <c r="R53" s="47"/>
      <c r="S53" s="47"/>
      <c r="T53" s="47"/>
      <c r="U53" s="47"/>
      <c r="V53" s="47"/>
      <c r="W53" s="47"/>
      <c r="X53" s="47"/>
      <c r="Y53" s="47"/>
      <c r="Z53" s="52"/>
      <c r="AA53" s="52"/>
      <c r="AB53" s="52"/>
      <c r="AC53" s="52"/>
    </row>
    <row r="54" spans="1:29">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52"/>
      <c r="AA54" s="52"/>
      <c r="AB54" s="52"/>
      <c r="AC54" s="52"/>
    </row>
    <row r="55" spans="1:29">
      <c r="A55" s="46" t="s">
        <v>1561</v>
      </c>
      <c r="B55" s="47"/>
      <c r="C55" s="47"/>
      <c r="D55" s="47"/>
      <c r="E55" s="47"/>
      <c r="F55" s="47"/>
      <c r="G55" s="47"/>
      <c r="H55" s="47"/>
      <c r="I55" s="47"/>
      <c r="J55" s="47"/>
      <c r="K55" s="47"/>
      <c r="L55" s="47"/>
      <c r="M55" s="47"/>
      <c r="N55" s="47"/>
      <c r="O55" s="47"/>
      <c r="P55" s="47"/>
      <c r="Q55" s="47"/>
      <c r="R55" s="47"/>
      <c r="S55" s="47"/>
      <c r="T55" s="47"/>
      <c r="U55" s="47"/>
      <c r="V55" s="47"/>
      <c r="W55" s="47"/>
      <c r="X55" s="47"/>
      <c r="Y55" s="47"/>
      <c r="Z55" s="52"/>
      <c r="AA55" s="52"/>
      <c r="AB55" s="52"/>
      <c r="AC55" s="52"/>
    </row>
    <row r="56" spans="1:29">
      <c r="A56" s="308" t="s">
        <v>411</v>
      </c>
      <c r="B56" s="308" t="s">
        <v>1559</v>
      </c>
      <c r="C56" s="308" t="s">
        <v>1560</v>
      </c>
      <c r="D56" s="308" t="s">
        <v>492</v>
      </c>
      <c r="E56" s="47"/>
      <c r="F56" s="47"/>
      <c r="G56" s="47"/>
      <c r="H56" s="47"/>
      <c r="I56" s="47"/>
      <c r="J56" s="47"/>
      <c r="K56" s="47"/>
      <c r="L56" s="47"/>
      <c r="M56" s="47"/>
      <c r="N56" s="47"/>
      <c r="O56" s="47"/>
      <c r="P56" s="47"/>
      <c r="Q56" s="47"/>
      <c r="R56" s="47"/>
      <c r="S56" s="47"/>
      <c r="T56" s="47"/>
      <c r="U56" s="47"/>
      <c r="V56" s="47"/>
      <c r="W56" s="47"/>
      <c r="X56" s="47"/>
      <c r="Y56" s="47"/>
      <c r="Z56" s="52"/>
      <c r="AA56" s="52"/>
      <c r="AB56" s="52"/>
      <c r="AC56" s="52"/>
    </row>
    <row r="57" spans="1:29">
      <c r="A57" s="324">
        <v>2024</v>
      </c>
      <c r="B57" s="324">
        <v>15000</v>
      </c>
      <c r="C57" s="324">
        <v>0.18</v>
      </c>
      <c r="D57" s="309">
        <f>B57*C57</f>
        <v>2700</v>
      </c>
      <c r="E57" s="47"/>
      <c r="F57" s="47"/>
      <c r="G57" s="47"/>
      <c r="H57" s="47"/>
      <c r="I57" s="47"/>
      <c r="J57" s="47"/>
      <c r="K57" s="47"/>
      <c r="L57" s="47"/>
      <c r="M57" s="47"/>
      <c r="N57" s="47"/>
      <c r="O57" s="47"/>
      <c r="P57" s="47"/>
      <c r="Q57" s="47"/>
      <c r="R57" s="47"/>
      <c r="S57" s="47"/>
      <c r="T57" s="47"/>
      <c r="U57" s="47"/>
      <c r="V57" s="47"/>
      <c r="W57" s="47"/>
      <c r="X57" s="47"/>
      <c r="Y57" s="47"/>
      <c r="Z57" s="52"/>
      <c r="AA57" s="52"/>
      <c r="AB57" s="52"/>
      <c r="AC57" s="52"/>
    </row>
    <row r="58" spans="1:29">
      <c r="A58" s="324">
        <v>2025</v>
      </c>
      <c r="B58" s="324">
        <v>16500</v>
      </c>
      <c r="C58" s="324">
        <v>0.19</v>
      </c>
      <c r="D58" s="309">
        <f>B58*C58</f>
        <v>3135</v>
      </c>
      <c r="E58" s="47"/>
      <c r="F58" s="47"/>
      <c r="G58" s="47"/>
      <c r="H58" s="47"/>
      <c r="I58" s="47"/>
      <c r="J58" s="47"/>
      <c r="K58" s="47"/>
      <c r="L58" s="47"/>
      <c r="M58" s="47"/>
      <c r="N58" s="47"/>
      <c r="O58" s="47"/>
      <c r="P58" s="47"/>
      <c r="Q58" s="47"/>
      <c r="R58" s="47"/>
      <c r="S58" s="47"/>
      <c r="T58" s="47"/>
      <c r="U58" s="47"/>
      <c r="V58" s="47"/>
      <c r="W58" s="47"/>
      <c r="X58" s="47"/>
      <c r="Y58" s="47"/>
      <c r="Z58" s="52"/>
      <c r="AA58" s="52"/>
      <c r="AB58" s="52"/>
      <c r="AC58" s="52"/>
    </row>
    <row r="59" spans="1:29">
      <c r="A59" s="324">
        <v>2026</v>
      </c>
      <c r="B59" s="324">
        <v>18200</v>
      </c>
      <c r="C59" s="324">
        <v>0.2</v>
      </c>
      <c r="D59" s="309">
        <f>B59*C59</f>
        <v>3640</v>
      </c>
      <c r="E59" s="47"/>
      <c r="F59" s="47"/>
      <c r="G59" s="47"/>
      <c r="H59" s="47"/>
      <c r="I59" s="47"/>
      <c r="J59" s="47"/>
      <c r="K59" s="47"/>
      <c r="L59" s="47"/>
      <c r="M59" s="47"/>
      <c r="N59" s="47"/>
      <c r="O59" s="47"/>
      <c r="P59" s="47"/>
      <c r="Q59" s="47"/>
      <c r="R59" s="47"/>
      <c r="S59" s="47"/>
      <c r="T59" s="47"/>
      <c r="U59" s="47"/>
      <c r="V59" s="47"/>
      <c r="W59" s="47"/>
      <c r="X59" s="47"/>
      <c r="Y59" s="47"/>
      <c r="Z59" s="52"/>
      <c r="AA59" s="52"/>
      <c r="AB59" s="52"/>
      <c r="AC59" s="52"/>
    </row>
    <row r="60" spans="1:29">
      <c r="A60" s="324">
        <v>2027</v>
      </c>
      <c r="B60" s="324">
        <v>20000</v>
      </c>
      <c r="C60" s="324">
        <v>0.21</v>
      </c>
      <c r="D60" s="309">
        <f>B60*C60</f>
        <v>4200</v>
      </c>
      <c r="E60" s="47"/>
      <c r="F60" s="47"/>
      <c r="G60" s="47"/>
      <c r="H60" s="47"/>
      <c r="I60" s="47"/>
      <c r="J60" s="47"/>
      <c r="K60" s="47"/>
      <c r="L60" s="47"/>
      <c r="M60" s="47"/>
      <c r="N60" s="47"/>
      <c r="O60" s="47"/>
      <c r="P60" s="47"/>
      <c r="Q60" s="47"/>
      <c r="R60" s="47"/>
      <c r="S60" s="47"/>
      <c r="T60" s="47"/>
      <c r="U60" s="47"/>
      <c r="V60" s="47"/>
      <c r="W60" s="47"/>
      <c r="X60" s="47"/>
      <c r="Y60" s="47"/>
      <c r="Z60" s="52"/>
      <c r="AA60" s="52"/>
      <c r="AB60" s="52"/>
      <c r="AC60" s="52"/>
    </row>
    <row r="61" spans="1:29">
      <c r="A61" s="47"/>
      <c r="B61" s="47"/>
      <c r="C61" s="47"/>
      <c r="D61" s="47"/>
      <c r="E61" s="47"/>
      <c r="F61" s="47"/>
      <c r="G61" s="47"/>
      <c r="H61" s="47"/>
      <c r="I61" s="47"/>
      <c r="J61" s="47"/>
      <c r="K61" s="47"/>
      <c r="L61" s="47"/>
      <c r="M61" s="47"/>
      <c r="N61" s="47"/>
      <c r="O61" s="47"/>
      <c r="P61" s="47"/>
      <c r="Q61" s="47"/>
      <c r="R61" s="47"/>
      <c r="S61" s="47"/>
      <c r="T61" s="47"/>
      <c r="U61" s="47"/>
      <c r="V61" s="201"/>
      <c r="W61" s="201"/>
      <c r="X61" s="201"/>
      <c r="Y61" s="201"/>
      <c r="Z61" s="52"/>
      <c r="AA61" s="52"/>
      <c r="AB61" s="52"/>
      <c r="AC61" s="52"/>
    </row>
    <row r="62" spans="1:29">
      <c r="A62" s="46" t="s">
        <v>1585</v>
      </c>
      <c r="B62" s="47"/>
      <c r="C62" s="47"/>
      <c r="D62" s="47"/>
      <c r="E62" s="47"/>
      <c r="F62" s="47"/>
      <c r="G62" s="47"/>
      <c r="H62" s="47"/>
      <c r="I62" s="47"/>
      <c r="J62" s="201"/>
      <c r="K62" s="201"/>
      <c r="L62" s="201"/>
      <c r="M62" s="201"/>
      <c r="N62" s="201"/>
      <c r="O62" s="201"/>
      <c r="P62" s="201"/>
      <c r="Q62" s="201"/>
      <c r="R62" s="201"/>
      <c r="S62" s="201"/>
      <c r="T62" s="201"/>
      <c r="U62" s="201"/>
      <c r="V62" s="201"/>
      <c r="W62" s="201"/>
      <c r="X62" s="201"/>
      <c r="Y62" s="201"/>
      <c r="Z62" s="52"/>
      <c r="AA62" s="52"/>
      <c r="AB62" s="52"/>
      <c r="AC62" s="52"/>
    </row>
    <row r="63" spans="1:29">
      <c r="A63" s="46" t="s">
        <v>411</v>
      </c>
      <c r="B63" s="46" t="s">
        <v>1586</v>
      </c>
      <c r="C63" s="46" t="s">
        <v>1624</v>
      </c>
      <c r="D63" s="46" t="s">
        <v>1625</v>
      </c>
      <c r="E63" s="46" t="s">
        <v>1358</v>
      </c>
      <c r="F63" s="47"/>
      <c r="G63" s="47"/>
      <c r="H63" s="47"/>
      <c r="I63" s="47"/>
      <c r="J63" s="201"/>
      <c r="K63" s="201"/>
      <c r="L63" s="201"/>
      <c r="M63" s="201"/>
      <c r="N63" s="201"/>
      <c r="O63" s="201"/>
      <c r="P63" s="201"/>
      <c r="Q63" s="201"/>
      <c r="R63" s="201"/>
      <c r="S63" s="201"/>
      <c r="T63" s="201"/>
      <c r="U63" s="201"/>
      <c r="V63" s="201"/>
      <c r="W63" s="201"/>
      <c r="X63" s="201"/>
      <c r="Y63" s="201"/>
      <c r="Z63" s="52"/>
      <c r="AA63" s="52"/>
      <c r="AB63" s="52"/>
      <c r="AC63" s="52"/>
    </row>
    <row r="64" spans="1:29">
      <c r="A64" s="320">
        <v>2024</v>
      </c>
      <c r="B64" s="320">
        <v>1000</v>
      </c>
      <c r="C64" s="320">
        <v>15</v>
      </c>
      <c r="D64" s="320">
        <v>100</v>
      </c>
      <c r="E64" s="310">
        <f>B64*C64*D64</f>
        <v>1500000</v>
      </c>
      <c r="F64" s="47"/>
      <c r="G64" s="47"/>
      <c r="H64" s="47"/>
      <c r="I64" s="47"/>
      <c r="J64" s="201"/>
      <c r="K64" s="201"/>
      <c r="L64" s="201"/>
      <c r="M64" s="201"/>
      <c r="N64" s="201"/>
      <c r="O64" s="201"/>
      <c r="P64" s="201"/>
      <c r="Q64" s="201"/>
      <c r="R64" s="201"/>
      <c r="S64" s="201"/>
      <c r="T64" s="201"/>
      <c r="U64" s="201"/>
      <c r="V64" s="201"/>
      <c r="W64" s="201"/>
      <c r="X64" s="201"/>
      <c r="Y64" s="201"/>
      <c r="Z64" s="52"/>
      <c r="AA64" s="52"/>
      <c r="AB64" s="52"/>
      <c r="AC64" s="52"/>
    </row>
    <row r="65" spans="1:29">
      <c r="A65" s="320">
        <v>2025</v>
      </c>
      <c r="B65" s="320">
        <v>1100</v>
      </c>
      <c r="C65" s="320">
        <v>16</v>
      </c>
      <c r="D65" s="320">
        <v>105</v>
      </c>
      <c r="E65" s="310">
        <f>B65*C65*D65</f>
        <v>1848000</v>
      </c>
      <c r="F65" s="47"/>
      <c r="G65" s="47"/>
      <c r="H65" s="47"/>
      <c r="I65" s="47"/>
      <c r="J65" s="201"/>
      <c r="K65" s="201"/>
      <c r="L65" s="201"/>
      <c r="M65" s="201"/>
      <c r="N65" s="201"/>
      <c r="O65" s="201"/>
      <c r="P65" s="201"/>
      <c r="Q65" s="201"/>
      <c r="R65" s="201"/>
      <c r="S65" s="201"/>
      <c r="T65" s="201"/>
      <c r="U65" s="201"/>
      <c r="V65" s="201"/>
      <c r="W65" s="201"/>
      <c r="X65" s="201"/>
      <c r="Y65" s="201"/>
      <c r="Z65" s="52"/>
      <c r="AA65" s="52"/>
      <c r="AB65" s="52"/>
      <c r="AC65" s="52"/>
    </row>
    <row r="66" spans="1:29">
      <c r="A66" s="320">
        <v>2026</v>
      </c>
      <c r="B66" s="320">
        <v>1200</v>
      </c>
      <c r="C66" s="320">
        <v>17</v>
      </c>
      <c r="D66" s="320">
        <v>110</v>
      </c>
      <c r="E66" s="310">
        <f>B66*C66*D66</f>
        <v>2244000</v>
      </c>
      <c r="F66" s="47"/>
      <c r="G66" s="47"/>
      <c r="H66" s="47"/>
      <c r="I66" s="47"/>
      <c r="J66" s="201"/>
      <c r="K66" s="201"/>
      <c r="L66" s="201"/>
      <c r="M66" s="201"/>
      <c r="N66" s="201"/>
      <c r="O66" s="201"/>
      <c r="P66" s="201"/>
      <c r="Q66" s="201"/>
      <c r="R66" s="201"/>
      <c r="S66" s="201"/>
      <c r="T66" s="201"/>
      <c r="U66" s="201"/>
      <c r="V66" s="201"/>
      <c r="W66" s="201"/>
      <c r="X66" s="201"/>
      <c r="Y66" s="201"/>
      <c r="Z66" s="52"/>
      <c r="AA66" s="52"/>
      <c r="AB66" s="52"/>
      <c r="AC66" s="52"/>
    </row>
    <row r="67" spans="1:29">
      <c r="A67" s="47"/>
      <c r="B67" s="47"/>
      <c r="C67" s="47"/>
      <c r="D67" s="47"/>
      <c r="E67" s="47"/>
      <c r="F67" s="47"/>
      <c r="G67" s="47"/>
      <c r="H67" s="47"/>
      <c r="I67" s="47"/>
      <c r="J67" s="201"/>
      <c r="K67" s="201"/>
      <c r="L67" s="201"/>
      <c r="M67" s="201"/>
      <c r="N67" s="201"/>
      <c r="O67" s="201"/>
      <c r="P67" s="201"/>
      <c r="Q67" s="201"/>
      <c r="R67" s="201"/>
      <c r="S67" s="201"/>
      <c r="T67" s="201"/>
      <c r="U67" s="201"/>
      <c r="V67" s="201"/>
      <c r="W67" s="201"/>
      <c r="X67" s="201"/>
      <c r="Y67" s="201"/>
      <c r="Z67" s="52"/>
      <c r="AA67" s="52"/>
      <c r="AB67" s="52"/>
      <c r="AC67" s="52"/>
    </row>
    <row r="68" spans="1:29">
      <c r="A68" s="46" t="s">
        <v>1565</v>
      </c>
      <c r="B68" s="47"/>
      <c r="C68" s="47"/>
      <c r="D68" s="47"/>
      <c r="E68" s="47"/>
      <c r="F68" s="47"/>
      <c r="G68" s="47"/>
      <c r="H68" s="47"/>
      <c r="I68" s="47"/>
      <c r="J68" s="201"/>
      <c r="K68" s="201"/>
      <c r="L68" s="201"/>
      <c r="M68" s="201"/>
      <c r="N68" s="201"/>
      <c r="O68" s="201"/>
      <c r="P68" s="201"/>
      <c r="Q68" s="201"/>
      <c r="R68" s="201"/>
      <c r="S68" s="201"/>
      <c r="T68" s="201"/>
      <c r="U68" s="201"/>
      <c r="V68" s="201"/>
      <c r="W68" s="201"/>
      <c r="X68" s="201"/>
      <c r="Y68" s="201"/>
      <c r="Z68" s="52"/>
      <c r="AA68" s="52"/>
      <c r="AB68" s="52"/>
      <c r="AC68" s="52"/>
    </row>
    <row r="69" spans="1:29">
      <c r="A69" s="46" t="s">
        <v>411</v>
      </c>
      <c r="B69" s="46" t="s">
        <v>1358</v>
      </c>
      <c r="C69" s="46" t="s">
        <v>1626</v>
      </c>
      <c r="D69" s="46" t="s">
        <v>492</v>
      </c>
      <c r="E69" s="46" t="s">
        <v>1478</v>
      </c>
      <c r="F69" s="47"/>
      <c r="G69" s="47"/>
      <c r="H69" s="47"/>
      <c r="I69" s="47"/>
      <c r="J69" s="201"/>
      <c r="K69" s="201"/>
      <c r="L69" s="201"/>
      <c r="M69" s="201"/>
      <c r="N69" s="201"/>
      <c r="O69" s="201"/>
      <c r="P69" s="201"/>
      <c r="Q69" s="201"/>
      <c r="R69" s="201"/>
      <c r="S69" s="201"/>
      <c r="T69" s="201"/>
      <c r="U69" s="201"/>
      <c r="V69" s="201"/>
      <c r="W69" s="201"/>
      <c r="X69" s="201"/>
      <c r="Y69" s="201"/>
      <c r="Z69" s="52"/>
      <c r="AA69" s="52"/>
      <c r="AB69" s="52"/>
      <c r="AC69" s="52"/>
    </row>
    <row r="70" spans="1:29">
      <c r="A70" s="320">
        <v>2024</v>
      </c>
      <c r="B70" s="335">
        <v>1500000</v>
      </c>
      <c r="C70" s="336">
        <v>1.8E-3</v>
      </c>
      <c r="D70" s="310">
        <f>B70*C70</f>
        <v>2700</v>
      </c>
      <c r="E70" s="320" t="s">
        <v>1741</v>
      </c>
      <c r="F70" s="320"/>
      <c r="G70" s="320"/>
      <c r="H70" s="320"/>
      <c r="I70" s="320"/>
      <c r="J70" s="201"/>
      <c r="K70" s="201"/>
      <c r="L70" s="201"/>
      <c r="M70" s="201"/>
      <c r="N70" s="201"/>
      <c r="O70" s="201"/>
      <c r="P70" s="201"/>
      <c r="Q70" s="201"/>
      <c r="R70" s="201"/>
      <c r="S70" s="201"/>
      <c r="T70" s="201"/>
      <c r="U70" s="201"/>
      <c r="V70" s="201"/>
      <c r="W70" s="201"/>
      <c r="X70" s="201"/>
      <c r="Y70" s="201"/>
      <c r="Z70" s="52"/>
      <c r="AA70" s="52"/>
      <c r="AB70" s="52"/>
      <c r="AC70" s="52"/>
    </row>
    <row r="71" spans="1:29">
      <c r="A71" s="320">
        <v>2025</v>
      </c>
      <c r="B71" s="335">
        <v>1848000</v>
      </c>
      <c r="C71" s="336">
        <v>1.6999999999999999E-3</v>
      </c>
      <c r="D71" s="310">
        <f>B71*C71</f>
        <v>3141.6</v>
      </c>
      <c r="E71" s="320" t="s">
        <v>1742</v>
      </c>
      <c r="F71" s="320"/>
      <c r="G71" s="320"/>
      <c r="H71" s="320"/>
      <c r="I71" s="320"/>
      <c r="J71" s="201"/>
      <c r="K71" s="201"/>
      <c r="L71" s="201"/>
      <c r="M71" s="201"/>
      <c r="N71" s="201"/>
      <c r="O71" s="201"/>
      <c r="P71" s="201"/>
      <c r="Q71" s="201"/>
      <c r="R71" s="201"/>
      <c r="S71" s="201"/>
      <c r="T71" s="201"/>
      <c r="U71" s="201"/>
      <c r="V71" s="201"/>
      <c r="W71" s="201"/>
      <c r="X71" s="201"/>
      <c r="Y71" s="201"/>
      <c r="Z71" s="52"/>
      <c r="AA71" s="52"/>
      <c r="AB71" s="52"/>
      <c r="AC71" s="52"/>
    </row>
    <row r="72" spans="1:29">
      <c r="A72" s="320">
        <v>2026</v>
      </c>
      <c r="B72" s="335">
        <v>2244000</v>
      </c>
      <c r="C72" s="336">
        <v>1.6000000000000001E-3</v>
      </c>
      <c r="D72" s="310">
        <f>B72*C72</f>
        <v>3590.4</v>
      </c>
      <c r="E72" s="47"/>
      <c r="F72" s="47"/>
      <c r="G72" s="47"/>
      <c r="H72" s="47"/>
      <c r="I72" s="47"/>
      <c r="J72" s="201"/>
      <c r="K72" s="201"/>
      <c r="L72" s="201"/>
      <c r="M72" s="201"/>
      <c r="N72" s="201"/>
      <c r="O72" s="201"/>
      <c r="P72" s="201"/>
      <c r="Q72" s="201"/>
      <c r="R72" s="201"/>
      <c r="S72" s="201"/>
      <c r="T72" s="201"/>
      <c r="U72" s="201"/>
      <c r="V72" s="201"/>
      <c r="W72" s="201"/>
      <c r="X72" s="201"/>
      <c r="Y72" s="201"/>
      <c r="Z72" s="52"/>
      <c r="AA72" s="52"/>
      <c r="AB72" s="52"/>
      <c r="AC72" s="52"/>
    </row>
    <row r="73" spans="1:29">
      <c r="A73" s="46" t="s">
        <v>1587</v>
      </c>
      <c r="B73" s="47"/>
      <c r="C73" s="47"/>
      <c r="D73" s="47"/>
      <c r="E73" s="47"/>
      <c r="F73" s="47"/>
      <c r="G73" s="47"/>
      <c r="H73" s="47"/>
      <c r="I73" s="47"/>
      <c r="J73" s="201"/>
      <c r="K73" s="201"/>
      <c r="L73" s="201"/>
      <c r="M73" s="201"/>
      <c r="N73" s="201"/>
      <c r="O73" s="201"/>
      <c r="P73" s="201"/>
      <c r="Q73" s="201"/>
      <c r="R73" s="201"/>
      <c r="S73" s="201"/>
      <c r="T73" s="201"/>
      <c r="U73" s="201"/>
      <c r="V73" s="201"/>
      <c r="W73" s="201"/>
      <c r="X73" s="201"/>
      <c r="Y73" s="201"/>
      <c r="Z73" s="52"/>
      <c r="AA73" s="52"/>
      <c r="AB73" s="52"/>
      <c r="AC73" s="52"/>
    </row>
    <row r="74" spans="1:29">
      <c r="A74" s="46" t="s">
        <v>411</v>
      </c>
      <c r="B74" s="46" t="s">
        <v>492</v>
      </c>
      <c r="C74" s="46" t="s">
        <v>1627</v>
      </c>
      <c r="D74" s="46" t="s">
        <v>144</v>
      </c>
      <c r="E74" s="47"/>
      <c r="F74" s="47"/>
      <c r="G74" s="47"/>
      <c r="H74" s="47"/>
      <c r="I74" s="47"/>
      <c r="J74" s="201"/>
      <c r="K74" s="201"/>
      <c r="L74" s="201"/>
      <c r="M74" s="201"/>
      <c r="N74" s="201"/>
      <c r="O74" s="201"/>
      <c r="P74" s="201"/>
      <c r="Q74" s="201"/>
      <c r="R74" s="201"/>
      <c r="S74" s="201"/>
      <c r="T74" s="201"/>
      <c r="U74" s="201"/>
      <c r="V74" s="201"/>
      <c r="W74" s="201"/>
      <c r="X74" s="201"/>
      <c r="Y74" s="201"/>
      <c r="Z74" s="52"/>
      <c r="AA74" s="52"/>
      <c r="AB74" s="52"/>
      <c r="AC74" s="52"/>
    </row>
    <row r="75" spans="1:29">
      <c r="A75" s="320">
        <v>2024</v>
      </c>
      <c r="B75" s="320">
        <v>2700</v>
      </c>
      <c r="C75" s="330">
        <v>0.4</v>
      </c>
      <c r="D75" s="311">
        <f>B75*(1-C75)</f>
        <v>1620</v>
      </c>
      <c r="E75" s="47"/>
      <c r="F75" s="47"/>
      <c r="G75" s="47"/>
      <c r="H75" s="47"/>
      <c r="I75" s="47"/>
      <c r="J75" s="201"/>
      <c r="K75" s="201"/>
      <c r="L75" s="201"/>
      <c r="M75" s="201"/>
      <c r="N75" s="201"/>
      <c r="O75" s="201"/>
      <c r="P75" s="201"/>
      <c r="Q75" s="201"/>
      <c r="R75" s="201"/>
      <c r="S75" s="201"/>
      <c r="T75" s="201"/>
      <c r="U75" s="201"/>
      <c r="V75" s="201"/>
      <c r="W75" s="201"/>
      <c r="X75" s="201"/>
      <c r="Y75" s="201"/>
      <c r="Z75" s="52"/>
      <c r="AA75" s="52"/>
      <c r="AB75" s="52"/>
      <c r="AC75" s="52"/>
    </row>
    <row r="76" spans="1:29">
      <c r="A76" s="320">
        <v>2025</v>
      </c>
      <c r="B76" s="320">
        <v>3135</v>
      </c>
      <c r="C76" s="330">
        <v>0.42</v>
      </c>
      <c r="D76" s="311">
        <f>B76*(1-C76)</f>
        <v>1818.3000000000002</v>
      </c>
      <c r="E76" s="47"/>
      <c r="F76" s="47"/>
      <c r="G76" s="47"/>
      <c r="H76" s="47"/>
      <c r="I76" s="47"/>
      <c r="J76" s="201"/>
      <c r="K76" s="201"/>
      <c r="L76" s="201"/>
      <c r="M76" s="201"/>
      <c r="N76" s="201"/>
      <c r="O76" s="201"/>
      <c r="P76" s="201"/>
      <c r="Q76" s="201"/>
      <c r="R76" s="201"/>
      <c r="S76" s="201"/>
      <c r="T76" s="201"/>
      <c r="U76" s="201"/>
      <c r="V76" s="201"/>
      <c r="W76" s="201"/>
      <c r="X76" s="201"/>
      <c r="Y76" s="201"/>
      <c r="Z76" s="52"/>
      <c r="AA76" s="52"/>
      <c r="AB76" s="52"/>
      <c r="AC76" s="52"/>
    </row>
    <row r="77" spans="1:29">
      <c r="A77" s="320">
        <v>2026</v>
      </c>
      <c r="B77" s="320">
        <v>3640</v>
      </c>
      <c r="C77" s="330">
        <v>0.43</v>
      </c>
      <c r="D77" s="311">
        <f>B77*(1-C77)</f>
        <v>2074.8000000000002</v>
      </c>
      <c r="E77" s="47"/>
      <c r="F77" s="47"/>
      <c r="G77" s="47"/>
      <c r="H77" s="47"/>
      <c r="I77" s="47"/>
      <c r="J77" s="201"/>
      <c r="K77" s="201"/>
      <c r="L77" s="201"/>
      <c r="M77" s="201"/>
      <c r="N77" s="201"/>
      <c r="O77" s="201"/>
      <c r="P77" s="201"/>
      <c r="Q77" s="201"/>
      <c r="R77" s="201"/>
      <c r="S77" s="201"/>
      <c r="T77" s="201"/>
      <c r="U77" s="201"/>
      <c r="V77" s="201"/>
      <c r="W77" s="201"/>
      <c r="X77" s="201"/>
      <c r="Y77" s="201"/>
      <c r="Z77" s="52"/>
      <c r="AA77" s="52"/>
      <c r="AB77" s="52"/>
      <c r="AC77" s="52"/>
    </row>
    <row r="78" spans="1:29">
      <c r="A78" s="47"/>
      <c r="B78" s="47"/>
      <c r="C78" s="47"/>
      <c r="D78" s="47"/>
      <c r="E78" s="47"/>
      <c r="F78" s="47"/>
      <c r="G78" s="47"/>
      <c r="H78" s="47"/>
      <c r="I78" s="47"/>
      <c r="J78" s="201"/>
      <c r="K78" s="201"/>
      <c r="L78" s="201"/>
      <c r="M78" s="201"/>
      <c r="N78" s="201"/>
      <c r="O78" s="201"/>
      <c r="P78" s="201"/>
      <c r="Q78" s="201"/>
      <c r="R78" s="201"/>
      <c r="S78" s="201"/>
      <c r="T78" s="201"/>
      <c r="U78" s="201"/>
      <c r="V78" s="201"/>
      <c r="W78" s="201"/>
      <c r="X78" s="201"/>
      <c r="Y78" s="201"/>
      <c r="Z78" s="52"/>
      <c r="AA78" s="52"/>
      <c r="AB78" s="52"/>
      <c r="AC78" s="52"/>
    </row>
    <row r="79" spans="1:29">
      <c r="A79" s="320" t="s">
        <v>1743</v>
      </c>
      <c r="B79" s="320"/>
      <c r="C79" s="320"/>
      <c r="D79" s="47"/>
      <c r="E79" s="47"/>
      <c r="F79" s="47"/>
      <c r="G79" s="47"/>
      <c r="H79" s="47"/>
      <c r="I79" s="47"/>
      <c r="J79" s="201"/>
      <c r="K79" s="201"/>
      <c r="L79" s="201"/>
      <c r="M79" s="201"/>
      <c r="N79" s="201"/>
      <c r="O79" s="201"/>
      <c r="P79" s="201"/>
      <c r="Q79" s="201"/>
      <c r="R79" s="201"/>
      <c r="S79" s="201"/>
      <c r="T79" s="201"/>
      <c r="U79" s="201"/>
      <c r="V79" s="201"/>
      <c r="W79" s="201"/>
      <c r="X79" s="201"/>
      <c r="Y79" s="201"/>
      <c r="Z79" s="52"/>
      <c r="AA79" s="52"/>
      <c r="AB79" s="52"/>
      <c r="AC79" s="52"/>
    </row>
    <row r="80" spans="1:29">
      <c r="A80" s="47"/>
      <c r="B80" s="47"/>
      <c r="C80" s="47"/>
      <c r="D80" s="47"/>
      <c r="E80" s="47"/>
      <c r="F80" s="47"/>
      <c r="G80" s="47"/>
      <c r="H80" s="47"/>
      <c r="I80" s="47"/>
      <c r="J80" s="201"/>
      <c r="K80" s="201"/>
      <c r="L80" s="201"/>
      <c r="M80" s="201"/>
      <c r="N80" s="201"/>
      <c r="O80" s="201"/>
      <c r="P80" s="201"/>
      <c r="Q80" s="201"/>
      <c r="R80" s="201"/>
      <c r="S80" s="201"/>
      <c r="T80" s="201"/>
      <c r="U80" s="201"/>
      <c r="V80" s="201"/>
      <c r="W80" s="201"/>
      <c r="X80" s="201"/>
      <c r="Y80" s="201"/>
      <c r="Z80" s="52"/>
      <c r="AA80" s="52"/>
      <c r="AB80" s="52"/>
      <c r="AC80" s="52"/>
    </row>
    <row r="81" spans="1:29">
      <c r="A81" s="320" t="s">
        <v>2401</v>
      </c>
      <c r="B81" s="320"/>
      <c r="C81" s="320"/>
      <c r="D81" s="320"/>
      <c r="E81" s="320"/>
      <c r="F81" s="320"/>
      <c r="G81" s="320"/>
      <c r="H81" s="320"/>
      <c r="I81" s="320"/>
      <c r="J81" s="375"/>
      <c r="K81" s="375"/>
      <c r="L81" s="375"/>
      <c r="M81" s="201"/>
      <c r="N81" s="201"/>
      <c r="O81" s="201"/>
      <c r="P81" s="201"/>
      <c r="Q81" s="201"/>
      <c r="R81" s="201"/>
      <c r="S81" s="201"/>
      <c r="T81" s="201"/>
      <c r="U81" s="201"/>
      <c r="V81" s="201"/>
      <c r="W81" s="201"/>
      <c r="X81" s="201"/>
      <c r="Y81" s="201"/>
      <c r="Z81" s="52"/>
      <c r="AA81" s="52"/>
      <c r="AB81" s="52"/>
      <c r="AC81" s="52"/>
    </row>
    <row r="82" spans="1:29">
      <c r="A82" s="47"/>
      <c r="B82" s="47"/>
      <c r="C82" s="47"/>
      <c r="D82" s="47"/>
      <c r="E82" s="47"/>
      <c r="F82" s="47"/>
      <c r="G82" s="47"/>
      <c r="H82" s="47"/>
      <c r="I82" s="47"/>
      <c r="J82" s="201"/>
      <c r="K82" s="201"/>
      <c r="L82" s="201"/>
      <c r="M82" s="201"/>
      <c r="N82" s="201"/>
      <c r="O82" s="201"/>
      <c r="P82" s="201"/>
      <c r="Q82" s="201"/>
      <c r="R82" s="201"/>
      <c r="S82" s="201"/>
      <c r="T82" s="201"/>
      <c r="U82" s="201"/>
      <c r="V82" s="201"/>
      <c r="W82" s="201"/>
      <c r="X82" s="201"/>
      <c r="Y82" s="201"/>
      <c r="Z82" s="52"/>
      <c r="AA82" s="52"/>
      <c r="AB82" s="52"/>
      <c r="AC82" s="52"/>
    </row>
    <row r="83" spans="1:29">
      <c r="A83" s="320" t="s">
        <v>2182</v>
      </c>
      <c r="B83" s="320"/>
      <c r="C83" s="320"/>
      <c r="D83" s="320"/>
      <c r="E83" s="47"/>
      <c r="F83" s="47"/>
      <c r="G83" s="47"/>
      <c r="H83" s="47"/>
      <c r="I83" s="47"/>
      <c r="J83" s="201"/>
      <c r="K83" s="201"/>
      <c r="L83" s="201"/>
      <c r="M83" s="201"/>
      <c r="N83" s="201"/>
      <c r="O83" s="201"/>
      <c r="P83" s="201"/>
      <c r="Q83" s="201"/>
      <c r="R83" s="201"/>
      <c r="S83" s="201"/>
      <c r="T83" s="201"/>
      <c r="U83" s="201"/>
      <c r="V83" s="201"/>
      <c r="W83" s="201"/>
      <c r="X83" s="201"/>
      <c r="Y83" s="201"/>
      <c r="Z83" s="52"/>
      <c r="AA83" s="52"/>
      <c r="AB83" s="52"/>
      <c r="AC83" s="52"/>
    </row>
    <row r="84" spans="1:29">
      <c r="A84" s="47"/>
      <c r="B84" s="47"/>
      <c r="C84" s="47"/>
      <c r="D84" s="47"/>
      <c r="E84" s="47"/>
      <c r="F84" s="47"/>
      <c r="G84" s="47"/>
      <c r="H84" s="47"/>
      <c r="I84" s="47"/>
      <c r="J84" s="201"/>
      <c r="K84" s="201"/>
      <c r="L84" s="201"/>
      <c r="M84" s="201"/>
      <c r="N84" s="201"/>
      <c r="O84" s="201"/>
      <c r="P84" s="201"/>
      <c r="Q84" s="201"/>
      <c r="R84" s="201"/>
      <c r="S84" s="201"/>
      <c r="T84" s="201"/>
      <c r="U84" s="201"/>
      <c r="V84" s="201"/>
      <c r="W84" s="201"/>
      <c r="X84" s="201"/>
      <c r="Y84" s="201"/>
      <c r="Z84" s="52"/>
      <c r="AA84" s="52"/>
      <c r="AB84" s="52"/>
      <c r="AC84" s="52"/>
    </row>
    <row r="85" spans="1:29">
      <c r="A85" s="320" t="s">
        <v>2183</v>
      </c>
      <c r="B85" s="320"/>
      <c r="C85" s="320"/>
      <c r="D85" s="320"/>
      <c r="E85" s="47"/>
      <c r="F85" s="47"/>
      <c r="G85" s="47"/>
      <c r="H85" s="47"/>
      <c r="I85" s="47"/>
      <c r="J85" s="201"/>
      <c r="K85" s="201"/>
      <c r="L85" s="201"/>
      <c r="M85" s="201"/>
      <c r="N85" s="201"/>
      <c r="O85" s="201"/>
      <c r="P85" s="201"/>
      <c r="Q85" s="201"/>
      <c r="R85" s="201"/>
      <c r="S85" s="201"/>
      <c r="T85" s="201"/>
      <c r="U85" s="201"/>
      <c r="V85" s="201"/>
      <c r="W85" s="201"/>
      <c r="X85" s="201"/>
      <c r="Y85" s="201"/>
      <c r="Z85" s="52"/>
      <c r="AA85" s="52"/>
      <c r="AB85" s="52"/>
      <c r="AC85" s="52"/>
    </row>
    <row r="86" spans="1:29">
      <c r="A86" s="47"/>
      <c r="B86" s="47"/>
      <c r="C86" s="47"/>
      <c r="D86" s="47"/>
      <c r="E86" s="47"/>
      <c r="F86" s="47"/>
      <c r="G86" s="47"/>
      <c r="H86" s="47"/>
      <c r="I86" s="47"/>
      <c r="J86" s="201"/>
      <c r="K86" s="201"/>
      <c r="L86" s="201"/>
      <c r="M86" s="201"/>
      <c r="N86" s="201"/>
      <c r="O86" s="201"/>
      <c r="P86" s="201"/>
      <c r="Q86" s="201"/>
      <c r="R86" s="201"/>
      <c r="S86" s="201"/>
      <c r="T86" s="201"/>
      <c r="U86" s="201"/>
      <c r="V86" s="201"/>
      <c r="W86" s="201"/>
      <c r="X86" s="201"/>
      <c r="Y86" s="201"/>
      <c r="Z86" s="52"/>
      <c r="AA86" s="52"/>
      <c r="AB86" s="52"/>
      <c r="AC86" s="52"/>
    </row>
    <row r="87" spans="1:29">
      <c r="A87" s="63" t="s">
        <v>2396</v>
      </c>
      <c r="B87" s="63"/>
      <c r="C87" s="63"/>
      <c r="D87" s="63"/>
      <c r="E87" s="63"/>
      <c r="F87" s="63"/>
      <c r="G87" s="63"/>
      <c r="H87" s="63"/>
      <c r="I87" s="63"/>
      <c r="J87" s="390"/>
      <c r="K87" s="390"/>
      <c r="L87" s="201"/>
      <c r="M87" s="201"/>
      <c r="N87" s="201"/>
      <c r="O87" s="201"/>
      <c r="P87" s="201"/>
      <c r="Q87" s="201"/>
      <c r="R87" s="201"/>
      <c r="S87" s="201"/>
      <c r="T87" s="201"/>
      <c r="U87" s="201"/>
      <c r="V87" s="201"/>
      <c r="W87" s="201"/>
      <c r="X87" s="201"/>
      <c r="Y87" s="201"/>
      <c r="Z87" s="52"/>
      <c r="AA87" s="52"/>
      <c r="AB87" s="52"/>
      <c r="AC87" s="52"/>
    </row>
    <row r="88" spans="1:29">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52"/>
      <c r="AA88" s="52"/>
      <c r="AB88" s="52"/>
      <c r="AC88" s="52"/>
    </row>
    <row r="89" spans="1:29">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52"/>
      <c r="AA89" s="52"/>
      <c r="AB89" s="52"/>
      <c r="AC89" s="52"/>
    </row>
    <row r="90" spans="1:29">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52"/>
      <c r="AA90" s="52"/>
      <c r="AB90" s="52"/>
      <c r="AC90" s="52"/>
    </row>
    <row r="91" spans="1:29">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row>
    <row r="92" spans="1:29">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row>
    <row r="93" spans="1:29">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row>
    <row r="94" spans="1:29">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row>
    <row r="95" spans="1:29">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row>
    <row r="96" spans="1:29">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row>
    <row r="97" spans="1:29">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row>
    <row r="98" spans="1:29">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row>
    <row r="99" spans="1:2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row>
    <row r="100" spans="1:29">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row>
    <row r="101" spans="1:29">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row>
    <row r="102" spans="1:29">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row>
    <row r="103" spans="1:29">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row>
    <row r="104" spans="1:29">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row>
    <row r="105" spans="1:29">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row>
    <row r="106" spans="1:29">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row>
    <row r="107" spans="1:29">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row>
    <row r="108" spans="1:29">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row>
    <row r="109" spans="1:2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row>
    <row r="110" spans="1:29">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row>
    <row r="111" spans="1:29">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row>
    <row r="112" spans="1:29">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row>
    <row r="113" spans="1:29">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row>
    <row r="114" spans="1:29">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row>
    <row r="115" spans="1:29">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row>
    <row r="116" spans="1:29">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row>
    <row r="117" spans="1:29">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row>
    <row r="118" spans="1:29">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row>
    <row r="119" spans="1:2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row>
    <row r="120" spans="1:29">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row>
    <row r="121" spans="1:29">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row>
    <row r="122" spans="1:29">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row>
    <row r="123" spans="1:29">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row>
    <row r="124" spans="1:29">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row>
    <row r="125" spans="1:29">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row>
    <row r="126" spans="1:29">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row>
    <row r="127" spans="1:29">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row>
    <row r="128" spans="1:29">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row>
    <row r="129" spans="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row>
    <row r="130" spans="1:29">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row>
    <row r="131" spans="1:29">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row>
    <row r="132" spans="1:29">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row>
    <row r="133" spans="1:29">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row>
    <row r="134" spans="1:29">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row>
    <row r="135" spans="1:29">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row>
    <row r="136" spans="1:29">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row>
    <row r="137" spans="1:29">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row>
    <row r="138" spans="1:29">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row>
    <row r="139" spans="1:2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row>
    <row r="140" spans="1:29">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row>
    <row r="141" spans="1:29">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row>
    <row r="142" spans="1:29">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row>
    <row r="143" spans="1:29">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row>
    <row r="144" spans="1:29">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row>
    <row r="145" spans="1:29">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row>
    <row r="146" spans="1:29">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row>
    <row r="147" spans="1:29">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row>
    <row r="148" spans="1:29">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row>
    <row r="149" spans="1:2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row>
    <row r="150" spans="1:29">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row>
    <row r="151" spans="1:29">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row>
    <row r="152" spans="1:29">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row>
    <row r="153" spans="1:29">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row>
    <row r="154" spans="1:29">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row>
    <row r="155" spans="1:29">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row>
    <row r="156" spans="1:29">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row>
    <row r="157" spans="1:29">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row>
    <row r="158" spans="1:29">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row>
    <row r="159" spans="1:2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row>
    <row r="160" spans="1:29">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row>
    <row r="161" spans="1:29">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row>
    <row r="162" spans="1:29">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row>
    <row r="163" spans="1:29">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row>
    <row r="164" spans="1:29">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row>
    <row r="165" spans="1:29">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row>
    <row r="166" spans="1:29">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row>
    <row r="167" spans="1:29">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row>
    <row r="168" spans="1:29">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row>
    <row r="169" spans="1:2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row>
    <row r="170" spans="1:29">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row>
    <row r="171" spans="1:29">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row>
    <row r="172" spans="1:29">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row>
    <row r="173" spans="1:29">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row>
    <row r="174" spans="1:29">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row>
    <row r="175" spans="1:29">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row>
    <row r="176" spans="1:29">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row>
    <row r="177" spans="1:29">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row>
    <row r="178" spans="1:29">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row>
    <row r="179" spans="1:2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row>
    <row r="180" spans="1:29">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row>
  </sheetData>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CE7B3-687A-4358-9C86-0BB654B7F861}">
  <dimension ref="A1:AA101"/>
  <sheetViews>
    <sheetView zoomScale="80" zoomScaleNormal="80" workbookViewId="0"/>
  </sheetViews>
  <sheetFormatPr defaultRowHeight="14"/>
  <cols>
    <col min="1" max="1" width="198.1640625" customWidth="1"/>
    <col min="2" max="2" width="30" customWidth="1"/>
    <col min="3" max="3" width="42.25" customWidth="1"/>
    <col min="4" max="4" width="15" customWidth="1"/>
    <col min="5" max="5" width="11.25" customWidth="1"/>
    <col min="8" max="8" width="9.58203125" customWidth="1"/>
  </cols>
  <sheetData>
    <row r="1" spans="1:27">
      <c r="A1" s="46" t="s">
        <v>1306</v>
      </c>
      <c r="B1" s="47"/>
      <c r="C1" s="47"/>
      <c r="D1" s="47"/>
      <c r="E1" s="46" t="s">
        <v>1317</v>
      </c>
      <c r="F1" s="46"/>
      <c r="G1" s="46"/>
      <c r="H1" s="52"/>
      <c r="I1" s="50"/>
      <c r="J1" s="52"/>
      <c r="K1" s="52"/>
      <c r="L1" s="52"/>
      <c r="M1" s="52"/>
      <c r="N1" s="52"/>
      <c r="O1" s="52"/>
      <c r="P1" s="52"/>
      <c r="Q1" s="52"/>
      <c r="R1" s="52"/>
      <c r="S1" s="52"/>
      <c r="T1" s="52"/>
      <c r="U1" s="52"/>
      <c r="V1" s="52"/>
      <c r="W1" s="52"/>
      <c r="X1" s="52"/>
      <c r="Y1" s="52"/>
      <c r="Z1" s="52"/>
      <c r="AA1" s="52"/>
    </row>
    <row r="2" spans="1:27">
      <c r="A2" s="46" t="s">
        <v>450</v>
      </c>
      <c r="B2" s="46" t="s">
        <v>284</v>
      </c>
      <c r="C2" s="47"/>
      <c r="D2" s="47"/>
      <c r="E2" s="47"/>
      <c r="F2" s="47"/>
      <c r="G2" s="47"/>
      <c r="H2" s="50"/>
      <c r="I2" s="50"/>
      <c r="J2" s="52"/>
      <c r="K2" s="52"/>
      <c r="L2" s="52"/>
      <c r="M2" s="52"/>
      <c r="N2" s="52"/>
      <c r="O2" s="52"/>
      <c r="P2" s="52"/>
      <c r="Q2" s="52"/>
      <c r="R2" s="52"/>
      <c r="S2" s="52"/>
      <c r="T2" s="52"/>
      <c r="U2" s="52"/>
      <c r="V2" s="52"/>
      <c r="W2" s="52"/>
      <c r="X2" s="52"/>
      <c r="Y2" s="52"/>
      <c r="Z2" s="52"/>
      <c r="AA2" s="52"/>
    </row>
    <row r="3" spans="1:27">
      <c r="A3" s="320" t="s">
        <v>1307</v>
      </c>
      <c r="B3" s="88">
        <f>'DCF Valuation'!B8</f>
        <v>0.03</v>
      </c>
      <c r="C3" s="47"/>
      <c r="D3" s="47"/>
      <c r="E3" s="47"/>
      <c r="F3" s="47"/>
      <c r="G3" s="47"/>
      <c r="H3" s="50"/>
      <c r="I3" s="50"/>
      <c r="J3" s="52"/>
      <c r="K3" s="52"/>
      <c r="L3" s="52"/>
      <c r="M3" s="52"/>
      <c r="N3" s="52"/>
      <c r="O3" s="52"/>
      <c r="P3" s="52"/>
      <c r="Q3" s="52"/>
      <c r="R3" s="52"/>
      <c r="S3" s="52"/>
      <c r="T3" s="52"/>
      <c r="U3" s="52"/>
      <c r="V3" s="52"/>
      <c r="W3" s="52"/>
      <c r="X3" s="52"/>
      <c r="Y3" s="52"/>
      <c r="Z3" s="52"/>
      <c r="AA3" s="52"/>
    </row>
    <row r="4" spans="1:27">
      <c r="A4" s="320" t="s">
        <v>198</v>
      </c>
      <c r="B4" s="459">
        <f>'DCF Valuation'!B13</f>
        <v>9.4791293758066303E-2</v>
      </c>
      <c r="C4" s="47"/>
      <c r="D4" s="47"/>
      <c r="E4" s="47"/>
      <c r="F4" s="47"/>
      <c r="G4" s="47"/>
      <c r="H4" s="50"/>
      <c r="I4" s="50"/>
      <c r="J4" s="52"/>
      <c r="K4" s="52"/>
      <c r="L4" s="52"/>
      <c r="M4" s="52"/>
      <c r="N4" s="52"/>
      <c r="O4" s="52"/>
      <c r="P4" s="52"/>
      <c r="Q4" s="52"/>
      <c r="R4" s="52"/>
      <c r="S4" s="52"/>
      <c r="T4" s="52"/>
      <c r="U4" s="52"/>
      <c r="V4" s="52"/>
      <c r="W4" s="52"/>
      <c r="X4" s="52"/>
      <c r="Y4" s="52"/>
      <c r="Z4" s="52"/>
      <c r="AA4" s="52"/>
    </row>
    <row r="5" spans="1:27">
      <c r="A5" s="320" t="s">
        <v>1444</v>
      </c>
      <c r="B5" s="48">
        <f>'DCF Valuation'!B35</f>
        <v>386.11179448578162</v>
      </c>
      <c r="C5" s="47"/>
      <c r="D5" s="47"/>
      <c r="E5" s="47"/>
      <c r="F5" s="47"/>
      <c r="G5" s="47"/>
      <c r="H5" s="50"/>
      <c r="I5" s="50"/>
      <c r="J5" s="52"/>
      <c r="K5" s="52"/>
      <c r="L5" s="52"/>
      <c r="M5" s="52"/>
      <c r="N5" s="52"/>
      <c r="O5" s="52"/>
      <c r="P5" s="52"/>
      <c r="Q5" s="52"/>
      <c r="R5" s="52"/>
      <c r="S5" s="52"/>
      <c r="T5" s="52"/>
      <c r="U5" s="52"/>
      <c r="V5" s="52"/>
      <c r="W5" s="52"/>
      <c r="X5" s="52"/>
      <c r="Y5" s="52"/>
      <c r="Z5" s="52"/>
      <c r="AA5" s="52"/>
    </row>
    <row r="6" spans="1:27">
      <c r="A6" s="63" t="s">
        <v>2121</v>
      </c>
      <c r="B6" s="47"/>
      <c r="C6" s="47"/>
      <c r="D6" s="47"/>
      <c r="E6" s="47"/>
      <c r="F6" s="47"/>
      <c r="G6" s="47"/>
      <c r="H6" s="50"/>
      <c r="I6" s="50"/>
      <c r="J6" s="52"/>
      <c r="K6" s="52"/>
      <c r="L6" s="52"/>
      <c r="M6" s="52"/>
      <c r="N6" s="52"/>
      <c r="O6" s="52"/>
      <c r="P6" s="52"/>
      <c r="Q6" s="52"/>
      <c r="R6" s="52"/>
      <c r="S6" s="52"/>
      <c r="T6" s="52"/>
      <c r="U6" s="52"/>
      <c r="V6" s="52"/>
      <c r="W6" s="52"/>
      <c r="X6" s="52"/>
      <c r="Y6" s="52"/>
      <c r="Z6" s="52"/>
      <c r="AA6" s="52"/>
    </row>
    <row r="7" spans="1:27" ht="17.149999999999999" customHeight="1">
      <c r="A7" s="320" t="s">
        <v>1319</v>
      </c>
      <c r="B7" s="320" t="s">
        <v>1309</v>
      </c>
      <c r="C7" s="47"/>
      <c r="D7" s="47"/>
      <c r="E7" s="47"/>
      <c r="F7" s="47"/>
      <c r="G7" s="47"/>
      <c r="H7" s="50"/>
      <c r="I7" s="50"/>
      <c r="J7" s="52"/>
      <c r="K7" s="52"/>
      <c r="L7" s="52"/>
      <c r="M7" s="52"/>
      <c r="N7" s="52"/>
      <c r="O7" s="52"/>
      <c r="P7" s="52"/>
      <c r="Q7" s="52"/>
      <c r="R7" s="52"/>
      <c r="S7" s="52"/>
      <c r="T7" s="52"/>
      <c r="U7" s="52"/>
      <c r="V7" s="52"/>
      <c r="W7" s="52"/>
      <c r="X7" s="52"/>
      <c r="Y7" s="52"/>
      <c r="Z7" s="52"/>
      <c r="AA7" s="52"/>
    </row>
    <row r="8" spans="1:27" ht="23.15" customHeight="1">
      <c r="A8" s="46" t="s">
        <v>1616</v>
      </c>
      <c r="B8" s="88">
        <v>2.5000000000000001E-2</v>
      </c>
      <c r="C8" s="88" t="s">
        <v>2055</v>
      </c>
      <c r="D8" s="88">
        <v>3.5000000000000003E-2</v>
      </c>
      <c r="E8" s="47"/>
      <c r="F8" s="47"/>
      <c r="G8" s="47"/>
      <c r="H8" s="50"/>
      <c r="I8" s="50"/>
      <c r="J8" s="52"/>
      <c r="K8" s="52"/>
      <c r="L8" s="52"/>
      <c r="M8" s="52"/>
      <c r="N8" s="52"/>
      <c r="O8" s="52"/>
      <c r="P8" s="52"/>
      <c r="Q8" s="52"/>
      <c r="R8" s="52"/>
      <c r="S8" s="52"/>
      <c r="T8" s="52"/>
      <c r="U8" s="52"/>
      <c r="V8" s="52"/>
      <c r="W8" s="52"/>
      <c r="X8" s="52"/>
      <c r="Y8" s="52"/>
      <c r="Z8" s="52"/>
      <c r="AA8" s="52"/>
    </row>
    <row r="9" spans="1:27">
      <c r="A9" s="88">
        <v>8.5000000000000006E-2</v>
      </c>
      <c r="B9" s="48">
        <v>360</v>
      </c>
      <c r="C9" s="48">
        <v>390</v>
      </c>
      <c r="D9" s="48">
        <v>420</v>
      </c>
      <c r="E9" s="47"/>
      <c r="F9" s="47"/>
      <c r="G9" s="47"/>
      <c r="H9" s="50"/>
      <c r="I9" s="50"/>
      <c r="J9" s="52"/>
      <c r="K9" s="52"/>
      <c r="L9" s="52"/>
      <c r="M9" s="52"/>
      <c r="N9" s="52"/>
      <c r="O9" s="52"/>
      <c r="P9" s="52"/>
      <c r="Q9" s="52"/>
      <c r="R9" s="52"/>
      <c r="S9" s="52"/>
      <c r="T9" s="52"/>
      <c r="U9" s="52"/>
      <c r="V9" s="52"/>
      <c r="W9" s="52"/>
      <c r="X9" s="52"/>
      <c r="Y9" s="52"/>
      <c r="Z9" s="52"/>
      <c r="AA9" s="52"/>
    </row>
    <row r="10" spans="1:27">
      <c r="A10" s="88" t="s">
        <v>2056</v>
      </c>
      <c r="B10" s="48">
        <v>310</v>
      </c>
      <c r="C10" s="162" t="s">
        <v>2057</v>
      </c>
      <c r="D10" s="48">
        <v>370</v>
      </c>
      <c r="E10" s="47"/>
      <c r="F10" s="47"/>
      <c r="G10" s="47"/>
      <c r="H10" s="50"/>
      <c r="I10" s="50"/>
      <c r="J10" s="52"/>
      <c r="K10" s="52"/>
      <c r="L10" s="52"/>
      <c r="M10" s="52"/>
      <c r="N10" s="52"/>
      <c r="O10" s="52"/>
      <c r="P10" s="52"/>
      <c r="Q10" s="52"/>
      <c r="R10" s="52"/>
      <c r="S10" s="52"/>
      <c r="T10" s="52"/>
      <c r="U10" s="52"/>
      <c r="V10" s="52"/>
      <c r="W10" s="52"/>
      <c r="X10" s="52"/>
      <c r="Y10" s="52"/>
      <c r="Z10" s="52"/>
      <c r="AA10" s="52"/>
    </row>
    <row r="11" spans="1:27">
      <c r="A11" s="88">
        <v>0.105</v>
      </c>
      <c r="B11" s="48">
        <v>270</v>
      </c>
      <c r="C11" s="48">
        <v>300</v>
      </c>
      <c r="D11" s="48">
        <v>330</v>
      </c>
      <c r="E11" s="47"/>
      <c r="F11" s="47"/>
      <c r="G11" s="47"/>
      <c r="H11" s="50"/>
      <c r="I11" s="50"/>
      <c r="J11" s="52"/>
      <c r="K11" s="52"/>
      <c r="L11" s="52"/>
      <c r="M11" s="52"/>
      <c r="N11" s="52"/>
      <c r="O11" s="52"/>
      <c r="P11" s="52"/>
      <c r="Q11" s="52"/>
      <c r="R11" s="52"/>
      <c r="S11" s="52"/>
      <c r="T11" s="52"/>
      <c r="U11" s="52"/>
      <c r="V11" s="52"/>
      <c r="W11" s="52"/>
      <c r="X11" s="52"/>
      <c r="Y11" s="52"/>
      <c r="Z11" s="52"/>
      <c r="AA11" s="52"/>
    </row>
    <row r="12" spans="1:27">
      <c r="A12" s="63" t="s">
        <v>1318</v>
      </c>
      <c r="B12" s="47"/>
      <c r="C12" s="47"/>
      <c r="D12" s="47"/>
      <c r="E12" s="47"/>
      <c r="F12" s="47"/>
      <c r="G12" s="47"/>
      <c r="H12" s="50"/>
      <c r="I12" s="50"/>
      <c r="J12" s="52"/>
      <c r="K12" s="52"/>
      <c r="L12" s="52"/>
      <c r="M12" s="52"/>
      <c r="N12" s="52"/>
      <c r="O12" s="52"/>
      <c r="P12" s="52"/>
      <c r="Q12" s="52"/>
      <c r="R12" s="52"/>
      <c r="S12" s="52"/>
      <c r="T12" s="52"/>
      <c r="U12" s="52"/>
      <c r="V12" s="52"/>
      <c r="W12" s="52"/>
      <c r="X12" s="52"/>
      <c r="Y12" s="52"/>
      <c r="Z12" s="52"/>
      <c r="AA12" s="52"/>
    </row>
    <row r="13" spans="1:27">
      <c r="A13" s="46" t="s">
        <v>1310</v>
      </c>
      <c r="B13" s="46" t="s">
        <v>1445</v>
      </c>
      <c r="C13" s="47"/>
      <c r="D13" s="47"/>
      <c r="E13" s="47"/>
      <c r="F13" s="47"/>
      <c r="G13" s="47"/>
      <c r="H13" s="50"/>
      <c r="I13" s="50"/>
      <c r="J13" s="52"/>
      <c r="K13" s="52"/>
      <c r="L13" s="52"/>
      <c r="M13" s="52"/>
      <c r="N13" s="52"/>
      <c r="O13" s="52"/>
      <c r="P13" s="52"/>
      <c r="Q13" s="52"/>
      <c r="R13" s="52"/>
      <c r="S13" s="52"/>
      <c r="T13" s="52"/>
      <c r="U13" s="52"/>
      <c r="V13" s="52"/>
      <c r="W13" s="52"/>
      <c r="X13" s="52"/>
      <c r="Y13" s="52"/>
      <c r="Z13" s="52"/>
      <c r="AA13" s="52"/>
    </row>
    <row r="14" spans="1:27">
      <c r="A14" s="320" t="s">
        <v>2060</v>
      </c>
      <c r="B14" s="320" t="s">
        <v>1446</v>
      </c>
      <c r="C14" s="47"/>
      <c r="D14" s="47"/>
      <c r="E14" s="47"/>
      <c r="F14" s="47"/>
      <c r="G14" s="47"/>
      <c r="H14" s="50"/>
      <c r="I14" s="50"/>
      <c r="J14" s="52"/>
      <c r="K14" s="52"/>
      <c r="L14" s="52"/>
      <c r="M14" s="52"/>
      <c r="N14" s="52"/>
      <c r="O14" s="52"/>
      <c r="P14" s="52"/>
      <c r="Q14" s="52"/>
      <c r="R14" s="52"/>
      <c r="S14" s="52"/>
      <c r="T14" s="52"/>
      <c r="U14" s="52"/>
      <c r="V14" s="52"/>
      <c r="W14" s="52"/>
      <c r="X14" s="52"/>
      <c r="Y14" s="52"/>
      <c r="Z14" s="52"/>
      <c r="AA14" s="52"/>
    </row>
    <row r="15" spans="1:27">
      <c r="A15" s="320"/>
      <c r="B15" s="320" t="s">
        <v>2058</v>
      </c>
      <c r="C15" s="47"/>
      <c r="D15" s="47"/>
      <c r="E15" s="47"/>
      <c r="F15" s="47"/>
      <c r="G15" s="47"/>
      <c r="H15" s="50"/>
      <c r="I15" s="50"/>
      <c r="J15" s="52"/>
      <c r="K15" s="52"/>
      <c r="L15" s="52"/>
      <c r="M15" s="52"/>
      <c r="N15" s="52"/>
      <c r="O15" s="52"/>
      <c r="P15" s="52"/>
      <c r="Q15" s="52"/>
      <c r="R15" s="52"/>
      <c r="S15" s="52"/>
      <c r="T15" s="52"/>
      <c r="U15" s="52"/>
      <c r="V15" s="52"/>
      <c r="W15" s="52"/>
      <c r="X15" s="52"/>
      <c r="Y15" s="52"/>
      <c r="Z15" s="52"/>
      <c r="AA15" s="52"/>
    </row>
    <row r="16" spans="1:27">
      <c r="A16" s="326" t="s">
        <v>2062</v>
      </c>
      <c r="B16" s="320" t="s">
        <v>2059</v>
      </c>
      <c r="C16" s="47"/>
      <c r="D16" s="47"/>
      <c r="E16" s="47"/>
      <c r="F16" s="47"/>
      <c r="G16" s="47"/>
      <c r="H16" s="50"/>
      <c r="I16" s="50"/>
      <c r="J16" s="52"/>
      <c r="K16" s="52"/>
      <c r="L16" s="52"/>
      <c r="M16" s="52"/>
      <c r="N16" s="52"/>
      <c r="O16" s="52"/>
      <c r="P16" s="52"/>
      <c r="Q16" s="52"/>
      <c r="R16" s="52"/>
      <c r="S16" s="52"/>
      <c r="T16" s="52"/>
      <c r="U16" s="52"/>
      <c r="V16" s="52"/>
      <c r="W16" s="52"/>
      <c r="X16" s="52"/>
      <c r="Y16" s="52"/>
      <c r="Z16" s="52"/>
      <c r="AA16" s="52"/>
    </row>
    <row r="17" spans="1:27">
      <c r="A17" s="47"/>
      <c r="B17" s="47"/>
      <c r="C17" s="47"/>
      <c r="D17" s="47"/>
      <c r="E17" s="47"/>
      <c r="F17" s="47"/>
      <c r="G17" s="47"/>
      <c r="H17" s="50"/>
      <c r="I17" s="50"/>
      <c r="J17" s="52"/>
      <c r="K17" s="52"/>
      <c r="L17" s="52"/>
      <c r="M17" s="52"/>
      <c r="N17" s="52"/>
      <c r="O17" s="52"/>
      <c r="P17" s="52"/>
      <c r="Q17" s="52"/>
      <c r="R17" s="52"/>
      <c r="S17" s="52"/>
      <c r="T17" s="52"/>
      <c r="U17" s="52"/>
      <c r="V17" s="52"/>
      <c r="W17" s="52"/>
      <c r="X17" s="52"/>
      <c r="Y17" s="52"/>
      <c r="Z17" s="52"/>
      <c r="AA17" s="52"/>
    </row>
    <row r="18" spans="1:27">
      <c r="A18" s="46" t="s">
        <v>1311</v>
      </c>
      <c r="B18" s="47"/>
      <c r="C18" s="47"/>
      <c r="D18" s="47"/>
      <c r="E18" s="47"/>
      <c r="F18" s="47"/>
      <c r="G18" s="47"/>
      <c r="H18" s="50"/>
      <c r="I18" s="50"/>
      <c r="J18" s="52"/>
      <c r="K18" s="52"/>
      <c r="L18" s="52"/>
      <c r="M18" s="52"/>
      <c r="N18" s="52"/>
      <c r="O18" s="52"/>
      <c r="P18" s="52"/>
      <c r="Q18" s="52"/>
      <c r="R18" s="52"/>
      <c r="S18" s="52"/>
      <c r="T18" s="52"/>
      <c r="U18" s="52"/>
      <c r="V18" s="52"/>
      <c r="W18" s="52"/>
      <c r="X18" s="52"/>
      <c r="Y18" s="52"/>
      <c r="Z18" s="52"/>
      <c r="AA18" s="52"/>
    </row>
    <row r="19" spans="1:27">
      <c r="A19" s="60" t="s">
        <v>1312</v>
      </c>
      <c r="B19" s="320" t="s">
        <v>1313</v>
      </c>
      <c r="C19" s="47"/>
      <c r="D19" s="47"/>
      <c r="E19" s="47"/>
      <c r="F19" s="47"/>
      <c r="G19" s="47"/>
      <c r="H19" s="50"/>
      <c r="I19" s="50"/>
      <c r="J19" s="52"/>
      <c r="K19" s="52"/>
      <c r="L19" s="52"/>
      <c r="M19" s="52"/>
      <c r="N19" s="52"/>
      <c r="O19" s="52"/>
      <c r="P19" s="52"/>
      <c r="Q19" s="52"/>
      <c r="R19" s="52"/>
      <c r="S19" s="52"/>
      <c r="T19" s="52"/>
      <c r="U19" s="52"/>
      <c r="V19" s="52"/>
      <c r="W19" s="52"/>
      <c r="X19" s="52"/>
      <c r="Y19" s="52"/>
      <c r="Z19" s="52"/>
      <c r="AA19" s="52"/>
    </row>
    <row r="20" spans="1:27">
      <c r="A20" s="75" t="s">
        <v>1314</v>
      </c>
      <c r="B20" s="320" t="s">
        <v>1315</v>
      </c>
      <c r="C20" s="47"/>
      <c r="D20" s="47"/>
      <c r="E20" s="47"/>
      <c r="F20" s="47"/>
      <c r="G20" s="47"/>
      <c r="H20" s="50"/>
      <c r="I20" s="50"/>
      <c r="J20" s="52"/>
      <c r="K20" s="52"/>
      <c r="L20" s="52"/>
      <c r="M20" s="52"/>
      <c r="N20" s="52"/>
      <c r="O20" s="52"/>
      <c r="P20" s="52"/>
      <c r="Q20" s="52"/>
      <c r="R20" s="52"/>
      <c r="S20" s="52"/>
      <c r="T20" s="52"/>
      <c r="U20" s="52"/>
      <c r="V20" s="52"/>
      <c r="W20" s="52"/>
      <c r="X20" s="52"/>
      <c r="Y20" s="52"/>
      <c r="Z20" s="52"/>
      <c r="AA20" s="52"/>
    </row>
    <row r="21" spans="1:27">
      <c r="A21" s="47"/>
      <c r="B21" s="47"/>
      <c r="C21" s="47"/>
      <c r="D21" s="47"/>
      <c r="E21" s="47"/>
      <c r="F21" s="47"/>
      <c r="G21" s="47"/>
      <c r="H21" s="50"/>
      <c r="I21" s="50"/>
      <c r="J21" s="52"/>
      <c r="K21" s="52"/>
      <c r="L21" s="52"/>
      <c r="M21" s="52"/>
      <c r="N21" s="52"/>
      <c r="O21" s="52"/>
      <c r="P21" s="52"/>
      <c r="Q21" s="52"/>
      <c r="R21" s="52"/>
      <c r="S21" s="52"/>
      <c r="T21" s="52"/>
      <c r="U21" s="52"/>
      <c r="V21" s="52"/>
      <c r="W21" s="52"/>
      <c r="X21" s="52"/>
      <c r="Y21" s="52"/>
      <c r="Z21" s="52"/>
      <c r="AA21" s="52"/>
    </row>
    <row r="22" spans="1:27">
      <c r="A22" s="46" t="s">
        <v>1316</v>
      </c>
      <c r="B22" s="47"/>
      <c r="C22" s="47"/>
      <c r="D22" s="47"/>
      <c r="E22" s="47"/>
      <c r="F22" s="47"/>
      <c r="G22" s="47"/>
      <c r="H22" s="50"/>
      <c r="I22" s="50"/>
      <c r="J22" s="52"/>
      <c r="K22" s="52"/>
      <c r="L22" s="52"/>
      <c r="M22" s="52"/>
      <c r="N22" s="52"/>
      <c r="O22" s="52"/>
      <c r="P22" s="52"/>
      <c r="Q22" s="52"/>
      <c r="R22" s="52"/>
      <c r="S22" s="52"/>
      <c r="T22" s="52"/>
      <c r="U22" s="52"/>
      <c r="V22" s="52"/>
      <c r="W22" s="52"/>
      <c r="X22" s="52"/>
      <c r="Y22" s="52"/>
      <c r="Z22" s="52"/>
      <c r="AA22" s="52"/>
    </row>
    <row r="23" spans="1:27">
      <c r="A23" s="320" t="s">
        <v>2063</v>
      </c>
      <c r="B23" s="47"/>
      <c r="C23" s="47"/>
      <c r="D23" s="47"/>
      <c r="E23" s="47"/>
      <c r="F23" s="47"/>
      <c r="G23" s="47"/>
      <c r="H23" s="50"/>
      <c r="I23" s="50"/>
      <c r="J23" s="52"/>
      <c r="K23" s="52"/>
      <c r="L23" s="52"/>
      <c r="M23" s="52"/>
      <c r="N23" s="52"/>
      <c r="O23" s="52"/>
      <c r="P23" s="52"/>
      <c r="Q23" s="52"/>
      <c r="R23" s="52"/>
      <c r="S23" s="52"/>
      <c r="T23" s="52"/>
      <c r="U23" s="52"/>
      <c r="V23" s="52"/>
      <c r="W23" s="52"/>
      <c r="X23" s="52"/>
      <c r="Y23" s="52"/>
      <c r="Z23" s="52"/>
      <c r="AA23" s="52"/>
    </row>
    <row r="24" spans="1:27">
      <c r="A24" s="47"/>
      <c r="B24" s="47"/>
      <c r="C24" s="47"/>
      <c r="D24" s="47"/>
      <c r="E24" s="47"/>
      <c r="F24" s="47"/>
      <c r="G24" s="47"/>
      <c r="H24" s="50"/>
      <c r="I24" s="50"/>
      <c r="J24" s="52"/>
      <c r="K24" s="52"/>
      <c r="L24" s="52"/>
      <c r="M24" s="52"/>
      <c r="N24" s="52"/>
      <c r="O24" s="52"/>
      <c r="P24" s="52"/>
      <c r="Q24" s="52"/>
      <c r="R24" s="52"/>
      <c r="S24" s="52"/>
      <c r="T24" s="52"/>
      <c r="U24" s="52"/>
      <c r="V24" s="52"/>
      <c r="W24" s="52"/>
      <c r="X24" s="52"/>
      <c r="Y24" s="52"/>
      <c r="Z24" s="52"/>
      <c r="AA24" s="52"/>
    </row>
    <row r="25" spans="1:27">
      <c r="A25" s="63" t="s">
        <v>2061</v>
      </c>
      <c r="B25" s="47"/>
      <c r="C25" s="47"/>
      <c r="D25" s="47"/>
      <c r="E25" s="47"/>
      <c r="F25" s="47"/>
      <c r="G25" s="47"/>
      <c r="H25" s="50"/>
      <c r="I25" s="50"/>
      <c r="J25" s="52"/>
      <c r="K25" s="52"/>
      <c r="L25" s="52"/>
      <c r="M25" s="52"/>
      <c r="N25" s="52"/>
      <c r="O25" s="52"/>
      <c r="P25" s="52"/>
      <c r="Q25" s="52"/>
      <c r="R25" s="52"/>
      <c r="S25" s="52"/>
      <c r="T25" s="52"/>
      <c r="U25" s="52"/>
      <c r="V25" s="52"/>
      <c r="W25" s="52"/>
      <c r="X25" s="52"/>
      <c r="Y25" s="52"/>
      <c r="Z25" s="52"/>
      <c r="AA25" s="52"/>
    </row>
    <row r="26" spans="1:27">
      <c r="A26" s="46" t="s">
        <v>1668</v>
      </c>
      <c r="B26" s="46"/>
      <c r="C26" s="47"/>
      <c r="D26" s="47"/>
      <c r="E26" s="47"/>
      <c r="F26" s="47"/>
      <c r="G26" s="47"/>
      <c r="H26" s="50"/>
      <c r="I26" s="50"/>
      <c r="J26" s="52"/>
      <c r="K26" s="52"/>
      <c r="L26" s="52"/>
      <c r="M26" s="52"/>
      <c r="N26" s="52"/>
      <c r="O26" s="52"/>
      <c r="P26" s="52"/>
      <c r="Q26" s="52"/>
      <c r="R26" s="52"/>
      <c r="S26" s="52"/>
      <c r="T26" s="52"/>
      <c r="U26" s="52"/>
      <c r="V26" s="52"/>
      <c r="W26" s="52"/>
      <c r="X26" s="52"/>
      <c r="Y26" s="52"/>
      <c r="Z26" s="52"/>
      <c r="AA26" s="52"/>
    </row>
    <row r="27" spans="1:27">
      <c r="A27" s="47"/>
      <c r="B27" s="47"/>
      <c r="C27" s="47"/>
      <c r="D27" s="47"/>
      <c r="E27" s="47"/>
      <c r="F27" s="47"/>
      <c r="G27" s="47"/>
      <c r="H27" s="50"/>
      <c r="I27" s="50"/>
      <c r="J27" s="52"/>
      <c r="K27" s="52"/>
      <c r="L27" s="52"/>
      <c r="M27" s="52"/>
      <c r="N27" s="52"/>
      <c r="O27" s="52"/>
      <c r="P27" s="52"/>
      <c r="Q27" s="52"/>
      <c r="R27" s="52"/>
      <c r="S27" s="52"/>
      <c r="T27" s="52"/>
      <c r="U27" s="52"/>
      <c r="V27" s="52"/>
      <c r="W27" s="52"/>
      <c r="X27" s="52"/>
      <c r="Y27" s="52"/>
      <c r="Z27" s="52"/>
      <c r="AA27" s="52"/>
    </row>
    <row r="28" spans="1:27">
      <c r="A28" s="63" t="s">
        <v>2177</v>
      </c>
      <c r="B28" s="198"/>
      <c r="C28" s="198"/>
      <c r="D28" s="198"/>
      <c r="E28" s="198"/>
      <c r="F28" s="198"/>
      <c r="G28" s="198"/>
      <c r="H28" s="57"/>
      <c r="I28" s="57"/>
      <c r="J28" s="52"/>
      <c r="K28" s="52"/>
      <c r="L28" s="52"/>
      <c r="M28" s="52"/>
      <c r="N28" s="52"/>
      <c r="O28" s="52"/>
      <c r="P28" s="52"/>
      <c r="Q28" s="52"/>
      <c r="R28" s="52"/>
      <c r="S28" s="52"/>
      <c r="T28" s="52"/>
      <c r="U28" s="52"/>
      <c r="V28" s="52"/>
      <c r="W28" s="52"/>
      <c r="X28" s="52"/>
      <c r="Y28" s="52"/>
      <c r="Z28" s="52"/>
      <c r="AA28" s="52"/>
    </row>
    <row r="29" spans="1:27">
      <c r="A29" s="198"/>
      <c r="B29" s="198"/>
      <c r="C29" s="198"/>
      <c r="D29" s="198"/>
      <c r="E29" s="198"/>
      <c r="F29" s="198"/>
      <c r="G29" s="198"/>
      <c r="H29" s="57"/>
      <c r="I29" s="57"/>
      <c r="J29" s="52"/>
      <c r="K29" s="52"/>
      <c r="L29" s="52"/>
      <c r="M29" s="52"/>
      <c r="N29" s="52"/>
      <c r="O29" s="52"/>
      <c r="P29" s="52"/>
      <c r="Q29" s="52"/>
      <c r="R29" s="52"/>
      <c r="S29" s="52"/>
      <c r="T29" s="52"/>
      <c r="U29" s="52"/>
      <c r="V29" s="52"/>
      <c r="W29" s="52"/>
      <c r="X29" s="52"/>
      <c r="Y29" s="52"/>
      <c r="Z29" s="52"/>
      <c r="AA29" s="52"/>
    </row>
    <row r="30" spans="1:27">
      <c r="A30" s="63" t="s">
        <v>2179</v>
      </c>
      <c r="B30" s="198"/>
      <c r="C30" s="198"/>
      <c r="D30" s="198"/>
      <c r="E30" s="198"/>
      <c r="F30" s="198"/>
      <c r="G30" s="198"/>
      <c r="H30" s="57"/>
      <c r="I30" s="57"/>
      <c r="J30" s="52"/>
      <c r="K30" s="52"/>
      <c r="L30" s="52"/>
      <c r="M30" s="52"/>
      <c r="N30" s="52"/>
      <c r="O30" s="52"/>
      <c r="P30" s="52"/>
      <c r="Q30" s="52"/>
      <c r="R30" s="52"/>
      <c r="S30" s="52"/>
      <c r="T30" s="52"/>
      <c r="U30" s="52"/>
      <c r="V30" s="52"/>
      <c r="W30" s="52"/>
      <c r="X30" s="52"/>
      <c r="Y30" s="52"/>
      <c r="Z30" s="52"/>
      <c r="AA30" s="52"/>
    </row>
    <row r="31" spans="1:27">
      <c r="A31" s="198"/>
      <c r="B31" s="198"/>
      <c r="C31" s="198"/>
      <c r="D31" s="198"/>
      <c r="E31" s="198"/>
      <c r="F31" s="198"/>
      <c r="G31" s="198"/>
      <c r="H31" s="57"/>
      <c r="I31" s="57"/>
      <c r="J31" s="52"/>
      <c r="K31" s="52"/>
      <c r="L31" s="52"/>
      <c r="M31" s="52"/>
      <c r="N31" s="52"/>
      <c r="O31" s="52"/>
      <c r="P31" s="52"/>
      <c r="Q31" s="52"/>
      <c r="R31" s="52"/>
      <c r="S31" s="52"/>
      <c r="T31" s="52"/>
      <c r="U31" s="52"/>
      <c r="V31" s="52"/>
      <c r="W31" s="52"/>
      <c r="X31" s="52"/>
      <c r="Y31" s="52"/>
      <c r="Z31" s="52"/>
      <c r="AA31" s="52"/>
    </row>
    <row r="32" spans="1:27">
      <c r="A32" s="63" t="s">
        <v>2180</v>
      </c>
      <c r="B32" s="201"/>
      <c r="C32" s="201"/>
      <c r="D32" s="201"/>
      <c r="E32" s="201"/>
      <c r="F32" s="201"/>
      <c r="G32" s="201"/>
      <c r="H32" s="52"/>
      <c r="I32" s="52"/>
      <c r="J32" s="52"/>
      <c r="K32" s="52"/>
      <c r="L32" s="52"/>
      <c r="M32" s="52"/>
      <c r="N32" s="52"/>
      <c r="O32" s="52"/>
      <c r="P32" s="52"/>
      <c r="Q32" s="52"/>
      <c r="R32" s="52"/>
      <c r="S32" s="52"/>
      <c r="T32" s="52"/>
      <c r="U32" s="52"/>
      <c r="V32" s="52"/>
      <c r="W32" s="52"/>
      <c r="X32" s="52"/>
      <c r="Y32" s="52"/>
      <c r="Z32" s="52"/>
      <c r="AA32" s="52"/>
    </row>
    <row r="33" spans="1:27">
      <c r="A33" s="201"/>
      <c r="B33" s="201"/>
      <c r="C33" s="201"/>
      <c r="D33" s="201"/>
      <c r="E33" s="201"/>
      <c r="F33" s="201"/>
      <c r="G33" s="201"/>
      <c r="H33" s="52"/>
      <c r="I33" s="52"/>
      <c r="J33" s="52"/>
      <c r="K33" s="52"/>
      <c r="L33" s="52"/>
      <c r="M33" s="52"/>
      <c r="N33" s="52"/>
      <c r="O33" s="52"/>
      <c r="P33" s="52"/>
      <c r="Q33" s="52"/>
      <c r="R33" s="52"/>
      <c r="S33" s="52"/>
      <c r="T33" s="52"/>
      <c r="U33" s="52"/>
      <c r="V33" s="52"/>
      <c r="W33" s="52"/>
      <c r="X33" s="52"/>
      <c r="Y33" s="52"/>
      <c r="Z33" s="52"/>
      <c r="AA33" s="52"/>
    </row>
    <row r="34" spans="1:27">
      <c r="A34" s="63" t="s">
        <v>2181</v>
      </c>
      <c r="B34" s="201"/>
      <c r="C34" s="201"/>
      <c r="D34" s="201"/>
      <c r="E34" s="201"/>
      <c r="F34" s="201"/>
      <c r="G34" s="201"/>
      <c r="H34" s="52"/>
      <c r="I34" s="52"/>
      <c r="J34" s="52"/>
      <c r="K34" s="52"/>
      <c r="L34" s="52"/>
      <c r="M34" s="52"/>
      <c r="N34" s="52"/>
      <c r="O34" s="52"/>
      <c r="P34" s="52"/>
      <c r="Q34" s="52"/>
      <c r="R34" s="52"/>
      <c r="S34" s="52"/>
      <c r="T34" s="52"/>
      <c r="U34" s="52"/>
      <c r="V34" s="52"/>
      <c r="W34" s="52"/>
      <c r="X34" s="52"/>
      <c r="Y34" s="52"/>
      <c r="Z34" s="52"/>
      <c r="AA34" s="52"/>
    </row>
    <row r="35" spans="1:27">
      <c r="A35" s="201"/>
      <c r="B35" s="201"/>
      <c r="C35" s="201"/>
      <c r="D35" s="201"/>
      <c r="E35" s="201"/>
      <c r="F35" s="201"/>
      <c r="G35" s="201"/>
      <c r="H35" s="52"/>
      <c r="I35" s="52"/>
      <c r="J35" s="52"/>
      <c r="K35" s="52"/>
      <c r="L35" s="52"/>
      <c r="M35" s="52"/>
      <c r="N35" s="52"/>
      <c r="O35" s="52"/>
      <c r="P35" s="52"/>
      <c r="Q35" s="52"/>
      <c r="R35" s="52"/>
      <c r="S35" s="52"/>
      <c r="T35" s="52"/>
      <c r="U35" s="52"/>
      <c r="V35" s="52"/>
      <c r="W35" s="52"/>
      <c r="X35" s="52"/>
      <c r="Y35" s="52"/>
      <c r="Z35" s="52"/>
      <c r="AA35" s="52"/>
    </row>
    <row r="36" spans="1:27">
      <c r="A36" s="63" t="s">
        <v>2403</v>
      </c>
      <c r="B36" s="201"/>
      <c r="C36" s="201"/>
      <c r="D36" s="201"/>
      <c r="E36" s="201"/>
      <c r="F36" s="201"/>
      <c r="G36" s="201"/>
      <c r="H36" s="52"/>
      <c r="I36" s="52"/>
      <c r="J36" s="52"/>
      <c r="K36" s="52"/>
      <c r="L36" s="52"/>
      <c r="M36" s="52"/>
      <c r="N36" s="52"/>
      <c r="O36" s="52"/>
      <c r="P36" s="52"/>
      <c r="Q36" s="52"/>
      <c r="R36" s="52"/>
      <c r="S36" s="52"/>
      <c r="T36" s="52"/>
      <c r="U36" s="52"/>
      <c r="V36" s="52"/>
      <c r="W36" s="52"/>
      <c r="X36" s="52"/>
      <c r="Y36" s="52"/>
      <c r="Z36" s="52"/>
      <c r="AA36" s="52"/>
    </row>
    <row r="37" spans="1:27">
      <c r="A37" s="201"/>
      <c r="B37" s="201"/>
      <c r="C37" s="201"/>
      <c r="D37" s="201"/>
      <c r="E37" s="201"/>
      <c r="F37" s="201"/>
      <c r="G37" s="201"/>
      <c r="H37" s="52"/>
      <c r="I37" s="52"/>
      <c r="J37" s="52"/>
      <c r="K37" s="52"/>
      <c r="L37" s="52"/>
      <c r="M37" s="52"/>
      <c r="N37" s="52"/>
      <c r="O37" s="52"/>
      <c r="P37" s="52"/>
      <c r="Q37" s="52"/>
      <c r="R37" s="52"/>
      <c r="S37" s="52"/>
      <c r="T37" s="52"/>
      <c r="U37" s="52"/>
      <c r="V37" s="52"/>
      <c r="W37" s="52"/>
      <c r="X37" s="52"/>
      <c r="Y37" s="52"/>
      <c r="Z37" s="52"/>
      <c r="AA37" s="52"/>
    </row>
    <row r="38" spans="1:27">
      <c r="A38" s="201"/>
      <c r="B38" s="201"/>
      <c r="C38" s="201"/>
      <c r="D38" s="201"/>
      <c r="E38" s="201"/>
      <c r="F38" s="201"/>
      <c r="G38" s="201"/>
      <c r="H38" s="52"/>
      <c r="I38" s="52"/>
      <c r="J38" s="52"/>
      <c r="K38" s="52"/>
      <c r="L38" s="52"/>
      <c r="M38" s="52"/>
      <c r="N38" s="52"/>
      <c r="O38" s="52"/>
      <c r="P38" s="52"/>
      <c r="Q38" s="52"/>
      <c r="R38" s="52"/>
      <c r="S38" s="52"/>
      <c r="T38" s="52"/>
      <c r="U38" s="52"/>
      <c r="V38" s="52"/>
      <c r="W38" s="52"/>
      <c r="X38" s="52"/>
      <c r="Y38" s="52"/>
      <c r="Z38" s="52"/>
      <c r="AA38" s="52"/>
    </row>
    <row r="39" spans="1:27">
      <c r="A39" s="201"/>
      <c r="B39" s="201"/>
      <c r="C39" s="201"/>
      <c r="D39" s="201"/>
      <c r="E39" s="201"/>
      <c r="F39" s="201"/>
      <c r="G39" s="201"/>
      <c r="H39" s="52"/>
      <c r="I39" s="52"/>
      <c r="J39" s="52"/>
      <c r="K39" s="52"/>
      <c r="L39" s="52"/>
      <c r="M39" s="52"/>
      <c r="N39" s="52"/>
      <c r="O39" s="52"/>
      <c r="P39" s="52"/>
      <c r="Q39" s="52"/>
      <c r="R39" s="52"/>
      <c r="S39" s="52"/>
      <c r="T39" s="52"/>
      <c r="U39" s="52"/>
      <c r="V39" s="52"/>
      <c r="W39" s="52"/>
      <c r="X39" s="52"/>
      <c r="Y39" s="52"/>
      <c r="Z39" s="52"/>
      <c r="AA39" s="52"/>
    </row>
    <row r="40" spans="1:27">
      <c r="A40" s="201"/>
      <c r="B40" s="201"/>
      <c r="C40" s="201"/>
      <c r="D40" s="201"/>
      <c r="E40" s="201"/>
      <c r="F40" s="201"/>
      <c r="G40" s="201"/>
      <c r="H40" s="52"/>
      <c r="I40" s="52"/>
      <c r="J40" s="52"/>
      <c r="K40" s="52"/>
      <c r="L40" s="52"/>
      <c r="M40" s="52"/>
      <c r="N40" s="52"/>
      <c r="O40" s="52"/>
      <c r="P40" s="52"/>
      <c r="Q40" s="52"/>
      <c r="R40" s="52"/>
      <c r="S40" s="52"/>
      <c r="T40" s="52"/>
      <c r="U40" s="52"/>
      <c r="V40" s="52"/>
      <c r="W40" s="52"/>
      <c r="X40" s="52"/>
      <c r="Y40" s="52"/>
      <c r="Z40" s="52"/>
      <c r="AA40" s="52"/>
    </row>
    <row r="41" spans="1:27">
      <c r="A41" s="201"/>
      <c r="B41" s="201"/>
      <c r="C41" s="201"/>
      <c r="D41" s="201"/>
      <c r="E41" s="201"/>
      <c r="F41" s="201"/>
      <c r="G41" s="201"/>
      <c r="H41" s="52"/>
      <c r="I41" s="52"/>
      <c r="J41" s="52"/>
      <c r="K41" s="52"/>
      <c r="L41" s="52"/>
      <c r="M41" s="52"/>
      <c r="N41" s="52"/>
      <c r="O41" s="52"/>
      <c r="P41" s="52"/>
      <c r="Q41" s="52"/>
      <c r="R41" s="52"/>
      <c r="S41" s="52"/>
      <c r="T41" s="52"/>
      <c r="U41" s="52"/>
      <c r="V41" s="52"/>
      <c r="W41" s="52"/>
      <c r="X41" s="52"/>
      <c r="Y41" s="52"/>
      <c r="Z41" s="52"/>
      <c r="AA41" s="52"/>
    </row>
    <row r="42" spans="1:27">
      <c r="A42" s="201"/>
      <c r="B42" s="201"/>
      <c r="C42" s="201"/>
      <c r="D42" s="201"/>
      <c r="E42" s="201"/>
      <c r="F42" s="201"/>
      <c r="G42" s="201"/>
      <c r="H42" s="52"/>
      <c r="I42" s="52"/>
      <c r="J42" s="52"/>
      <c r="K42" s="52"/>
      <c r="L42" s="52"/>
      <c r="M42" s="52"/>
      <c r="N42" s="52"/>
      <c r="O42" s="52"/>
      <c r="P42" s="52"/>
      <c r="Q42" s="52"/>
      <c r="R42" s="52"/>
      <c r="S42" s="52"/>
      <c r="T42" s="52"/>
      <c r="U42" s="52"/>
      <c r="V42" s="52"/>
      <c r="W42" s="52"/>
      <c r="X42" s="52"/>
      <c r="Y42" s="52"/>
      <c r="Z42" s="52"/>
      <c r="AA42" s="52"/>
    </row>
    <row r="43" spans="1:27">
      <c r="A43" s="201"/>
      <c r="B43" s="201"/>
      <c r="C43" s="201"/>
      <c r="D43" s="201"/>
      <c r="E43" s="201"/>
      <c r="F43" s="201"/>
      <c r="G43" s="201"/>
      <c r="H43" s="52"/>
      <c r="I43" s="52"/>
      <c r="J43" s="52"/>
      <c r="K43" s="52"/>
      <c r="L43" s="52"/>
      <c r="M43" s="52"/>
      <c r="N43" s="52"/>
      <c r="O43" s="52"/>
      <c r="P43" s="52"/>
      <c r="Q43" s="52"/>
      <c r="R43" s="52"/>
      <c r="S43" s="52"/>
      <c r="T43" s="52"/>
      <c r="U43" s="52"/>
      <c r="V43" s="52"/>
      <c r="W43" s="52"/>
      <c r="X43" s="52"/>
      <c r="Y43" s="52"/>
      <c r="Z43" s="52"/>
      <c r="AA43" s="52"/>
    </row>
    <row r="44" spans="1:27">
      <c r="A44" s="201"/>
      <c r="B44" s="201"/>
      <c r="C44" s="201"/>
      <c r="D44" s="201"/>
      <c r="E44" s="201"/>
      <c r="F44" s="201"/>
      <c r="G44" s="201"/>
      <c r="H44" s="52"/>
      <c r="I44" s="52"/>
      <c r="J44" s="52"/>
      <c r="K44" s="52"/>
      <c r="L44" s="52"/>
      <c r="M44" s="52"/>
      <c r="N44" s="52"/>
      <c r="O44" s="52"/>
      <c r="P44" s="52"/>
      <c r="Q44" s="52"/>
      <c r="R44" s="52"/>
      <c r="S44" s="52"/>
      <c r="T44" s="52"/>
      <c r="U44" s="52"/>
      <c r="V44" s="52"/>
      <c r="W44" s="52"/>
      <c r="X44" s="52"/>
      <c r="Y44" s="52"/>
      <c r="Z44" s="52"/>
      <c r="AA44" s="52"/>
    </row>
    <row r="45" spans="1:27">
      <c r="A45" s="201"/>
      <c r="B45" s="201"/>
      <c r="C45" s="201"/>
      <c r="D45" s="201"/>
      <c r="E45" s="201"/>
      <c r="F45" s="201"/>
      <c r="G45" s="201"/>
      <c r="H45" s="52"/>
      <c r="I45" s="52"/>
      <c r="J45" s="52"/>
      <c r="K45" s="52"/>
      <c r="L45" s="52"/>
      <c r="M45" s="52"/>
      <c r="N45" s="52"/>
      <c r="O45" s="52"/>
      <c r="P45" s="52"/>
      <c r="Q45" s="52"/>
      <c r="R45" s="52"/>
      <c r="S45" s="52"/>
      <c r="T45" s="52"/>
      <c r="U45" s="52"/>
      <c r="V45" s="52"/>
      <c r="W45" s="52"/>
      <c r="X45" s="52"/>
      <c r="Y45" s="52"/>
      <c r="Z45" s="52"/>
      <c r="AA45" s="52"/>
    </row>
    <row r="46" spans="1:27">
      <c r="A46" s="201"/>
      <c r="B46" s="201"/>
      <c r="C46" s="201"/>
      <c r="D46" s="201"/>
      <c r="E46" s="201"/>
      <c r="F46" s="201"/>
      <c r="G46" s="201"/>
      <c r="H46" s="52"/>
      <c r="I46" s="52"/>
      <c r="J46" s="52"/>
      <c r="K46" s="52"/>
      <c r="L46" s="52"/>
      <c r="M46" s="52"/>
      <c r="N46" s="52"/>
      <c r="O46" s="52"/>
      <c r="P46" s="52"/>
      <c r="Q46" s="52"/>
      <c r="R46" s="52"/>
      <c r="S46" s="52"/>
      <c r="T46" s="52"/>
      <c r="U46" s="52"/>
      <c r="V46" s="52"/>
      <c r="W46" s="52"/>
      <c r="X46" s="52"/>
      <c r="Y46" s="52"/>
      <c r="Z46" s="52"/>
      <c r="AA46" s="52"/>
    </row>
    <row r="47" spans="1:27">
      <c r="A47" s="201"/>
      <c r="B47" s="201"/>
      <c r="C47" s="201"/>
      <c r="D47" s="201"/>
      <c r="E47" s="201"/>
      <c r="F47" s="201"/>
      <c r="G47" s="201"/>
      <c r="H47" s="52"/>
      <c r="I47" s="52"/>
      <c r="J47" s="52"/>
      <c r="K47" s="52"/>
      <c r="L47" s="52"/>
      <c r="M47" s="52"/>
      <c r="N47" s="52"/>
      <c r="O47" s="52"/>
      <c r="P47" s="52"/>
      <c r="Q47" s="52"/>
      <c r="R47" s="52"/>
      <c r="S47" s="52"/>
      <c r="T47" s="52"/>
      <c r="U47" s="52"/>
      <c r="V47" s="52"/>
      <c r="W47" s="52"/>
      <c r="X47" s="52"/>
      <c r="Y47" s="52"/>
      <c r="Z47" s="52"/>
      <c r="AA47" s="52"/>
    </row>
    <row r="48" spans="1:27">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spans="1:27">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spans="1:27">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spans="1:27">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spans="1:27">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spans="1:27">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spans="1:27">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spans="1:27">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spans="1:27">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spans="1:2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spans="1:27">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spans="1:27">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spans="1:27">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spans="1:27">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spans="1:27">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spans="1:27">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spans="1:27">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spans="1:27">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spans="1:27">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spans="1:2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spans="1:27">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spans="1:27">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spans="1:27">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spans="1:27">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spans="1:27">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spans="1:27">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spans="1:27">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spans="1:27">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spans="1:27">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spans="1:2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spans="1:27">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spans="1:27">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spans="1:27">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spans="1:27">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spans="1:27">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spans="1:27">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spans="1:27">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spans="1:27">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spans="1:27">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spans="1:2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spans="1:27">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spans="1:27">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spans="1:27">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spans="1:27">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spans="1:27">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spans="1:27">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spans="1:27">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spans="1:27">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spans="1:27">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spans="1:2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spans="1:27">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spans="1:27">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spans="1:27">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spans="1:27">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908D-7BBC-4BCA-802C-B390022E5B16}">
  <dimension ref="A1:AH117"/>
  <sheetViews>
    <sheetView topLeftCell="A58" workbookViewId="0">
      <selection activeCell="D80" sqref="D80"/>
    </sheetView>
  </sheetViews>
  <sheetFormatPr defaultRowHeight="14"/>
  <cols>
    <col min="1" max="1" width="75.25" customWidth="1"/>
    <col min="2" max="2" width="32.4140625" customWidth="1"/>
    <col min="3" max="3" width="33.58203125" customWidth="1"/>
    <col min="4" max="4" width="34.25" customWidth="1"/>
    <col min="5" max="5" width="6.4140625" customWidth="1"/>
    <col min="9" max="9" width="11.4140625" customWidth="1"/>
    <col min="10" max="10" width="11.75" customWidth="1"/>
    <col min="11" max="11" width="10.4140625" customWidth="1"/>
  </cols>
  <sheetData>
    <row r="1" spans="1:34">
      <c r="A1" s="46" t="s">
        <v>1342</v>
      </c>
      <c r="B1" s="46"/>
      <c r="C1" s="47"/>
      <c r="D1" s="47"/>
      <c r="E1" s="47"/>
      <c r="F1" s="47"/>
      <c r="G1" s="47"/>
      <c r="H1" s="47"/>
      <c r="I1" s="47"/>
      <c r="J1" s="47"/>
      <c r="K1" s="47"/>
      <c r="L1" s="47"/>
      <c r="M1" s="47"/>
      <c r="N1" s="47"/>
      <c r="O1" s="261"/>
      <c r="P1" s="52"/>
      <c r="Q1" s="52"/>
      <c r="R1" s="52"/>
      <c r="S1" s="52"/>
      <c r="T1" s="52"/>
      <c r="U1" s="52"/>
      <c r="V1" s="52"/>
      <c r="W1" s="52"/>
      <c r="X1" s="52"/>
      <c r="Y1" s="52"/>
      <c r="Z1" s="52"/>
      <c r="AA1" s="52"/>
      <c r="AB1" s="52"/>
      <c r="AC1" s="52"/>
      <c r="AD1" s="52"/>
      <c r="AE1" s="52"/>
      <c r="AF1" s="52"/>
      <c r="AG1" s="52"/>
      <c r="AH1" s="52"/>
    </row>
    <row r="2" spans="1:34">
      <c r="A2" s="46" t="s">
        <v>1266</v>
      </c>
      <c r="B2" s="46" t="s">
        <v>954</v>
      </c>
      <c r="C2" s="46" t="s">
        <v>952</v>
      </c>
      <c r="D2" s="46" t="s">
        <v>950</v>
      </c>
      <c r="E2" s="47"/>
      <c r="F2" s="47"/>
      <c r="G2" s="47"/>
      <c r="H2" s="47"/>
      <c r="I2" s="47"/>
      <c r="J2" s="47"/>
      <c r="K2" s="47"/>
      <c r="L2" s="47"/>
      <c r="M2" s="47"/>
      <c r="N2" s="47"/>
      <c r="O2" s="261"/>
      <c r="P2" s="52"/>
      <c r="Q2" s="52"/>
      <c r="R2" s="52"/>
      <c r="S2" s="52"/>
      <c r="T2" s="52"/>
      <c r="U2" s="52"/>
      <c r="V2" s="52"/>
      <c r="W2" s="52"/>
      <c r="X2" s="52"/>
      <c r="Y2" s="52"/>
      <c r="Z2" s="52"/>
      <c r="AA2" s="52"/>
      <c r="AB2" s="52"/>
      <c r="AC2" s="52"/>
      <c r="AD2" s="52"/>
      <c r="AE2" s="52"/>
      <c r="AF2" s="52"/>
      <c r="AG2" s="52"/>
      <c r="AH2" s="52"/>
    </row>
    <row r="3" spans="1:34">
      <c r="A3" s="320" t="s">
        <v>143</v>
      </c>
      <c r="B3" s="91">
        <v>7.0000000000000007E-2</v>
      </c>
      <c r="C3" s="91">
        <v>0.1</v>
      </c>
      <c r="D3" s="91">
        <v>0.13</v>
      </c>
      <c r="E3" s="47"/>
      <c r="F3" s="47"/>
      <c r="G3" s="47"/>
      <c r="H3" s="47"/>
      <c r="I3" s="47"/>
      <c r="J3" s="47"/>
      <c r="K3" s="47"/>
      <c r="L3" s="47"/>
      <c r="M3" s="47"/>
      <c r="N3" s="47"/>
      <c r="O3" s="261"/>
      <c r="P3" s="52"/>
      <c r="Q3" s="52"/>
      <c r="R3" s="52"/>
      <c r="S3" s="52"/>
      <c r="T3" s="52"/>
      <c r="U3" s="52"/>
      <c r="V3" s="52"/>
      <c r="W3" s="52"/>
      <c r="X3" s="52"/>
      <c r="Y3" s="52"/>
      <c r="Z3" s="52"/>
      <c r="AA3" s="52"/>
      <c r="AB3" s="52"/>
      <c r="AC3" s="52"/>
      <c r="AD3" s="52"/>
      <c r="AE3" s="52"/>
      <c r="AF3" s="52"/>
      <c r="AG3" s="52"/>
      <c r="AH3" s="52"/>
    </row>
    <row r="4" spans="1:34">
      <c r="A4" s="320" t="s">
        <v>459</v>
      </c>
      <c r="B4" s="91">
        <v>0.48</v>
      </c>
      <c r="C4" s="91">
        <v>0.52</v>
      </c>
      <c r="D4" s="91">
        <v>0.56000000000000005</v>
      </c>
      <c r="E4" s="47"/>
      <c r="F4" s="47"/>
      <c r="G4" s="47"/>
      <c r="H4" s="47"/>
      <c r="I4" s="47"/>
      <c r="J4" s="47"/>
      <c r="K4" s="47"/>
      <c r="L4" s="47"/>
      <c r="M4" s="47"/>
      <c r="N4" s="47"/>
      <c r="O4" s="261"/>
      <c r="P4" s="52"/>
      <c r="Q4" s="52"/>
      <c r="R4" s="52"/>
      <c r="S4" s="52"/>
      <c r="T4" s="52"/>
      <c r="U4" s="52"/>
      <c r="V4" s="52"/>
      <c r="W4" s="52"/>
      <c r="X4" s="52"/>
      <c r="Y4" s="52"/>
      <c r="Z4" s="52"/>
      <c r="AA4" s="52"/>
      <c r="AB4" s="52"/>
      <c r="AC4" s="52"/>
      <c r="AD4" s="52"/>
      <c r="AE4" s="52"/>
      <c r="AF4" s="52"/>
      <c r="AG4" s="52"/>
      <c r="AH4" s="52"/>
    </row>
    <row r="5" spans="1:34">
      <c r="A5" s="320" t="s">
        <v>198</v>
      </c>
      <c r="B5" s="88">
        <v>0.115</v>
      </c>
      <c r="C5" s="88">
        <v>0.1</v>
      </c>
      <c r="D5" s="88">
        <v>0.09</v>
      </c>
      <c r="E5" s="47"/>
      <c r="F5" s="47"/>
      <c r="G5" s="47"/>
      <c r="H5" s="47"/>
      <c r="I5" s="47"/>
      <c r="J5" s="47"/>
      <c r="K5" s="47"/>
      <c r="L5" s="47"/>
      <c r="M5" s="47"/>
      <c r="N5" s="47"/>
      <c r="O5" s="261"/>
      <c r="P5" s="52"/>
      <c r="Q5" s="52"/>
      <c r="R5" s="52"/>
      <c r="S5" s="52"/>
      <c r="T5" s="52"/>
      <c r="U5" s="52"/>
      <c r="V5" s="52"/>
      <c r="W5" s="52"/>
      <c r="X5" s="52"/>
      <c r="Y5" s="52"/>
      <c r="Z5" s="52"/>
      <c r="AA5" s="52"/>
      <c r="AB5" s="52"/>
      <c r="AC5" s="52"/>
      <c r="AD5" s="52"/>
      <c r="AE5" s="52"/>
      <c r="AF5" s="52"/>
      <c r="AG5" s="52"/>
      <c r="AH5" s="52"/>
    </row>
    <row r="6" spans="1:34">
      <c r="A6" s="320" t="s">
        <v>448</v>
      </c>
      <c r="B6" s="88">
        <v>0.02</v>
      </c>
      <c r="C6" s="88">
        <v>0.03</v>
      </c>
      <c r="D6" s="88">
        <v>3.5000000000000003E-2</v>
      </c>
      <c r="E6" s="47"/>
      <c r="F6" s="47"/>
      <c r="G6" s="47"/>
      <c r="H6" s="47"/>
      <c r="I6" s="47"/>
      <c r="J6" s="47"/>
      <c r="K6" s="47"/>
      <c r="L6" s="47"/>
      <c r="M6" s="47"/>
      <c r="N6" s="47"/>
      <c r="O6" s="261"/>
      <c r="P6" s="52"/>
      <c r="Q6" s="52"/>
      <c r="R6" s="52"/>
      <c r="S6" s="52"/>
      <c r="T6" s="52"/>
      <c r="U6" s="52"/>
      <c r="V6" s="52"/>
      <c r="W6" s="52"/>
      <c r="X6" s="52"/>
      <c r="Y6" s="52"/>
      <c r="Z6" s="52"/>
      <c r="AA6" s="52"/>
      <c r="AB6" s="52"/>
      <c r="AC6" s="52"/>
      <c r="AD6" s="52"/>
      <c r="AE6" s="52"/>
      <c r="AF6" s="52"/>
      <c r="AG6" s="52"/>
      <c r="AH6" s="52"/>
    </row>
    <row r="7" spans="1:34">
      <c r="A7" s="320"/>
      <c r="B7" s="48"/>
      <c r="C7" s="48"/>
      <c r="D7" s="48"/>
      <c r="E7" s="47"/>
      <c r="F7" s="47"/>
      <c r="G7" s="47"/>
      <c r="H7" s="47"/>
      <c r="I7" s="47"/>
      <c r="J7" s="47"/>
      <c r="K7" s="47"/>
      <c r="L7" s="47"/>
      <c r="M7" s="47"/>
      <c r="N7" s="47"/>
      <c r="O7" s="261"/>
      <c r="P7" s="52"/>
      <c r="Q7" s="52"/>
      <c r="R7" s="52"/>
      <c r="S7" s="52"/>
      <c r="T7" s="52"/>
      <c r="U7" s="52"/>
      <c r="V7" s="52"/>
      <c r="W7" s="52"/>
      <c r="X7" s="52"/>
      <c r="Y7" s="52"/>
      <c r="Z7" s="52"/>
      <c r="AA7" s="52"/>
      <c r="AB7" s="52"/>
      <c r="AC7" s="52"/>
      <c r="AD7" s="52"/>
      <c r="AE7" s="52"/>
      <c r="AF7" s="52"/>
      <c r="AG7" s="52"/>
      <c r="AH7" s="52"/>
    </row>
    <row r="8" spans="1:34">
      <c r="A8" s="320" t="s">
        <v>1447</v>
      </c>
      <c r="B8" s="48">
        <v>210</v>
      </c>
      <c r="C8" s="48">
        <v>281</v>
      </c>
      <c r="D8" s="48">
        <v>390</v>
      </c>
      <c r="E8" s="47"/>
      <c r="F8" s="47"/>
      <c r="G8" s="47"/>
      <c r="H8" s="47"/>
      <c r="I8" s="47"/>
      <c r="J8" s="47"/>
      <c r="K8" s="47"/>
      <c r="L8" s="47"/>
      <c r="M8" s="47"/>
      <c r="N8" s="47"/>
      <c r="O8" s="261"/>
      <c r="P8" s="52"/>
      <c r="Q8" s="52"/>
      <c r="R8" s="52"/>
      <c r="S8" s="52"/>
      <c r="T8" s="52"/>
      <c r="U8" s="52"/>
      <c r="V8" s="52"/>
      <c r="W8" s="52"/>
      <c r="X8" s="52"/>
      <c r="Y8" s="52"/>
      <c r="Z8" s="52"/>
      <c r="AA8" s="52"/>
      <c r="AB8" s="52"/>
      <c r="AC8" s="52"/>
      <c r="AD8" s="52"/>
      <c r="AE8" s="52"/>
      <c r="AF8" s="52"/>
      <c r="AG8" s="52"/>
      <c r="AH8" s="52"/>
    </row>
    <row r="9" spans="1:34">
      <c r="A9" s="320" t="s">
        <v>865</v>
      </c>
      <c r="B9" s="48">
        <v>450</v>
      </c>
      <c r="C9" s="48">
        <v>450</v>
      </c>
      <c r="D9" s="48">
        <v>450</v>
      </c>
      <c r="E9" s="47"/>
      <c r="F9" s="47"/>
      <c r="G9" s="47"/>
      <c r="H9" s="47"/>
      <c r="I9" s="47"/>
      <c r="J9" s="47"/>
      <c r="K9" s="47"/>
      <c r="L9" s="47"/>
      <c r="M9" s="47"/>
      <c r="N9" s="47"/>
      <c r="O9" s="261"/>
      <c r="P9" s="52"/>
      <c r="Q9" s="52"/>
      <c r="R9" s="52"/>
      <c r="S9" s="52"/>
      <c r="T9" s="52"/>
      <c r="U9" s="52"/>
      <c r="V9" s="52"/>
      <c r="W9" s="52"/>
      <c r="X9" s="52"/>
      <c r="Y9" s="52"/>
      <c r="Z9" s="52"/>
      <c r="AA9" s="52"/>
      <c r="AB9" s="52"/>
      <c r="AC9" s="52"/>
      <c r="AD9" s="52"/>
      <c r="AE9" s="52"/>
      <c r="AF9" s="52"/>
      <c r="AG9" s="52"/>
      <c r="AH9" s="52"/>
    </row>
    <row r="10" spans="1:34">
      <c r="A10" s="320"/>
      <c r="B10" s="48"/>
      <c r="C10" s="48" t="s">
        <v>1343</v>
      </c>
      <c r="D10" s="48"/>
      <c r="E10" s="47"/>
      <c r="F10" s="47"/>
      <c r="G10" s="47"/>
      <c r="H10" s="47"/>
      <c r="I10" s="47"/>
      <c r="J10" s="47"/>
      <c r="K10" s="47"/>
      <c r="L10" s="47"/>
      <c r="M10" s="47"/>
      <c r="N10" s="47"/>
      <c r="O10" s="261"/>
      <c r="P10" s="52"/>
      <c r="Q10" s="52"/>
      <c r="R10" s="52"/>
      <c r="S10" s="52"/>
      <c r="T10" s="52"/>
      <c r="U10" s="52"/>
      <c r="V10" s="52"/>
      <c r="W10" s="52"/>
      <c r="X10" s="52"/>
      <c r="Y10" s="52"/>
      <c r="Z10" s="52"/>
      <c r="AA10" s="52"/>
      <c r="AB10" s="52"/>
      <c r="AC10" s="52"/>
      <c r="AD10" s="52"/>
      <c r="AE10" s="52"/>
      <c r="AF10" s="52"/>
      <c r="AG10" s="52"/>
      <c r="AH10" s="52"/>
    </row>
    <row r="11" spans="1:34">
      <c r="A11" s="320" t="s">
        <v>1327</v>
      </c>
      <c r="B11" s="91">
        <v>-0.53</v>
      </c>
      <c r="C11" s="91">
        <v>-0.38</v>
      </c>
      <c r="D11" s="91">
        <v>-0.13</v>
      </c>
      <c r="E11" s="47"/>
      <c r="F11" s="47"/>
      <c r="G11" s="47"/>
      <c r="H11" s="47"/>
      <c r="I11" s="47"/>
      <c r="J11" s="47"/>
      <c r="K11" s="47"/>
      <c r="L11" s="47"/>
      <c r="M11" s="47"/>
      <c r="N11" s="47"/>
      <c r="O11" s="261"/>
      <c r="P11" s="52"/>
      <c r="Q11" s="52"/>
      <c r="R11" s="52"/>
      <c r="S11" s="52"/>
      <c r="T11" s="52"/>
      <c r="U11" s="52"/>
      <c r="V11" s="52"/>
      <c r="W11" s="52"/>
      <c r="X11" s="52"/>
      <c r="Y11" s="52"/>
      <c r="Z11" s="52"/>
      <c r="AA11" s="52"/>
      <c r="AB11" s="52"/>
      <c r="AC11" s="52"/>
      <c r="AD11" s="52"/>
      <c r="AE11" s="52"/>
      <c r="AF11" s="52"/>
      <c r="AG11" s="52"/>
      <c r="AH11" s="52"/>
    </row>
    <row r="12" spans="1:34">
      <c r="A12" s="320"/>
      <c r="B12" s="48"/>
      <c r="C12" s="48"/>
      <c r="D12" s="48"/>
      <c r="E12" s="47"/>
      <c r="F12" s="47"/>
      <c r="G12" s="47"/>
      <c r="H12" s="47"/>
      <c r="I12" s="47"/>
      <c r="J12" s="47"/>
      <c r="K12" s="47"/>
      <c r="L12" s="47"/>
      <c r="M12" s="47"/>
      <c r="N12" s="47"/>
      <c r="O12" s="261"/>
      <c r="P12" s="52"/>
      <c r="Q12" s="52"/>
      <c r="R12" s="52"/>
      <c r="S12" s="52"/>
      <c r="T12" s="52"/>
      <c r="U12" s="52"/>
      <c r="V12" s="52"/>
      <c r="W12" s="52"/>
      <c r="X12" s="52"/>
      <c r="Y12" s="52"/>
      <c r="Z12" s="52"/>
      <c r="AA12" s="52"/>
      <c r="AB12" s="52"/>
      <c r="AC12" s="52"/>
      <c r="AD12" s="52"/>
      <c r="AE12" s="52"/>
      <c r="AF12" s="52"/>
      <c r="AG12" s="52"/>
      <c r="AH12" s="52"/>
    </row>
    <row r="13" spans="1:34">
      <c r="A13" s="320" t="s">
        <v>502</v>
      </c>
      <c r="B13" s="417" t="s">
        <v>1186</v>
      </c>
      <c r="C13" s="417" t="s">
        <v>1186</v>
      </c>
      <c r="D13" s="162" t="s">
        <v>815</v>
      </c>
      <c r="E13" s="47"/>
      <c r="F13" s="47"/>
      <c r="G13" s="47"/>
      <c r="H13" s="47"/>
      <c r="I13" s="47"/>
      <c r="J13" s="47"/>
      <c r="K13" s="47"/>
      <c r="L13" s="47"/>
      <c r="M13" s="47"/>
      <c r="N13" s="47"/>
      <c r="O13" s="261"/>
      <c r="P13" s="52"/>
      <c r="Q13" s="52"/>
      <c r="R13" s="52"/>
      <c r="S13" s="52"/>
      <c r="T13" s="52"/>
      <c r="U13" s="52"/>
      <c r="V13" s="52"/>
      <c r="W13" s="52"/>
      <c r="X13" s="52"/>
      <c r="Y13" s="52"/>
      <c r="Z13" s="52"/>
      <c r="AA13" s="52"/>
      <c r="AB13" s="52"/>
      <c r="AC13" s="52"/>
      <c r="AD13" s="52"/>
      <c r="AE13" s="52"/>
      <c r="AF13" s="52"/>
      <c r="AG13" s="52"/>
      <c r="AH13" s="52"/>
    </row>
    <row r="14" spans="1:34">
      <c r="A14" s="63" t="s">
        <v>1329</v>
      </c>
      <c r="B14" s="47"/>
      <c r="C14" s="47"/>
      <c r="D14" s="47"/>
      <c r="E14" s="47"/>
      <c r="F14" s="47"/>
      <c r="G14" s="47"/>
      <c r="H14" s="47"/>
      <c r="I14" s="47"/>
      <c r="J14" s="47"/>
      <c r="K14" s="47"/>
      <c r="L14" s="47"/>
      <c r="M14" s="47"/>
      <c r="N14" s="47"/>
      <c r="O14" s="261"/>
      <c r="P14" s="52"/>
      <c r="Q14" s="52"/>
      <c r="R14" s="52"/>
      <c r="S14" s="52"/>
      <c r="T14" s="52"/>
      <c r="U14" s="52"/>
      <c r="V14" s="52"/>
      <c r="W14" s="52"/>
      <c r="X14" s="52"/>
      <c r="Y14" s="52"/>
      <c r="Z14" s="52"/>
      <c r="AA14" s="52"/>
      <c r="AB14" s="52"/>
      <c r="AC14" s="52"/>
      <c r="AD14" s="52"/>
      <c r="AE14" s="52"/>
      <c r="AF14" s="52"/>
      <c r="AG14" s="52"/>
      <c r="AH14" s="52"/>
    </row>
    <row r="15" spans="1:34">
      <c r="A15" s="46" t="s">
        <v>1328</v>
      </c>
      <c r="B15" s="47"/>
      <c r="C15" s="47"/>
      <c r="D15" s="47"/>
      <c r="E15" s="47"/>
      <c r="F15" s="47"/>
      <c r="G15" s="47"/>
      <c r="H15" s="47"/>
      <c r="I15" s="47"/>
      <c r="J15" s="47"/>
      <c r="K15" s="47"/>
      <c r="L15" s="47"/>
      <c r="M15" s="47"/>
      <c r="N15" s="47"/>
      <c r="O15" s="261"/>
      <c r="P15" s="52"/>
      <c r="Q15" s="52"/>
      <c r="R15" s="52"/>
      <c r="S15" s="52"/>
      <c r="T15" s="52"/>
      <c r="U15" s="52"/>
      <c r="V15" s="52"/>
      <c r="W15" s="52"/>
      <c r="X15" s="52"/>
      <c r="Y15" s="52"/>
      <c r="Z15" s="52"/>
      <c r="AA15" s="52"/>
      <c r="AB15" s="52"/>
      <c r="AC15" s="52"/>
      <c r="AD15" s="52"/>
      <c r="AE15" s="52"/>
      <c r="AF15" s="52"/>
      <c r="AG15" s="52"/>
      <c r="AH15" s="52"/>
    </row>
    <row r="16" spans="1:34" ht="28">
      <c r="A16" s="326" t="s">
        <v>2065</v>
      </c>
      <c r="B16" s="47"/>
      <c r="C16" s="47"/>
      <c r="D16" s="47"/>
      <c r="E16" s="261"/>
      <c r="F16" s="261"/>
      <c r="G16" s="261"/>
      <c r="H16" s="261"/>
      <c r="I16" s="261"/>
      <c r="J16" s="261"/>
      <c r="K16" s="47"/>
      <c r="L16" s="47"/>
      <c r="M16" s="47"/>
      <c r="N16" s="47"/>
      <c r="O16" s="261"/>
      <c r="P16" s="52"/>
      <c r="Q16" s="52"/>
      <c r="R16" s="52"/>
      <c r="S16" s="52"/>
      <c r="T16" s="52"/>
      <c r="U16" s="52"/>
      <c r="V16" s="52"/>
      <c r="W16" s="52"/>
      <c r="X16" s="52"/>
      <c r="Y16" s="52"/>
      <c r="Z16" s="52"/>
      <c r="AA16" s="52"/>
      <c r="AB16" s="52"/>
      <c r="AC16" s="52"/>
      <c r="AD16" s="52"/>
      <c r="AE16" s="52"/>
      <c r="AF16" s="52"/>
      <c r="AG16" s="52"/>
      <c r="AH16" s="52"/>
    </row>
    <row r="17" spans="1:34">
      <c r="A17" s="47"/>
      <c r="B17" s="47"/>
      <c r="C17" s="47"/>
      <c r="D17" s="47"/>
      <c r="E17" s="261"/>
      <c r="F17" s="261"/>
      <c r="G17" s="261"/>
      <c r="H17" s="261"/>
      <c r="I17" s="261"/>
      <c r="J17" s="261"/>
      <c r="K17" s="47"/>
      <c r="L17" s="47"/>
      <c r="M17" s="47"/>
      <c r="N17" s="47"/>
      <c r="O17" s="261"/>
      <c r="P17" s="52"/>
      <c r="Q17" s="52"/>
      <c r="R17" s="52"/>
      <c r="S17" s="52"/>
      <c r="T17" s="52"/>
      <c r="U17" s="52"/>
      <c r="V17" s="52"/>
      <c r="W17" s="52"/>
      <c r="X17" s="52"/>
      <c r="Y17" s="52"/>
      <c r="Z17" s="52"/>
      <c r="AA17" s="52"/>
      <c r="AB17" s="52"/>
      <c r="AC17" s="52"/>
      <c r="AD17" s="52"/>
      <c r="AE17" s="52"/>
      <c r="AF17" s="52"/>
      <c r="AG17" s="52"/>
      <c r="AH17" s="52"/>
    </row>
    <row r="18" spans="1:34" ht="28">
      <c r="A18" s="326" t="s">
        <v>2410</v>
      </c>
      <c r="B18" s="47"/>
      <c r="C18" s="47"/>
      <c r="D18" s="47"/>
      <c r="E18" s="47"/>
      <c r="F18" s="47"/>
      <c r="G18" s="47"/>
      <c r="H18" s="47"/>
      <c r="I18" s="47"/>
      <c r="J18" s="47"/>
      <c r="K18" s="47"/>
      <c r="L18" s="47"/>
      <c r="M18" s="47"/>
      <c r="N18" s="47"/>
      <c r="O18" s="261"/>
      <c r="P18" s="52"/>
      <c r="Q18" s="52"/>
      <c r="R18" s="52"/>
      <c r="S18" s="52"/>
      <c r="T18" s="52"/>
      <c r="U18" s="52"/>
      <c r="V18" s="52"/>
      <c r="W18" s="52"/>
      <c r="X18" s="52"/>
      <c r="Y18" s="52"/>
      <c r="Z18" s="52"/>
      <c r="AA18" s="52"/>
      <c r="AB18" s="52"/>
      <c r="AC18" s="52"/>
      <c r="AD18" s="52"/>
      <c r="AE18" s="52"/>
      <c r="AF18" s="52"/>
      <c r="AG18" s="52"/>
      <c r="AH18" s="52"/>
    </row>
    <row r="19" spans="1:34">
      <c r="A19" s="261"/>
      <c r="B19" s="261"/>
      <c r="C19" s="261"/>
      <c r="D19" s="261"/>
      <c r="E19" s="47"/>
      <c r="F19" s="47"/>
      <c r="G19" s="47"/>
      <c r="H19" s="47"/>
      <c r="I19" s="47"/>
      <c r="J19" s="47"/>
      <c r="K19" s="47"/>
      <c r="L19" s="47"/>
      <c r="M19" s="47"/>
      <c r="N19" s="47"/>
      <c r="O19" s="261"/>
      <c r="P19" s="52"/>
      <c r="Q19" s="52"/>
      <c r="R19" s="52"/>
      <c r="S19" s="52"/>
      <c r="T19" s="52"/>
      <c r="U19" s="52"/>
      <c r="V19" s="52"/>
      <c r="W19" s="52"/>
      <c r="X19" s="52"/>
      <c r="Y19" s="52"/>
      <c r="Z19" s="52"/>
      <c r="AA19" s="52"/>
      <c r="AB19" s="52"/>
      <c r="AC19" s="52"/>
      <c r="AD19" s="52"/>
      <c r="AE19" s="52"/>
      <c r="AF19" s="52"/>
      <c r="AG19" s="52"/>
      <c r="AH19" s="52"/>
    </row>
    <row r="20" spans="1:34">
      <c r="A20" s="46" t="s">
        <v>1330</v>
      </c>
      <c r="B20" s="47"/>
      <c r="C20" s="47"/>
      <c r="D20" s="47"/>
      <c r="E20" s="47"/>
      <c r="F20" s="47"/>
      <c r="G20" s="47"/>
      <c r="H20" s="47"/>
      <c r="I20" s="47"/>
      <c r="J20" s="47"/>
      <c r="K20" s="47"/>
      <c r="L20" s="47"/>
      <c r="M20" s="47"/>
      <c r="N20" s="47"/>
      <c r="O20" s="261"/>
      <c r="P20" s="52"/>
      <c r="Q20" s="52"/>
      <c r="R20" s="52"/>
      <c r="S20" s="52"/>
      <c r="T20" s="52"/>
      <c r="U20" s="52"/>
      <c r="V20" s="52"/>
      <c r="W20" s="52"/>
      <c r="X20" s="52"/>
      <c r="Y20" s="52"/>
      <c r="Z20" s="52"/>
      <c r="AA20" s="52"/>
      <c r="AB20" s="52"/>
      <c r="AC20" s="52"/>
      <c r="AD20" s="52"/>
      <c r="AE20" s="52"/>
      <c r="AF20" s="52"/>
      <c r="AG20" s="52"/>
      <c r="AH20" s="52"/>
    </row>
    <row r="21" spans="1:34">
      <c r="A21" s="320" t="s">
        <v>1331</v>
      </c>
      <c r="B21" s="47"/>
      <c r="C21" s="47"/>
      <c r="D21" s="47"/>
      <c r="E21" s="47"/>
      <c r="F21" s="47"/>
      <c r="G21" s="47"/>
      <c r="H21" s="47"/>
      <c r="I21" s="47"/>
      <c r="J21" s="47"/>
      <c r="K21" s="47"/>
      <c r="L21" s="47"/>
      <c r="M21" s="47"/>
      <c r="N21" s="47"/>
      <c r="O21" s="261"/>
      <c r="P21" s="52"/>
      <c r="Q21" s="52"/>
      <c r="R21" s="52"/>
      <c r="S21" s="52"/>
      <c r="T21" s="52"/>
      <c r="U21" s="52"/>
      <c r="V21" s="52"/>
      <c r="W21" s="52"/>
      <c r="X21" s="52"/>
      <c r="Y21" s="52"/>
      <c r="Z21" s="52"/>
      <c r="AA21" s="52"/>
      <c r="AB21" s="52"/>
      <c r="AC21" s="52"/>
      <c r="AD21" s="52"/>
      <c r="AE21" s="52"/>
      <c r="AF21" s="52"/>
      <c r="AG21" s="52"/>
      <c r="AH21" s="52"/>
    </row>
    <row r="22" spans="1:34">
      <c r="A22" s="320" t="s">
        <v>1332</v>
      </c>
      <c r="B22" s="47"/>
      <c r="C22" s="47"/>
      <c r="D22" s="47"/>
      <c r="E22" s="47"/>
      <c r="F22" s="47"/>
      <c r="G22" s="47"/>
      <c r="H22" s="47"/>
      <c r="I22" s="47"/>
      <c r="J22" s="47"/>
      <c r="K22" s="47"/>
      <c r="L22" s="47"/>
      <c r="M22" s="47"/>
      <c r="N22" s="47"/>
      <c r="O22" s="261"/>
      <c r="P22" s="52"/>
      <c r="Q22" s="52"/>
      <c r="R22" s="52"/>
      <c r="S22" s="52"/>
      <c r="T22" s="52"/>
      <c r="U22" s="52"/>
      <c r="V22" s="52"/>
      <c r="W22" s="52"/>
      <c r="X22" s="52"/>
      <c r="Y22" s="52"/>
      <c r="Z22" s="52"/>
      <c r="AA22" s="52"/>
      <c r="AB22" s="52"/>
      <c r="AC22" s="52"/>
      <c r="AD22" s="52"/>
      <c r="AE22" s="52"/>
      <c r="AF22" s="52"/>
      <c r="AG22" s="52"/>
      <c r="AH22" s="52"/>
    </row>
    <row r="23" spans="1:34">
      <c r="A23" s="320" t="s">
        <v>1333</v>
      </c>
      <c r="B23" s="47"/>
      <c r="C23" s="47"/>
      <c r="D23" s="47"/>
      <c r="E23" s="47"/>
      <c r="F23" s="47"/>
      <c r="G23" s="47"/>
      <c r="H23" s="47"/>
      <c r="I23" s="47"/>
      <c r="J23" s="47"/>
      <c r="K23" s="47"/>
      <c r="L23" s="47"/>
      <c r="M23" s="47"/>
      <c r="N23" s="47"/>
      <c r="O23" s="261"/>
      <c r="P23" s="52"/>
      <c r="Q23" s="52"/>
      <c r="R23" s="52"/>
      <c r="S23" s="52"/>
      <c r="T23" s="52"/>
      <c r="U23" s="52"/>
      <c r="V23" s="52"/>
      <c r="W23" s="52"/>
      <c r="X23" s="52"/>
      <c r="Y23" s="52"/>
      <c r="Z23" s="52"/>
      <c r="AA23" s="52"/>
      <c r="AB23" s="52"/>
      <c r="AC23" s="52"/>
      <c r="AD23" s="52"/>
      <c r="AE23" s="52"/>
      <c r="AF23" s="52"/>
      <c r="AG23" s="52"/>
      <c r="AH23" s="52"/>
    </row>
    <row r="24" spans="1:34">
      <c r="A24" s="320" t="s">
        <v>1334</v>
      </c>
      <c r="B24" s="47"/>
      <c r="C24" s="47"/>
      <c r="D24" s="47"/>
      <c r="E24" s="47"/>
      <c r="F24" s="47"/>
      <c r="G24" s="47"/>
      <c r="H24" s="47"/>
      <c r="I24" s="47"/>
      <c r="J24" s="47"/>
      <c r="K24" s="47"/>
      <c r="L24" s="47"/>
      <c r="M24" s="47"/>
      <c r="N24" s="47"/>
      <c r="O24" s="261"/>
      <c r="P24" s="52"/>
      <c r="Q24" s="52"/>
      <c r="R24" s="52"/>
      <c r="S24" s="52"/>
      <c r="T24" s="52"/>
      <c r="U24" s="52"/>
      <c r="V24" s="52"/>
      <c r="W24" s="52"/>
      <c r="X24" s="52"/>
      <c r="Y24" s="52"/>
      <c r="Z24" s="52"/>
      <c r="AA24" s="52"/>
      <c r="AB24" s="52"/>
      <c r="AC24" s="52"/>
      <c r="AD24" s="52"/>
      <c r="AE24" s="52"/>
      <c r="AF24" s="52"/>
      <c r="AG24" s="52"/>
      <c r="AH24" s="52"/>
    </row>
    <row r="25" spans="1:34">
      <c r="A25" s="320" t="s">
        <v>1335</v>
      </c>
      <c r="B25" s="47"/>
      <c r="C25" s="47"/>
      <c r="D25" s="47"/>
      <c r="E25" s="47"/>
      <c r="F25" s="47"/>
      <c r="G25" s="47"/>
      <c r="H25" s="47"/>
      <c r="I25" s="47"/>
      <c r="J25" s="47"/>
      <c r="K25" s="47"/>
      <c r="L25" s="47"/>
      <c r="M25" s="47"/>
      <c r="N25" s="47"/>
      <c r="O25" s="261"/>
      <c r="P25" s="52"/>
      <c r="Q25" s="52"/>
      <c r="R25" s="52"/>
      <c r="S25" s="52"/>
      <c r="T25" s="52"/>
      <c r="U25" s="52"/>
      <c r="V25" s="52"/>
      <c r="W25" s="52"/>
      <c r="X25" s="52"/>
      <c r="Y25" s="52"/>
      <c r="Z25" s="52"/>
      <c r="AA25" s="52"/>
      <c r="AB25" s="52"/>
      <c r="AC25" s="52"/>
      <c r="AD25" s="52"/>
      <c r="AE25" s="52"/>
      <c r="AF25" s="52"/>
      <c r="AG25" s="52"/>
      <c r="AH25" s="52"/>
    </row>
    <row r="26" spans="1:34">
      <c r="A26" s="320" t="s">
        <v>1336</v>
      </c>
      <c r="B26" s="47"/>
      <c r="C26" s="47"/>
      <c r="D26" s="47"/>
      <c r="E26" s="47"/>
      <c r="F26" s="47"/>
      <c r="G26" s="47"/>
      <c r="H26" s="47"/>
      <c r="I26" s="47"/>
      <c r="J26" s="47"/>
      <c r="K26" s="47"/>
      <c r="L26" s="47"/>
      <c r="M26" s="47"/>
      <c r="N26" s="47"/>
      <c r="O26" s="261"/>
      <c r="P26" s="52"/>
      <c r="Q26" s="52"/>
      <c r="R26" s="52"/>
      <c r="S26" s="52"/>
      <c r="T26" s="52"/>
      <c r="U26" s="52"/>
      <c r="V26" s="52"/>
      <c r="W26" s="52"/>
      <c r="X26" s="52"/>
      <c r="Y26" s="52"/>
      <c r="Z26" s="52"/>
      <c r="AA26" s="52"/>
      <c r="AB26" s="52"/>
      <c r="AC26" s="52"/>
      <c r="AD26" s="52"/>
      <c r="AE26" s="52"/>
      <c r="AF26" s="52"/>
      <c r="AG26" s="52"/>
      <c r="AH26" s="52"/>
    </row>
    <row r="27" spans="1:34">
      <c r="A27" s="47"/>
      <c r="B27" s="47"/>
      <c r="C27" s="47"/>
      <c r="D27" s="47"/>
      <c r="E27" s="47"/>
      <c r="F27" s="47"/>
      <c r="G27" s="47"/>
      <c r="H27" s="47"/>
      <c r="I27" s="47"/>
      <c r="J27" s="47"/>
      <c r="K27" s="47"/>
      <c r="L27" s="47"/>
      <c r="M27" s="47"/>
      <c r="N27" s="47"/>
      <c r="O27" s="261"/>
      <c r="P27" s="52"/>
      <c r="Q27" s="52"/>
      <c r="R27" s="52"/>
      <c r="S27" s="52"/>
      <c r="T27" s="52"/>
      <c r="U27" s="52"/>
      <c r="V27" s="52"/>
      <c r="W27" s="52"/>
      <c r="X27" s="52"/>
      <c r="Y27" s="52"/>
      <c r="Z27" s="52"/>
      <c r="AA27" s="52"/>
      <c r="AB27" s="52"/>
      <c r="AC27" s="52"/>
      <c r="AD27" s="52"/>
      <c r="AE27" s="52"/>
      <c r="AF27" s="52"/>
      <c r="AG27" s="52"/>
      <c r="AH27" s="52"/>
    </row>
    <row r="28" spans="1:34">
      <c r="A28" s="46" t="s">
        <v>1337</v>
      </c>
      <c r="B28" s="46"/>
      <c r="C28" s="47"/>
      <c r="D28" s="47"/>
      <c r="E28" s="47"/>
      <c r="F28" s="47"/>
      <c r="G28" s="47"/>
      <c r="H28" s="47"/>
      <c r="I28" s="47"/>
      <c r="J28" s="47"/>
      <c r="K28" s="47"/>
      <c r="L28" s="47"/>
      <c r="M28" s="47"/>
      <c r="N28" s="47"/>
      <c r="O28" s="261"/>
      <c r="P28" s="52"/>
      <c r="Q28" s="52"/>
      <c r="R28" s="52"/>
      <c r="S28" s="52"/>
      <c r="T28" s="52"/>
      <c r="U28" s="52"/>
      <c r="V28" s="52"/>
      <c r="W28" s="52"/>
      <c r="X28" s="52"/>
      <c r="Y28" s="52"/>
      <c r="Z28" s="52"/>
      <c r="AA28" s="52"/>
      <c r="AB28" s="52"/>
      <c r="AC28" s="52"/>
      <c r="AD28" s="52"/>
      <c r="AE28" s="52"/>
      <c r="AF28" s="52"/>
      <c r="AG28" s="52"/>
      <c r="AH28" s="52"/>
    </row>
    <row r="29" spans="1:34">
      <c r="A29" s="320" t="s">
        <v>1738</v>
      </c>
      <c r="B29" s="320"/>
      <c r="C29" s="320"/>
      <c r="D29" s="47"/>
      <c r="E29" s="47"/>
      <c r="F29" s="47"/>
      <c r="G29" s="47"/>
      <c r="H29" s="47"/>
      <c r="I29" s="47"/>
      <c r="J29" s="47"/>
      <c r="K29" s="47"/>
      <c r="L29" s="47"/>
      <c r="M29" s="47"/>
      <c r="N29" s="47"/>
      <c r="O29" s="261"/>
      <c r="P29" s="52"/>
      <c r="Q29" s="52"/>
      <c r="R29" s="52"/>
      <c r="S29" s="52"/>
      <c r="T29" s="52"/>
      <c r="U29" s="52"/>
      <c r="V29" s="52"/>
      <c r="W29" s="52"/>
      <c r="X29" s="52"/>
      <c r="Y29" s="52"/>
      <c r="Z29" s="52"/>
      <c r="AA29" s="52"/>
      <c r="AB29" s="52"/>
      <c r="AC29" s="52"/>
      <c r="AD29" s="52"/>
      <c r="AE29" s="52"/>
      <c r="AF29" s="52"/>
      <c r="AG29" s="52"/>
      <c r="AH29" s="52"/>
    </row>
    <row r="30" spans="1:34">
      <c r="A30" s="320" t="s">
        <v>954</v>
      </c>
      <c r="B30" s="320" t="s">
        <v>952</v>
      </c>
      <c r="C30" s="320" t="s">
        <v>950</v>
      </c>
      <c r="D30" s="47"/>
      <c r="E30" s="47"/>
      <c r="F30" s="47"/>
      <c r="G30" s="47"/>
      <c r="H30" s="47"/>
      <c r="I30" s="47"/>
      <c r="J30" s="47"/>
      <c r="K30" s="47"/>
      <c r="L30" s="47"/>
      <c r="M30" s="47"/>
      <c r="N30" s="47"/>
      <c r="O30" s="261"/>
      <c r="P30" s="52"/>
      <c r="Q30" s="52"/>
      <c r="R30" s="52"/>
      <c r="S30" s="52"/>
      <c r="T30" s="52"/>
      <c r="U30" s="52"/>
      <c r="V30" s="52"/>
      <c r="W30" s="52"/>
      <c r="X30" s="52"/>
      <c r="Y30" s="52"/>
      <c r="Z30" s="52"/>
      <c r="AA30" s="52"/>
      <c r="AB30" s="52"/>
      <c r="AC30" s="52"/>
      <c r="AD30" s="52"/>
      <c r="AE30" s="52"/>
      <c r="AF30" s="52"/>
      <c r="AG30" s="52"/>
      <c r="AH30" s="52"/>
    </row>
    <row r="31" spans="1:34">
      <c r="A31" s="48">
        <v>210</v>
      </c>
      <c r="B31" s="48">
        <v>281</v>
      </c>
      <c r="C31" s="48">
        <v>390</v>
      </c>
      <c r="D31" s="47"/>
      <c r="E31" s="261"/>
      <c r="F31" s="261"/>
      <c r="G31" s="261"/>
      <c r="H31" s="261"/>
      <c r="I31" s="261"/>
      <c r="J31" s="261"/>
      <c r="K31" s="261"/>
      <c r="L31" s="261"/>
      <c r="M31" s="261"/>
      <c r="N31" s="261"/>
      <c r="O31" s="261"/>
      <c r="P31" s="52"/>
      <c r="Q31" s="52"/>
      <c r="R31" s="52"/>
      <c r="S31" s="52"/>
      <c r="T31" s="52"/>
      <c r="U31" s="52"/>
      <c r="V31" s="52"/>
      <c r="W31" s="52"/>
      <c r="X31" s="52"/>
      <c r="Y31" s="52"/>
      <c r="Z31" s="52"/>
      <c r="AA31" s="52"/>
      <c r="AB31" s="52"/>
      <c r="AC31" s="52"/>
      <c r="AD31" s="52"/>
      <c r="AE31" s="52"/>
      <c r="AF31" s="52"/>
      <c r="AG31" s="52"/>
      <c r="AH31" s="52"/>
    </row>
    <row r="32" spans="1:34">
      <c r="A32" s="47"/>
      <c r="B32" s="47"/>
      <c r="C32" s="47"/>
      <c r="D32" s="47"/>
      <c r="E32" s="261"/>
      <c r="F32" s="261"/>
      <c r="G32" s="261"/>
      <c r="H32" s="261"/>
      <c r="I32" s="261"/>
      <c r="J32" s="261"/>
      <c r="K32" s="261"/>
      <c r="L32" s="261"/>
      <c r="M32" s="261"/>
      <c r="N32" s="261"/>
      <c r="O32" s="261"/>
      <c r="P32" s="52"/>
      <c r="Q32" s="52"/>
      <c r="R32" s="52"/>
      <c r="S32" s="52"/>
      <c r="T32" s="52"/>
      <c r="U32" s="52"/>
      <c r="V32" s="52"/>
      <c r="W32" s="52"/>
      <c r="X32" s="52"/>
      <c r="Y32" s="52"/>
      <c r="Z32" s="52"/>
      <c r="AA32" s="52"/>
      <c r="AB32" s="52"/>
      <c r="AC32" s="52"/>
      <c r="AD32" s="52"/>
      <c r="AE32" s="52"/>
      <c r="AF32" s="52"/>
      <c r="AG32" s="52"/>
      <c r="AH32" s="52"/>
    </row>
    <row r="33" spans="1:34">
      <c r="A33" s="46" t="s">
        <v>1338</v>
      </c>
      <c r="B33" s="46"/>
      <c r="C33" s="47"/>
      <c r="D33" s="47"/>
      <c r="E33" s="261"/>
      <c r="F33" s="261"/>
      <c r="G33" s="261"/>
      <c r="H33" s="261"/>
      <c r="I33" s="261"/>
      <c r="J33" s="261"/>
      <c r="K33" s="261"/>
      <c r="L33" s="261"/>
      <c r="M33" s="261"/>
      <c r="N33" s="261"/>
      <c r="O33" s="261"/>
      <c r="P33" s="52"/>
      <c r="Q33" s="52"/>
      <c r="R33" s="52"/>
      <c r="S33" s="52"/>
      <c r="T33" s="52"/>
      <c r="U33" s="52"/>
      <c r="V33" s="52"/>
      <c r="W33" s="52"/>
      <c r="X33" s="52"/>
      <c r="Y33" s="52"/>
      <c r="Z33" s="52"/>
      <c r="AA33" s="52"/>
      <c r="AB33" s="52"/>
      <c r="AC33" s="52"/>
      <c r="AD33" s="52"/>
      <c r="AE33" s="52"/>
      <c r="AF33" s="52"/>
      <c r="AG33" s="52"/>
      <c r="AH33" s="52"/>
    </row>
    <row r="34" spans="1:34">
      <c r="A34" s="46" t="s">
        <v>1266</v>
      </c>
      <c r="B34" s="46" t="s">
        <v>117</v>
      </c>
      <c r="C34" s="46" t="s">
        <v>1213</v>
      </c>
      <c r="D34" s="46" t="s">
        <v>1222</v>
      </c>
      <c r="E34" s="261"/>
      <c r="F34" s="261"/>
      <c r="G34" s="261"/>
      <c r="H34" s="261"/>
      <c r="I34" s="261"/>
      <c r="J34" s="261"/>
      <c r="K34" s="261"/>
      <c r="L34" s="261"/>
      <c r="M34" s="261"/>
      <c r="N34" s="261"/>
      <c r="O34" s="261"/>
      <c r="P34" s="52"/>
      <c r="Q34" s="52"/>
      <c r="R34" s="52"/>
      <c r="S34" s="52"/>
      <c r="T34" s="52"/>
      <c r="U34" s="52"/>
      <c r="V34" s="52"/>
      <c r="W34" s="52"/>
      <c r="X34" s="52"/>
      <c r="Y34" s="52"/>
      <c r="Z34" s="52"/>
      <c r="AA34" s="52"/>
      <c r="AB34" s="52"/>
      <c r="AC34" s="52"/>
      <c r="AD34" s="52"/>
      <c r="AE34" s="52"/>
      <c r="AF34" s="52"/>
      <c r="AG34" s="52"/>
      <c r="AH34" s="52"/>
    </row>
    <row r="35" spans="1:34">
      <c r="A35" s="320" t="s">
        <v>954</v>
      </c>
      <c r="B35" s="48">
        <v>210</v>
      </c>
      <c r="C35" s="91">
        <v>0.25</v>
      </c>
      <c r="D35" s="48">
        <v>52.5</v>
      </c>
      <c r="E35" s="261"/>
      <c r="F35" s="261"/>
      <c r="G35" s="261"/>
      <c r="H35" s="261"/>
      <c r="I35" s="261"/>
      <c r="J35" s="261"/>
      <c r="K35" s="261"/>
      <c r="L35" s="261"/>
      <c r="M35" s="261"/>
      <c r="N35" s="261"/>
      <c r="O35" s="261"/>
      <c r="P35" s="52"/>
      <c r="Q35" s="52"/>
      <c r="R35" s="52"/>
      <c r="S35" s="52"/>
      <c r="T35" s="52"/>
      <c r="U35" s="52"/>
      <c r="V35" s="52"/>
      <c r="W35" s="52"/>
      <c r="X35" s="52"/>
      <c r="Y35" s="52"/>
      <c r="Z35" s="52"/>
      <c r="AA35" s="52"/>
      <c r="AB35" s="52"/>
      <c r="AC35" s="52"/>
      <c r="AD35" s="52"/>
      <c r="AE35" s="52"/>
      <c r="AF35" s="52"/>
      <c r="AG35" s="52"/>
      <c r="AH35" s="52"/>
    </row>
    <row r="36" spans="1:34">
      <c r="A36" s="320" t="s">
        <v>1339</v>
      </c>
      <c r="B36" s="48">
        <v>281</v>
      </c>
      <c r="C36" s="91">
        <v>0.5</v>
      </c>
      <c r="D36" s="48">
        <v>140.5</v>
      </c>
      <c r="E36" s="261"/>
      <c r="F36" s="261"/>
      <c r="G36" s="261"/>
      <c r="H36" s="261"/>
      <c r="I36" s="261"/>
      <c r="J36" s="261"/>
      <c r="K36" s="261"/>
      <c r="L36" s="261"/>
      <c r="M36" s="261"/>
      <c r="N36" s="261"/>
      <c r="O36" s="261"/>
      <c r="P36" s="52"/>
      <c r="Q36" s="52"/>
      <c r="R36" s="52"/>
      <c r="S36" s="52"/>
      <c r="T36" s="52"/>
      <c r="U36" s="52"/>
      <c r="V36" s="52"/>
      <c r="W36" s="52"/>
      <c r="X36" s="52"/>
      <c r="Y36" s="52"/>
      <c r="Z36" s="52"/>
      <c r="AA36" s="52"/>
      <c r="AB36" s="52"/>
      <c r="AC36" s="52"/>
      <c r="AD36" s="52"/>
      <c r="AE36" s="52"/>
      <c r="AF36" s="52"/>
      <c r="AG36" s="52"/>
      <c r="AH36" s="52"/>
    </row>
    <row r="37" spans="1:34">
      <c r="A37" s="320" t="s">
        <v>950</v>
      </c>
      <c r="B37" s="48">
        <v>390</v>
      </c>
      <c r="C37" s="91">
        <v>0.25</v>
      </c>
      <c r="D37" s="48">
        <v>97.5</v>
      </c>
      <c r="E37" s="261"/>
      <c r="F37" s="261"/>
      <c r="G37" s="261"/>
      <c r="H37" s="261"/>
      <c r="I37" s="261"/>
      <c r="J37" s="261"/>
      <c r="K37" s="261"/>
      <c r="L37" s="261"/>
      <c r="M37" s="261"/>
      <c r="N37" s="261"/>
      <c r="O37" s="261"/>
      <c r="P37" s="52"/>
      <c r="Q37" s="52"/>
      <c r="R37" s="52"/>
      <c r="S37" s="52"/>
      <c r="T37" s="52"/>
      <c r="U37" s="52"/>
      <c r="V37" s="52"/>
      <c r="W37" s="52"/>
      <c r="X37" s="52"/>
      <c r="Y37" s="52"/>
      <c r="Z37" s="52"/>
      <c r="AA37" s="52"/>
      <c r="AB37" s="52"/>
      <c r="AC37" s="52"/>
      <c r="AD37" s="52"/>
      <c r="AE37" s="52"/>
      <c r="AF37" s="52"/>
      <c r="AG37" s="52"/>
      <c r="AH37" s="52"/>
    </row>
    <row r="38" spans="1:34">
      <c r="A38" s="320" t="s">
        <v>1340</v>
      </c>
      <c r="B38" s="92"/>
      <c r="C38" s="92"/>
      <c r="D38" s="48">
        <f>SUM(D35:D37)</f>
        <v>290.5</v>
      </c>
      <c r="E38" s="261"/>
      <c r="F38" s="261"/>
      <c r="G38" s="261"/>
      <c r="H38" s="261"/>
      <c r="I38" s="261"/>
      <c r="J38" s="261"/>
      <c r="K38" s="261"/>
      <c r="L38" s="261"/>
      <c r="M38" s="261"/>
      <c r="N38" s="261"/>
      <c r="O38" s="261"/>
      <c r="P38" s="52"/>
      <c r="Q38" s="52"/>
      <c r="R38" s="52"/>
      <c r="S38" s="52"/>
      <c r="T38" s="52"/>
      <c r="U38" s="52"/>
      <c r="V38" s="52"/>
      <c r="W38" s="52"/>
      <c r="X38" s="52"/>
      <c r="Y38" s="52"/>
      <c r="Z38" s="52"/>
      <c r="AA38" s="52"/>
      <c r="AB38" s="52"/>
      <c r="AC38" s="52"/>
      <c r="AD38" s="52"/>
      <c r="AE38" s="52"/>
      <c r="AF38" s="52"/>
      <c r="AG38" s="52"/>
      <c r="AH38" s="52"/>
    </row>
    <row r="39" spans="1:34">
      <c r="A39" s="46" t="s">
        <v>1341</v>
      </c>
      <c r="B39" s="261"/>
      <c r="C39" s="261"/>
      <c r="D39" s="261"/>
      <c r="E39" s="261"/>
      <c r="F39" s="261"/>
      <c r="G39" s="261"/>
      <c r="H39" s="261"/>
      <c r="I39" s="261"/>
      <c r="J39" s="261"/>
      <c r="K39" s="261"/>
      <c r="L39" s="261"/>
      <c r="M39" s="261"/>
      <c r="N39" s="261"/>
      <c r="O39" s="261"/>
      <c r="P39" s="52"/>
      <c r="Q39" s="52"/>
      <c r="R39" s="52"/>
      <c r="S39" s="52"/>
      <c r="T39" s="52"/>
      <c r="U39" s="52"/>
      <c r="V39" s="52"/>
      <c r="W39" s="52"/>
      <c r="X39" s="52"/>
      <c r="Y39" s="52"/>
      <c r="Z39" s="52"/>
      <c r="AA39" s="52"/>
      <c r="AB39" s="52"/>
      <c r="AC39" s="52"/>
      <c r="AD39" s="52"/>
      <c r="AE39" s="52"/>
      <c r="AF39" s="52"/>
      <c r="AG39" s="52"/>
      <c r="AH39" s="52"/>
    </row>
    <row r="40" spans="1:34">
      <c r="A40" s="261"/>
      <c r="B40" s="261"/>
      <c r="C40" s="261"/>
      <c r="D40" s="261"/>
      <c r="E40" s="261"/>
      <c r="F40" s="261"/>
      <c r="G40" s="261"/>
      <c r="H40" s="261"/>
      <c r="I40" s="261"/>
      <c r="J40" s="261"/>
      <c r="K40" s="261"/>
      <c r="L40" s="261"/>
      <c r="M40" s="261"/>
      <c r="N40" s="261"/>
      <c r="O40" s="261"/>
      <c r="P40" s="52"/>
      <c r="Q40" s="52"/>
      <c r="R40" s="52"/>
      <c r="S40" s="52"/>
      <c r="T40" s="52"/>
      <c r="U40" s="52"/>
      <c r="V40" s="52"/>
      <c r="W40" s="52"/>
      <c r="X40" s="52"/>
      <c r="Y40" s="52"/>
      <c r="Z40" s="52"/>
      <c r="AA40" s="52"/>
      <c r="AB40" s="52"/>
      <c r="AC40" s="52"/>
      <c r="AD40" s="52"/>
      <c r="AE40" s="52"/>
      <c r="AF40" s="52"/>
      <c r="AG40" s="52"/>
      <c r="AH40" s="52"/>
    </row>
    <row r="41" spans="1:34">
      <c r="A41" s="46" t="s">
        <v>1344</v>
      </c>
      <c r="B41" s="261"/>
      <c r="C41" s="261"/>
      <c r="D41" s="261"/>
      <c r="E41" s="261"/>
      <c r="F41" s="261"/>
      <c r="G41" s="261"/>
      <c r="H41" s="261"/>
      <c r="I41" s="261"/>
      <c r="J41" s="261"/>
      <c r="K41" s="261"/>
      <c r="L41" s="261"/>
      <c r="M41" s="261"/>
      <c r="N41" s="261"/>
      <c r="O41" s="261"/>
      <c r="P41" s="52"/>
      <c r="Q41" s="52"/>
      <c r="R41" s="52"/>
      <c r="S41" s="52"/>
      <c r="T41" s="52"/>
      <c r="U41" s="52"/>
      <c r="V41" s="52"/>
      <c r="W41" s="52"/>
      <c r="X41" s="52"/>
      <c r="Y41" s="52"/>
      <c r="Z41" s="52"/>
      <c r="AA41" s="52"/>
      <c r="AB41" s="52"/>
      <c r="AC41" s="52"/>
      <c r="AD41" s="52"/>
      <c r="AE41" s="52"/>
      <c r="AF41" s="52"/>
      <c r="AG41" s="52"/>
      <c r="AH41" s="52"/>
    </row>
    <row r="42" spans="1:34">
      <c r="A42" s="320" t="s">
        <v>2069</v>
      </c>
      <c r="B42" s="320"/>
      <c r="C42" s="383"/>
      <c r="D42" s="383"/>
      <c r="E42" s="383"/>
      <c r="F42" s="383"/>
      <c r="G42" s="383"/>
      <c r="H42" s="383"/>
      <c r="I42" s="383"/>
      <c r="J42" s="383"/>
      <c r="K42" s="261"/>
      <c r="L42" s="261"/>
      <c r="M42" s="261"/>
      <c r="N42" s="261"/>
      <c r="O42" s="261"/>
      <c r="P42" s="52"/>
      <c r="Q42" s="52"/>
      <c r="R42" s="52"/>
      <c r="S42" s="52"/>
      <c r="T42" s="52"/>
      <c r="U42" s="52"/>
      <c r="V42" s="52"/>
      <c r="W42" s="52"/>
      <c r="X42" s="52"/>
      <c r="Y42" s="52"/>
      <c r="Z42" s="52"/>
      <c r="AA42" s="52"/>
      <c r="AB42" s="52"/>
      <c r="AC42" s="52"/>
      <c r="AD42" s="52"/>
      <c r="AE42" s="52"/>
      <c r="AF42" s="52"/>
      <c r="AG42" s="52"/>
      <c r="AH42" s="52"/>
    </row>
    <row r="43" spans="1:34">
      <c r="A43" s="47"/>
      <c r="B43" s="47"/>
      <c r="C43" s="261"/>
      <c r="D43" s="261"/>
      <c r="E43" s="261"/>
      <c r="F43" s="261"/>
      <c r="G43" s="261"/>
      <c r="H43" s="261"/>
      <c r="I43" s="261"/>
      <c r="J43" s="261"/>
      <c r="K43" s="261"/>
      <c r="L43" s="261"/>
      <c r="M43" s="261"/>
      <c r="N43" s="261"/>
      <c r="O43" s="261"/>
      <c r="P43" s="52"/>
      <c r="Q43" s="52"/>
      <c r="R43" s="52"/>
      <c r="S43" s="52"/>
      <c r="T43" s="52"/>
      <c r="U43" s="52"/>
      <c r="V43" s="52"/>
      <c r="W43" s="52"/>
      <c r="X43" s="52"/>
      <c r="Y43" s="52"/>
      <c r="Z43" s="52"/>
      <c r="AA43" s="52"/>
      <c r="AB43" s="52"/>
      <c r="AC43" s="52"/>
      <c r="AD43" s="52"/>
      <c r="AE43" s="52"/>
      <c r="AF43" s="52"/>
      <c r="AG43" s="52"/>
      <c r="AH43" s="52"/>
    </row>
    <row r="44" spans="1:34">
      <c r="A44" s="46" t="s">
        <v>499</v>
      </c>
      <c r="B44" s="47"/>
      <c r="C44" s="261"/>
      <c r="D44" s="261"/>
      <c r="E44" s="261"/>
      <c r="F44" s="261"/>
      <c r="G44" s="261"/>
      <c r="H44" s="261"/>
      <c r="I44" s="261"/>
      <c r="J44" s="261"/>
      <c r="K44" s="261"/>
      <c r="L44" s="261"/>
      <c r="M44" s="261"/>
      <c r="N44" s="261"/>
      <c r="O44" s="261"/>
      <c r="P44" s="52"/>
      <c r="Q44" s="52"/>
      <c r="R44" s="52"/>
      <c r="S44" s="52"/>
      <c r="T44" s="52"/>
      <c r="U44" s="52"/>
      <c r="V44" s="52"/>
      <c r="W44" s="52"/>
      <c r="X44" s="52"/>
      <c r="Y44" s="52"/>
      <c r="Z44" s="52"/>
      <c r="AA44" s="52"/>
      <c r="AB44" s="52"/>
      <c r="AC44" s="52"/>
      <c r="AD44" s="52"/>
      <c r="AE44" s="52"/>
      <c r="AF44" s="52"/>
      <c r="AG44" s="52"/>
      <c r="AH44" s="52"/>
    </row>
    <row r="45" spans="1:34">
      <c r="A45" s="46" t="s">
        <v>1266</v>
      </c>
      <c r="B45" s="46" t="s">
        <v>502</v>
      </c>
      <c r="C45" s="261"/>
      <c r="D45" s="261"/>
      <c r="E45" s="261"/>
      <c r="F45" s="261"/>
      <c r="G45" s="261"/>
      <c r="H45" s="261"/>
      <c r="I45" s="261"/>
      <c r="J45" s="261"/>
      <c r="K45" s="261"/>
      <c r="L45" s="261"/>
      <c r="M45" s="261"/>
      <c r="N45" s="261"/>
      <c r="O45" s="261"/>
      <c r="P45" s="52"/>
      <c r="Q45" s="52"/>
      <c r="R45" s="52"/>
      <c r="S45" s="52"/>
      <c r="T45" s="52"/>
      <c r="U45" s="52"/>
      <c r="V45" s="52"/>
      <c r="W45" s="52"/>
      <c r="X45" s="52"/>
      <c r="Y45" s="52"/>
      <c r="Z45" s="52"/>
      <c r="AA45" s="52"/>
      <c r="AB45" s="52"/>
      <c r="AC45" s="52"/>
      <c r="AD45" s="52"/>
      <c r="AE45" s="52"/>
      <c r="AF45" s="52"/>
      <c r="AG45" s="52"/>
      <c r="AH45" s="52"/>
    </row>
    <row r="46" spans="1:34">
      <c r="A46" s="320" t="s">
        <v>954</v>
      </c>
      <c r="B46" s="320" t="s">
        <v>1186</v>
      </c>
      <c r="C46" s="261"/>
      <c r="D46" s="261"/>
      <c r="E46" s="261"/>
      <c r="F46" s="261"/>
      <c r="G46" s="261"/>
      <c r="H46" s="261"/>
      <c r="I46" s="261"/>
      <c r="J46" s="261"/>
      <c r="K46" s="261"/>
      <c r="L46" s="261"/>
      <c r="M46" s="261"/>
      <c r="N46" s="261"/>
      <c r="O46" s="261"/>
      <c r="P46" s="52"/>
      <c r="Q46" s="52"/>
      <c r="R46" s="52"/>
      <c r="S46" s="52"/>
      <c r="T46" s="52"/>
      <c r="U46" s="52"/>
      <c r="V46" s="52"/>
      <c r="W46" s="52"/>
      <c r="X46" s="52"/>
      <c r="Y46" s="52"/>
      <c r="Z46" s="52"/>
      <c r="AA46" s="52"/>
      <c r="AB46" s="52"/>
      <c r="AC46" s="52"/>
      <c r="AD46" s="52"/>
      <c r="AE46" s="52"/>
      <c r="AF46" s="52"/>
      <c r="AG46" s="52"/>
      <c r="AH46" s="52"/>
    </row>
    <row r="47" spans="1:34">
      <c r="A47" s="320" t="s">
        <v>952</v>
      </c>
      <c r="B47" s="320" t="s">
        <v>1186</v>
      </c>
      <c r="C47" s="261"/>
      <c r="D47" s="261"/>
      <c r="E47" s="261"/>
      <c r="F47" s="261"/>
      <c r="G47" s="261"/>
      <c r="H47" s="261"/>
      <c r="I47" s="261"/>
      <c r="J47" s="261"/>
      <c r="K47" s="261"/>
      <c r="L47" s="261"/>
      <c r="M47" s="261"/>
      <c r="N47" s="261"/>
      <c r="O47" s="261"/>
      <c r="P47" s="52"/>
      <c r="Q47" s="52"/>
      <c r="R47" s="52"/>
      <c r="S47" s="52"/>
      <c r="T47" s="52"/>
      <c r="U47" s="52"/>
      <c r="V47" s="52"/>
      <c r="W47" s="52"/>
      <c r="X47" s="52"/>
      <c r="Y47" s="52"/>
      <c r="Z47" s="52"/>
      <c r="AA47" s="52"/>
      <c r="AB47" s="52"/>
      <c r="AC47" s="52"/>
      <c r="AD47" s="52"/>
      <c r="AE47" s="52"/>
      <c r="AF47" s="52"/>
      <c r="AG47" s="52"/>
      <c r="AH47" s="52"/>
    </row>
    <row r="48" spans="1:34">
      <c r="A48" s="320" t="s">
        <v>950</v>
      </c>
      <c r="B48" s="320" t="s">
        <v>2066</v>
      </c>
      <c r="C48" s="261"/>
      <c r="D48" s="261"/>
      <c r="E48" s="261"/>
      <c r="F48" s="261"/>
      <c r="G48" s="261"/>
      <c r="H48" s="261"/>
      <c r="I48" s="261"/>
      <c r="J48" s="261"/>
      <c r="K48" s="261"/>
      <c r="L48" s="261"/>
      <c r="M48" s="261"/>
      <c r="N48" s="261"/>
      <c r="O48" s="261"/>
      <c r="P48" s="52"/>
      <c r="Q48" s="52"/>
      <c r="R48" s="52"/>
      <c r="S48" s="52"/>
      <c r="T48" s="52"/>
      <c r="U48" s="52"/>
      <c r="V48" s="52"/>
      <c r="W48" s="52"/>
      <c r="X48" s="52"/>
      <c r="Y48" s="52"/>
      <c r="Z48" s="52"/>
      <c r="AA48" s="52"/>
      <c r="AB48" s="52"/>
      <c r="AC48" s="52"/>
      <c r="AD48" s="52"/>
      <c r="AE48" s="52"/>
      <c r="AF48" s="52"/>
      <c r="AG48" s="52"/>
      <c r="AH48" s="52"/>
    </row>
    <row r="49" spans="1:34">
      <c r="A49" s="201"/>
      <c r="B49" s="261"/>
      <c r="C49" s="261"/>
      <c r="D49" s="261"/>
      <c r="E49" s="261"/>
      <c r="F49" s="261"/>
      <c r="G49" s="261"/>
      <c r="H49" s="261"/>
      <c r="I49" s="261"/>
      <c r="J49" s="261"/>
      <c r="K49" s="261"/>
      <c r="L49" s="261"/>
      <c r="M49" s="261"/>
      <c r="N49" s="261"/>
      <c r="O49" s="261"/>
      <c r="P49" s="52"/>
      <c r="Q49" s="52"/>
      <c r="R49" s="52"/>
      <c r="S49" s="52"/>
      <c r="T49" s="52"/>
      <c r="U49" s="52"/>
      <c r="V49" s="52"/>
      <c r="W49" s="52"/>
      <c r="X49" s="52"/>
      <c r="Y49" s="52"/>
      <c r="Z49" s="52"/>
      <c r="AA49" s="52"/>
      <c r="AB49" s="52"/>
      <c r="AC49" s="52"/>
      <c r="AD49" s="52"/>
      <c r="AE49" s="52"/>
      <c r="AF49" s="52"/>
      <c r="AG49" s="52"/>
      <c r="AH49" s="52"/>
    </row>
    <row r="50" spans="1:34">
      <c r="A50" s="320" t="s">
        <v>1739</v>
      </c>
      <c r="B50" s="320"/>
      <c r="C50" s="261"/>
      <c r="D50" s="261"/>
      <c r="E50" s="261"/>
      <c r="F50" s="261"/>
      <c r="G50" s="261"/>
      <c r="H50" s="261"/>
      <c r="I50" s="261"/>
      <c r="J50" s="261"/>
      <c r="K50" s="261"/>
      <c r="L50" s="261"/>
      <c r="M50" s="261"/>
      <c r="N50" s="261"/>
      <c r="O50" s="261"/>
      <c r="P50" s="52"/>
      <c r="Q50" s="52"/>
      <c r="R50" s="52"/>
      <c r="S50" s="52"/>
      <c r="T50" s="52"/>
      <c r="U50" s="52"/>
      <c r="V50" s="52"/>
      <c r="W50" s="52"/>
      <c r="X50" s="52"/>
      <c r="Y50" s="52"/>
      <c r="Z50" s="52"/>
      <c r="AA50" s="52"/>
      <c r="AB50" s="52"/>
      <c r="AC50" s="52"/>
      <c r="AD50" s="52"/>
      <c r="AE50" s="52"/>
      <c r="AF50" s="52"/>
      <c r="AG50" s="52"/>
      <c r="AH50" s="52"/>
    </row>
    <row r="51" spans="1:34">
      <c r="A51" s="261"/>
      <c r="B51" s="261"/>
      <c r="C51" s="261"/>
      <c r="D51" s="261"/>
      <c r="E51" s="261"/>
      <c r="F51" s="261"/>
      <c r="G51" s="261"/>
      <c r="H51" s="261"/>
      <c r="I51" s="261"/>
      <c r="J51" s="261"/>
      <c r="K51" s="261"/>
      <c r="L51" s="261"/>
      <c r="M51" s="261"/>
      <c r="N51" s="261"/>
      <c r="O51" s="261"/>
      <c r="P51" s="52"/>
      <c r="Q51" s="52"/>
      <c r="R51" s="52"/>
      <c r="S51" s="52"/>
      <c r="T51" s="52"/>
      <c r="U51" s="52"/>
      <c r="V51" s="52"/>
      <c r="W51" s="52"/>
      <c r="X51" s="52"/>
      <c r="Y51" s="52"/>
      <c r="Z51" s="52"/>
      <c r="AA51" s="52"/>
      <c r="AB51" s="52"/>
      <c r="AC51" s="52"/>
      <c r="AD51" s="52"/>
      <c r="AE51" s="52"/>
      <c r="AF51" s="52"/>
      <c r="AG51" s="52"/>
      <c r="AH51" s="52"/>
    </row>
    <row r="52" spans="1:34">
      <c r="A52" s="320" t="s">
        <v>1740</v>
      </c>
      <c r="B52" s="320"/>
      <c r="C52" s="47"/>
      <c r="D52" s="261"/>
      <c r="E52" s="261"/>
      <c r="F52" s="261"/>
      <c r="G52" s="261"/>
      <c r="H52" s="261"/>
      <c r="I52" s="261"/>
      <c r="J52" s="261"/>
      <c r="K52" s="261"/>
      <c r="L52" s="261"/>
      <c r="M52" s="261"/>
      <c r="N52" s="261"/>
      <c r="O52" s="201"/>
      <c r="P52" s="52"/>
      <c r="Q52" s="52"/>
      <c r="R52" s="52"/>
      <c r="S52" s="52"/>
      <c r="T52" s="52"/>
      <c r="U52" s="52"/>
      <c r="V52" s="52"/>
      <c r="W52" s="52"/>
      <c r="X52" s="52"/>
      <c r="Y52" s="52"/>
      <c r="Z52" s="52"/>
      <c r="AA52" s="52"/>
      <c r="AB52" s="52"/>
      <c r="AC52" s="52"/>
      <c r="AD52" s="52"/>
      <c r="AE52" s="52"/>
      <c r="AF52" s="52"/>
      <c r="AG52" s="52"/>
      <c r="AH52" s="52"/>
    </row>
    <row r="53" spans="1:34">
      <c r="A53" s="201"/>
      <c r="B53" s="201"/>
      <c r="C53" s="201"/>
      <c r="D53" s="201"/>
      <c r="E53" s="201"/>
      <c r="F53" s="201"/>
      <c r="G53" s="201"/>
      <c r="H53" s="201"/>
      <c r="I53" s="201"/>
      <c r="J53" s="201"/>
      <c r="K53" s="201"/>
      <c r="L53" s="201"/>
      <c r="M53" s="201"/>
      <c r="N53" s="201"/>
      <c r="O53" s="201"/>
      <c r="P53" s="52"/>
      <c r="Q53" s="52"/>
      <c r="R53" s="52"/>
      <c r="S53" s="52"/>
      <c r="T53" s="52"/>
      <c r="U53" s="52"/>
      <c r="V53" s="52"/>
      <c r="W53" s="52"/>
      <c r="X53" s="52"/>
      <c r="Y53" s="52"/>
      <c r="Z53" s="52"/>
      <c r="AA53" s="52"/>
      <c r="AB53" s="52"/>
      <c r="AC53" s="52"/>
      <c r="AD53" s="52"/>
      <c r="AE53" s="52"/>
      <c r="AF53" s="52"/>
      <c r="AG53" s="52"/>
      <c r="AH53" s="52"/>
    </row>
    <row r="54" spans="1:34">
      <c r="A54" s="63" t="s">
        <v>2064</v>
      </c>
      <c r="B54" s="390"/>
      <c r="C54" s="390"/>
      <c r="D54" s="201"/>
      <c r="E54" s="201"/>
      <c r="F54" s="201"/>
      <c r="G54" s="201"/>
      <c r="H54" s="201"/>
      <c r="I54" s="201"/>
      <c r="J54" s="201"/>
      <c r="K54" s="201"/>
      <c r="L54" s="201"/>
      <c r="M54" s="201"/>
      <c r="N54" s="201"/>
      <c r="O54" s="201"/>
      <c r="P54" s="52"/>
      <c r="Q54" s="52"/>
      <c r="R54" s="52"/>
      <c r="S54" s="52"/>
      <c r="T54" s="52"/>
      <c r="U54" s="52"/>
      <c r="V54" s="52"/>
      <c r="W54" s="52"/>
      <c r="X54" s="52"/>
      <c r="Y54" s="52"/>
      <c r="Z54" s="52"/>
      <c r="AA54" s="52"/>
      <c r="AB54" s="52"/>
      <c r="AC54" s="52"/>
      <c r="AD54" s="52"/>
      <c r="AE54" s="52"/>
      <c r="AF54" s="52"/>
      <c r="AG54" s="52"/>
      <c r="AH54" s="52"/>
    </row>
    <row r="55" spans="1:34">
      <c r="A55" s="201"/>
      <c r="B55" s="201"/>
      <c r="C55" s="201"/>
      <c r="D55" s="201"/>
      <c r="E55" s="201"/>
      <c r="F55" s="201"/>
      <c r="G55" s="201"/>
      <c r="H55" s="201"/>
      <c r="I55" s="201"/>
      <c r="J55" s="201"/>
      <c r="K55" s="201"/>
      <c r="L55" s="201"/>
      <c r="M55" s="201"/>
      <c r="N55" s="201"/>
      <c r="O55" s="201"/>
      <c r="P55" s="52"/>
      <c r="Q55" s="52"/>
      <c r="R55" s="52"/>
      <c r="S55" s="52"/>
      <c r="T55" s="52"/>
      <c r="U55" s="52"/>
      <c r="V55" s="52"/>
      <c r="W55" s="52"/>
      <c r="X55" s="52"/>
      <c r="Y55" s="52"/>
      <c r="Z55" s="52"/>
      <c r="AA55" s="52"/>
      <c r="AB55" s="52"/>
      <c r="AC55" s="52"/>
      <c r="AD55" s="52"/>
      <c r="AE55" s="52"/>
      <c r="AF55" s="52"/>
      <c r="AG55" s="52"/>
      <c r="AH55" s="52"/>
    </row>
    <row r="56" spans="1:34">
      <c r="A56" s="63" t="s">
        <v>2067</v>
      </c>
      <c r="B56" s="201"/>
      <c r="C56" s="201"/>
      <c r="D56" s="201"/>
      <c r="E56" s="201"/>
      <c r="F56" s="201"/>
      <c r="G56" s="201"/>
      <c r="H56" s="201"/>
      <c r="I56" s="201"/>
      <c r="J56" s="201"/>
      <c r="K56" s="201"/>
      <c r="L56" s="201"/>
      <c r="M56" s="201"/>
      <c r="N56" s="201"/>
      <c r="O56" s="201"/>
      <c r="P56" s="52"/>
      <c r="Q56" s="52"/>
      <c r="R56" s="52"/>
      <c r="S56" s="52"/>
      <c r="T56" s="52"/>
      <c r="U56" s="52"/>
      <c r="V56" s="52"/>
      <c r="W56" s="52"/>
      <c r="X56" s="52"/>
      <c r="Y56" s="52"/>
      <c r="Z56" s="52"/>
      <c r="AA56" s="52"/>
      <c r="AB56" s="52"/>
      <c r="AC56" s="52"/>
      <c r="AD56" s="52"/>
      <c r="AE56" s="52"/>
      <c r="AF56" s="52"/>
      <c r="AG56" s="52"/>
      <c r="AH56" s="52"/>
    </row>
    <row r="57" spans="1:34">
      <c r="A57" s="201"/>
      <c r="B57" s="201"/>
      <c r="C57" s="201"/>
      <c r="D57" s="201"/>
      <c r="E57" s="201"/>
      <c r="F57" s="201"/>
      <c r="G57" s="201"/>
      <c r="H57" s="201"/>
      <c r="I57" s="201"/>
      <c r="J57" s="201"/>
      <c r="K57" s="201"/>
      <c r="L57" s="201"/>
      <c r="M57" s="201"/>
      <c r="N57" s="201"/>
      <c r="O57" s="201"/>
      <c r="P57" s="52"/>
      <c r="Q57" s="52"/>
      <c r="R57" s="52"/>
      <c r="S57" s="52"/>
      <c r="T57" s="52"/>
      <c r="U57" s="52"/>
      <c r="V57" s="52"/>
      <c r="W57" s="52"/>
      <c r="X57" s="52"/>
      <c r="Y57" s="52"/>
      <c r="Z57" s="52"/>
      <c r="AA57" s="52"/>
      <c r="AB57" s="52"/>
      <c r="AC57" s="52"/>
      <c r="AD57" s="52"/>
      <c r="AE57" s="52"/>
      <c r="AF57" s="52"/>
      <c r="AG57" s="52"/>
      <c r="AH57" s="52"/>
    </row>
    <row r="58" spans="1:34">
      <c r="A58" s="63" t="s">
        <v>2068</v>
      </c>
      <c r="B58" s="63"/>
      <c r="C58" s="63"/>
      <c r="D58" s="63"/>
      <c r="E58" s="201"/>
      <c r="F58" s="201"/>
      <c r="G58" s="201"/>
      <c r="H58" s="201"/>
      <c r="I58" s="201"/>
      <c r="J58" s="201"/>
      <c r="K58" s="201"/>
      <c r="L58" s="201"/>
      <c r="M58" s="201"/>
      <c r="N58" s="201"/>
      <c r="O58" s="201"/>
      <c r="P58" s="52"/>
      <c r="Q58" s="52"/>
      <c r="R58" s="52"/>
      <c r="S58" s="52"/>
      <c r="T58" s="52"/>
      <c r="U58" s="52"/>
      <c r="V58" s="52"/>
      <c r="W58" s="52"/>
      <c r="X58" s="52"/>
      <c r="Y58" s="52"/>
      <c r="Z58" s="52"/>
      <c r="AA58" s="52"/>
      <c r="AB58" s="52"/>
      <c r="AC58" s="52"/>
      <c r="AD58" s="52"/>
      <c r="AE58" s="52"/>
      <c r="AF58" s="52"/>
      <c r="AG58" s="52"/>
      <c r="AH58" s="52"/>
    </row>
    <row r="59" spans="1:34">
      <c r="A59" s="201"/>
      <c r="B59" s="201"/>
      <c r="C59" s="201"/>
      <c r="D59" s="201"/>
      <c r="E59" s="201"/>
      <c r="F59" s="201"/>
      <c r="G59" s="201"/>
      <c r="H59" s="201"/>
      <c r="I59" s="201"/>
      <c r="J59" s="201"/>
      <c r="K59" s="201"/>
      <c r="L59" s="201"/>
      <c r="M59" s="201"/>
      <c r="N59" s="201"/>
      <c r="O59" s="201"/>
      <c r="P59" s="52"/>
      <c r="Q59" s="52"/>
      <c r="R59" s="52"/>
      <c r="S59" s="52"/>
      <c r="T59" s="52"/>
      <c r="U59" s="52"/>
      <c r="V59" s="52"/>
      <c r="W59" s="52"/>
      <c r="X59" s="52"/>
      <c r="Y59" s="52"/>
      <c r="Z59" s="52"/>
      <c r="AA59" s="52"/>
      <c r="AB59" s="52"/>
      <c r="AC59" s="52"/>
      <c r="AD59" s="52"/>
      <c r="AE59" s="52"/>
      <c r="AF59" s="52"/>
      <c r="AG59" s="52"/>
      <c r="AH59" s="52"/>
    </row>
    <row r="60" spans="1:34">
      <c r="A60" s="63" t="s">
        <v>2404</v>
      </c>
      <c r="B60" s="63"/>
      <c r="C60" s="63"/>
      <c r="D60" s="63"/>
      <c r="E60" s="201"/>
      <c r="F60" s="201"/>
      <c r="G60" s="201"/>
      <c r="H60" s="201"/>
      <c r="I60" s="201"/>
      <c r="J60" s="201"/>
      <c r="K60" s="201"/>
      <c r="L60" s="201"/>
      <c r="M60" s="201"/>
      <c r="N60" s="201"/>
      <c r="O60" s="201"/>
      <c r="P60" s="52"/>
      <c r="Q60" s="52"/>
      <c r="R60" s="52"/>
      <c r="S60" s="52"/>
      <c r="T60" s="52"/>
      <c r="U60" s="52"/>
      <c r="V60" s="52"/>
      <c r="W60" s="52"/>
      <c r="X60" s="52"/>
      <c r="Y60" s="52"/>
      <c r="Z60" s="52"/>
      <c r="AA60" s="52"/>
      <c r="AB60" s="52"/>
      <c r="AC60" s="52"/>
      <c r="AD60" s="52"/>
      <c r="AE60" s="52"/>
      <c r="AF60" s="52"/>
      <c r="AG60" s="52"/>
      <c r="AH60" s="52"/>
    </row>
    <row r="61" spans="1:34">
      <c r="A61" s="201"/>
      <c r="B61" s="201"/>
      <c r="C61" s="201"/>
      <c r="D61" s="201"/>
      <c r="E61" s="201"/>
      <c r="F61" s="201"/>
      <c r="G61" s="201"/>
      <c r="H61" s="201"/>
      <c r="I61" s="201"/>
      <c r="J61" s="201"/>
      <c r="K61" s="201"/>
      <c r="L61" s="201"/>
      <c r="M61" s="201"/>
      <c r="N61" s="201"/>
      <c r="O61" s="201"/>
      <c r="P61" s="52"/>
      <c r="Q61" s="52"/>
      <c r="R61" s="52"/>
      <c r="S61" s="52"/>
      <c r="T61" s="52"/>
      <c r="U61" s="52"/>
      <c r="V61" s="52"/>
      <c r="W61" s="52"/>
      <c r="X61" s="52"/>
      <c r="Y61" s="52"/>
      <c r="Z61" s="52"/>
      <c r="AA61" s="52"/>
      <c r="AB61" s="52"/>
      <c r="AC61" s="52"/>
      <c r="AD61" s="52"/>
      <c r="AE61" s="52"/>
      <c r="AF61" s="52"/>
      <c r="AG61" s="52"/>
      <c r="AH61" s="52"/>
    </row>
    <row r="62" spans="1:34">
      <c r="A62" s="27" t="s">
        <v>1266</v>
      </c>
      <c r="B62" s="27" t="s">
        <v>143</v>
      </c>
      <c r="C62" s="27" t="s">
        <v>1252</v>
      </c>
      <c r="D62" s="27" t="s">
        <v>2122</v>
      </c>
      <c r="E62" s="201"/>
      <c r="F62" s="201"/>
      <c r="G62" s="201"/>
      <c r="H62" s="201"/>
      <c r="I62" s="201"/>
      <c r="J62" s="201"/>
      <c r="K62" s="201"/>
      <c r="L62" s="201"/>
      <c r="M62" s="201"/>
      <c r="N62" s="201"/>
      <c r="O62" s="201"/>
      <c r="P62" s="52"/>
      <c r="Q62" s="52"/>
      <c r="R62" s="52"/>
      <c r="S62" s="52"/>
      <c r="T62" s="52"/>
      <c r="U62" s="52"/>
      <c r="V62" s="52"/>
      <c r="W62" s="52"/>
      <c r="X62" s="52"/>
      <c r="Y62" s="52"/>
      <c r="Z62" s="52"/>
      <c r="AA62" s="52"/>
      <c r="AB62" s="52"/>
      <c r="AC62" s="52"/>
      <c r="AD62" s="52"/>
      <c r="AE62" s="52"/>
      <c r="AF62" s="52"/>
      <c r="AG62" s="52"/>
      <c r="AH62" s="52"/>
    </row>
    <row r="63" spans="1:34">
      <c r="A63" s="320" t="s">
        <v>2123</v>
      </c>
      <c r="B63" s="320" t="s">
        <v>1000</v>
      </c>
      <c r="C63" s="320" t="s">
        <v>2124</v>
      </c>
      <c r="D63" s="320" t="s">
        <v>1000</v>
      </c>
      <c r="E63" s="201"/>
      <c r="F63" s="201"/>
      <c r="G63" s="201"/>
      <c r="H63" s="201"/>
      <c r="I63" s="201"/>
      <c r="J63" s="201"/>
      <c r="K63" s="201"/>
      <c r="L63" s="201"/>
      <c r="M63" s="201"/>
      <c r="N63" s="201"/>
      <c r="O63" s="201"/>
      <c r="P63" s="52"/>
      <c r="Q63" s="52"/>
      <c r="R63" s="52"/>
      <c r="S63" s="52"/>
      <c r="T63" s="52"/>
      <c r="U63" s="52"/>
      <c r="V63" s="52"/>
      <c r="W63" s="52"/>
      <c r="X63" s="52"/>
      <c r="Y63" s="52"/>
      <c r="Z63" s="52"/>
      <c r="AA63" s="52"/>
      <c r="AB63" s="52"/>
      <c r="AC63" s="52"/>
      <c r="AD63" s="52"/>
      <c r="AE63" s="52"/>
      <c r="AF63" s="52"/>
      <c r="AG63" s="52"/>
      <c r="AH63" s="52"/>
    </row>
    <row r="64" spans="1:34">
      <c r="A64" s="320" t="s">
        <v>2125</v>
      </c>
      <c r="B64" s="320" t="s">
        <v>2126</v>
      </c>
      <c r="C64" s="320" t="s">
        <v>467</v>
      </c>
      <c r="D64" s="320" t="s">
        <v>2127</v>
      </c>
      <c r="E64" s="201"/>
      <c r="F64" s="201"/>
      <c r="G64" s="201"/>
      <c r="H64" s="201"/>
      <c r="I64" s="201"/>
      <c r="J64" s="201"/>
      <c r="K64" s="201"/>
      <c r="L64" s="201"/>
      <c r="M64" s="201"/>
      <c r="N64" s="201"/>
      <c r="O64" s="201"/>
      <c r="P64" s="52"/>
      <c r="Q64" s="52"/>
      <c r="R64" s="52"/>
      <c r="S64" s="52"/>
      <c r="T64" s="52"/>
      <c r="U64" s="52"/>
      <c r="V64" s="52"/>
      <c r="W64" s="52"/>
      <c r="X64" s="52"/>
      <c r="Y64" s="52"/>
      <c r="Z64" s="52"/>
      <c r="AA64" s="52"/>
      <c r="AB64" s="52"/>
      <c r="AC64" s="52"/>
      <c r="AD64" s="52"/>
      <c r="AE64" s="52"/>
      <c r="AF64" s="52"/>
      <c r="AG64" s="52"/>
      <c r="AH64" s="52"/>
    </row>
    <row r="65" spans="1:34">
      <c r="A65" s="320" t="s">
        <v>2128</v>
      </c>
      <c r="B65" s="320" t="s">
        <v>999</v>
      </c>
      <c r="C65" s="320" t="s">
        <v>2129</v>
      </c>
      <c r="D65" s="320" t="s">
        <v>999</v>
      </c>
      <c r="E65" s="201"/>
      <c r="F65" s="201"/>
      <c r="G65" s="201"/>
      <c r="H65" s="201"/>
      <c r="I65" s="201"/>
      <c r="J65" s="201"/>
      <c r="K65" s="201"/>
      <c r="L65" s="201"/>
      <c r="M65" s="201"/>
      <c r="N65" s="201"/>
      <c r="O65" s="201"/>
      <c r="P65" s="52"/>
      <c r="Q65" s="52"/>
      <c r="R65" s="52"/>
      <c r="S65" s="52"/>
      <c r="T65" s="52"/>
      <c r="U65" s="52"/>
      <c r="V65" s="52"/>
      <c r="W65" s="52"/>
      <c r="X65" s="52"/>
      <c r="Y65" s="52"/>
      <c r="Z65" s="52"/>
      <c r="AA65" s="52"/>
      <c r="AB65" s="52"/>
      <c r="AC65" s="52"/>
      <c r="AD65" s="52"/>
      <c r="AE65" s="52"/>
      <c r="AF65" s="52"/>
      <c r="AG65" s="52"/>
      <c r="AH65" s="52"/>
    </row>
    <row r="66" spans="1:34">
      <c r="A66" s="201"/>
      <c r="B66" s="201"/>
      <c r="C66" s="201"/>
      <c r="D66" s="201"/>
      <c r="E66" s="201"/>
      <c r="F66" s="201"/>
      <c r="G66" s="201"/>
      <c r="H66" s="201"/>
      <c r="I66" s="201"/>
      <c r="J66" s="201"/>
      <c r="K66" s="201"/>
      <c r="L66" s="201"/>
      <c r="M66" s="201"/>
      <c r="N66" s="201"/>
      <c r="O66" s="201"/>
      <c r="P66" s="52"/>
      <c r="Q66" s="52"/>
      <c r="R66" s="52"/>
      <c r="S66" s="52"/>
      <c r="T66" s="52"/>
      <c r="U66" s="52"/>
      <c r="V66" s="52"/>
      <c r="W66" s="52"/>
      <c r="X66" s="52"/>
      <c r="Y66" s="52"/>
      <c r="Z66" s="52"/>
      <c r="AA66" s="52"/>
      <c r="AB66" s="52"/>
      <c r="AC66" s="52"/>
      <c r="AD66" s="52"/>
      <c r="AE66" s="52"/>
      <c r="AF66" s="52"/>
      <c r="AG66" s="52"/>
      <c r="AH66" s="52"/>
    </row>
    <row r="67" spans="1:34">
      <c r="A67" s="63" t="s">
        <v>2130</v>
      </c>
      <c r="B67" s="63"/>
      <c r="C67" s="63"/>
      <c r="D67" s="390"/>
      <c r="E67" s="201"/>
      <c r="F67" s="201"/>
      <c r="G67" s="201"/>
      <c r="H67" s="201"/>
      <c r="I67" s="201"/>
      <c r="J67" s="201"/>
      <c r="K67" s="201"/>
      <c r="L67" s="201"/>
      <c r="M67" s="201"/>
      <c r="N67" s="201"/>
      <c r="O67" s="201"/>
      <c r="P67" s="52"/>
      <c r="Q67" s="52"/>
      <c r="R67" s="52"/>
      <c r="S67" s="52"/>
      <c r="T67" s="52"/>
      <c r="U67" s="52"/>
      <c r="V67" s="52"/>
      <c r="W67" s="52"/>
      <c r="X67" s="52"/>
      <c r="Y67" s="52"/>
      <c r="Z67" s="52"/>
      <c r="AA67" s="52"/>
      <c r="AB67" s="52"/>
      <c r="AC67" s="52"/>
      <c r="AD67" s="52"/>
      <c r="AE67" s="52"/>
      <c r="AF67" s="52"/>
      <c r="AG67" s="52"/>
      <c r="AH67" s="52"/>
    </row>
    <row r="68" spans="1:34">
      <c r="A68" s="201"/>
      <c r="B68" s="201"/>
      <c r="C68" s="201"/>
      <c r="D68" s="201"/>
      <c r="E68" s="201"/>
      <c r="F68" s="201"/>
      <c r="G68" s="201"/>
      <c r="H68" s="201"/>
      <c r="I68" s="201"/>
      <c r="J68" s="201"/>
      <c r="K68" s="201"/>
      <c r="L68" s="201"/>
      <c r="M68" s="201"/>
      <c r="N68" s="201"/>
      <c r="O68" s="201"/>
      <c r="P68" s="52"/>
      <c r="Q68" s="52"/>
      <c r="R68" s="52"/>
      <c r="S68" s="52"/>
      <c r="T68" s="52"/>
      <c r="U68" s="52"/>
      <c r="V68" s="52"/>
      <c r="W68" s="52"/>
      <c r="X68" s="52"/>
      <c r="Y68" s="52"/>
      <c r="Z68" s="52"/>
      <c r="AA68" s="52"/>
      <c r="AB68" s="52"/>
      <c r="AC68" s="52"/>
      <c r="AD68" s="52"/>
      <c r="AE68" s="52"/>
      <c r="AF68" s="52"/>
      <c r="AG68" s="52"/>
      <c r="AH68" s="52"/>
    </row>
    <row r="69" spans="1:34">
      <c r="A69" s="63" t="s">
        <v>1713</v>
      </c>
      <c r="B69" s="201"/>
      <c r="C69" s="201"/>
      <c r="D69" s="201"/>
      <c r="E69" s="201"/>
      <c r="F69" s="201"/>
      <c r="G69" s="201"/>
      <c r="H69" s="201"/>
      <c r="I69" s="201"/>
      <c r="J69" s="201"/>
      <c r="K69" s="201"/>
      <c r="L69" s="201"/>
      <c r="M69" s="201"/>
      <c r="N69" s="201"/>
      <c r="O69" s="201"/>
      <c r="P69" s="52"/>
      <c r="Q69" s="52"/>
      <c r="R69" s="52"/>
      <c r="S69" s="52"/>
      <c r="T69" s="52"/>
      <c r="U69" s="52"/>
      <c r="V69" s="52"/>
      <c r="W69" s="52"/>
      <c r="X69" s="52"/>
      <c r="Y69" s="52"/>
      <c r="Z69" s="52"/>
      <c r="AA69" s="52"/>
      <c r="AB69" s="52"/>
      <c r="AC69" s="52"/>
      <c r="AD69" s="52"/>
      <c r="AE69" s="52"/>
      <c r="AF69" s="52"/>
      <c r="AG69" s="52"/>
      <c r="AH69" s="52"/>
    </row>
    <row r="70" spans="1:34">
      <c r="A70" s="63" t="s">
        <v>2405</v>
      </c>
      <c r="B70" s="201"/>
      <c r="C70" s="201"/>
      <c r="D70" s="201"/>
      <c r="E70" s="201"/>
      <c r="F70" s="201"/>
      <c r="G70" s="201"/>
      <c r="H70" s="201"/>
      <c r="I70" s="201"/>
      <c r="J70" s="201"/>
      <c r="K70" s="201"/>
      <c r="L70" s="201"/>
      <c r="M70" s="201"/>
      <c r="N70" s="201"/>
      <c r="O70" s="201"/>
      <c r="P70" s="52"/>
      <c r="Q70" s="52"/>
      <c r="R70" s="52"/>
      <c r="S70" s="52"/>
      <c r="T70" s="52"/>
      <c r="U70" s="52"/>
      <c r="V70" s="52"/>
      <c r="W70" s="52"/>
      <c r="X70" s="52"/>
      <c r="Y70" s="52"/>
      <c r="Z70" s="52"/>
      <c r="AA70" s="52"/>
      <c r="AB70" s="52"/>
      <c r="AC70" s="52"/>
      <c r="AD70" s="52"/>
      <c r="AE70" s="52"/>
      <c r="AF70" s="52"/>
      <c r="AG70" s="52"/>
      <c r="AH70" s="52"/>
    </row>
    <row r="71" spans="1:34">
      <c r="A71" s="63" t="s">
        <v>2406</v>
      </c>
      <c r="B71" s="201"/>
      <c r="C71" s="201"/>
      <c r="D71" s="201"/>
      <c r="E71" s="201"/>
      <c r="F71" s="201"/>
      <c r="G71" s="201"/>
      <c r="H71" s="201"/>
      <c r="I71" s="201"/>
      <c r="J71" s="201"/>
      <c r="K71" s="201"/>
      <c r="L71" s="201"/>
      <c r="M71" s="201"/>
      <c r="N71" s="201"/>
      <c r="O71" s="201"/>
      <c r="P71" s="52"/>
      <c r="Q71" s="52"/>
      <c r="R71" s="52"/>
      <c r="S71" s="52"/>
      <c r="T71" s="52"/>
      <c r="U71" s="52"/>
      <c r="V71" s="52"/>
      <c r="W71" s="52"/>
      <c r="X71" s="52"/>
      <c r="Y71" s="52"/>
      <c r="Z71" s="52"/>
      <c r="AA71" s="52"/>
      <c r="AB71" s="52"/>
      <c r="AC71" s="52"/>
      <c r="AD71" s="52"/>
      <c r="AE71" s="52"/>
      <c r="AF71" s="52"/>
      <c r="AG71" s="52"/>
      <c r="AH71" s="52"/>
    </row>
    <row r="72" spans="1:34">
      <c r="A72" s="63" t="s">
        <v>2407</v>
      </c>
      <c r="B72" s="201"/>
      <c r="C72" s="201"/>
      <c r="D72" s="201"/>
      <c r="E72" s="201"/>
      <c r="F72" s="201"/>
      <c r="G72" s="201"/>
      <c r="H72" s="201"/>
      <c r="I72" s="201"/>
      <c r="J72" s="201"/>
      <c r="K72" s="201"/>
      <c r="L72" s="201"/>
      <c r="M72" s="201"/>
      <c r="N72" s="201"/>
      <c r="O72" s="201"/>
      <c r="P72" s="52"/>
      <c r="Q72" s="52"/>
      <c r="R72" s="52"/>
      <c r="S72" s="52"/>
      <c r="T72" s="52"/>
      <c r="U72" s="52"/>
      <c r="V72" s="52"/>
      <c r="W72" s="52"/>
      <c r="X72" s="52"/>
      <c r="Y72" s="52"/>
      <c r="Z72" s="52"/>
      <c r="AA72" s="52"/>
      <c r="AB72" s="52"/>
      <c r="AC72" s="52"/>
      <c r="AD72" s="52"/>
      <c r="AE72" s="52"/>
      <c r="AF72" s="52"/>
      <c r="AG72" s="52"/>
      <c r="AH72" s="52"/>
    </row>
    <row r="73" spans="1:34">
      <c r="A73" s="201"/>
      <c r="B73" s="201"/>
      <c r="C73" s="201"/>
      <c r="D73" s="201"/>
      <c r="E73" s="201"/>
      <c r="F73" s="201"/>
      <c r="G73" s="201"/>
      <c r="H73" s="201"/>
      <c r="I73" s="201"/>
      <c r="J73" s="201"/>
      <c r="K73" s="201"/>
      <c r="L73" s="201"/>
      <c r="M73" s="201"/>
      <c r="N73" s="201"/>
      <c r="O73" s="201"/>
      <c r="P73" s="52"/>
      <c r="Q73" s="52"/>
      <c r="R73" s="52"/>
      <c r="S73" s="52"/>
      <c r="T73" s="52"/>
      <c r="U73" s="52"/>
      <c r="V73" s="52"/>
      <c r="W73" s="52"/>
      <c r="X73" s="52"/>
      <c r="Y73" s="52"/>
      <c r="Z73" s="52"/>
      <c r="AA73" s="52"/>
      <c r="AB73" s="52"/>
      <c r="AC73" s="52"/>
      <c r="AD73" s="52"/>
      <c r="AE73" s="52"/>
      <c r="AF73" s="52"/>
      <c r="AG73" s="52"/>
      <c r="AH73" s="52"/>
    </row>
    <row r="74" spans="1:34">
      <c r="A74" s="63" t="s">
        <v>2178</v>
      </c>
      <c r="B74" s="390"/>
      <c r="C74" s="201"/>
      <c r="D74" s="201"/>
      <c r="E74" s="201"/>
      <c r="F74" s="201"/>
      <c r="G74" s="201"/>
      <c r="H74" s="201"/>
      <c r="I74" s="201"/>
      <c r="J74" s="201"/>
      <c r="K74" s="201"/>
      <c r="L74" s="201"/>
      <c r="M74" s="201"/>
      <c r="N74" s="201"/>
      <c r="O74" s="201"/>
      <c r="P74" s="52"/>
      <c r="Q74" s="52"/>
      <c r="R74" s="52"/>
      <c r="S74" s="52"/>
      <c r="T74" s="52"/>
      <c r="U74" s="52"/>
      <c r="V74" s="52"/>
      <c r="W74" s="52"/>
      <c r="X74" s="52"/>
      <c r="Y74" s="52"/>
      <c r="Z74" s="52"/>
      <c r="AA74" s="52"/>
      <c r="AB74" s="52"/>
      <c r="AC74" s="52"/>
      <c r="AD74" s="52"/>
      <c r="AE74" s="52"/>
      <c r="AF74" s="52"/>
      <c r="AG74" s="52"/>
      <c r="AH74" s="52"/>
    </row>
    <row r="75" spans="1:34">
      <c r="A75" s="201"/>
      <c r="B75" s="201"/>
      <c r="C75" s="201"/>
      <c r="D75" s="201"/>
      <c r="E75" s="201"/>
      <c r="F75" s="201"/>
      <c r="G75" s="201"/>
      <c r="H75" s="201"/>
      <c r="I75" s="201"/>
      <c r="J75" s="201"/>
      <c r="K75" s="201"/>
      <c r="L75" s="201"/>
      <c r="M75" s="201"/>
      <c r="N75" s="201"/>
      <c r="O75" s="201"/>
      <c r="P75" s="52"/>
      <c r="Q75" s="52"/>
      <c r="R75" s="52"/>
      <c r="S75" s="52"/>
      <c r="T75" s="52"/>
      <c r="U75" s="52"/>
      <c r="V75" s="52"/>
      <c r="W75" s="52"/>
      <c r="X75" s="52"/>
      <c r="Y75" s="52"/>
      <c r="Z75" s="52"/>
      <c r="AA75" s="52"/>
      <c r="AB75" s="52"/>
      <c r="AC75" s="52"/>
      <c r="AD75" s="52"/>
      <c r="AE75" s="52"/>
      <c r="AF75" s="52"/>
      <c r="AG75" s="52"/>
      <c r="AH75" s="52"/>
    </row>
    <row r="76" spans="1:34">
      <c r="A76" s="63" t="s">
        <v>2409</v>
      </c>
      <c r="B76" s="63"/>
      <c r="C76" s="63"/>
      <c r="D76" s="63"/>
      <c r="E76" s="47"/>
      <c r="F76" s="47"/>
      <c r="G76" s="47"/>
      <c r="H76" s="201"/>
      <c r="I76" s="201"/>
      <c r="J76" s="201"/>
      <c r="K76" s="201"/>
      <c r="L76" s="201"/>
      <c r="M76" s="201"/>
      <c r="N76" s="201"/>
      <c r="O76" s="201"/>
      <c r="P76" s="52"/>
      <c r="Q76" s="52"/>
      <c r="R76" s="52"/>
      <c r="S76" s="52"/>
      <c r="T76" s="52"/>
      <c r="U76" s="52"/>
      <c r="V76" s="52"/>
      <c r="W76" s="52"/>
      <c r="X76" s="52"/>
      <c r="Y76" s="52"/>
      <c r="Z76" s="52"/>
      <c r="AA76" s="52"/>
      <c r="AB76" s="52"/>
      <c r="AC76" s="52"/>
      <c r="AD76" s="52"/>
      <c r="AE76" s="52"/>
      <c r="AF76" s="52"/>
      <c r="AG76" s="52"/>
      <c r="AH76" s="52"/>
    </row>
    <row r="77" spans="1:34">
      <c r="A77" s="201"/>
      <c r="B77" s="201"/>
      <c r="C77" s="201"/>
      <c r="D77" s="201"/>
      <c r="E77" s="201"/>
      <c r="F77" s="201"/>
      <c r="G77" s="201"/>
      <c r="H77" s="201"/>
      <c r="I77" s="201"/>
      <c r="J77" s="201"/>
      <c r="K77" s="201"/>
      <c r="L77" s="201"/>
      <c r="M77" s="201"/>
      <c r="N77" s="201"/>
      <c r="O77" s="201"/>
      <c r="P77" s="52"/>
      <c r="Q77" s="52"/>
      <c r="R77" s="52"/>
      <c r="S77" s="52"/>
      <c r="T77" s="52"/>
      <c r="U77" s="52"/>
      <c r="V77" s="52"/>
      <c r="W77" s="52"/>
      <c r="X77" s="52"/>
      <c r="Y77" s="52"/>
      <c r="Z77" s="52"/>
      <c r="AA77" s="52"/>
      <c r="AB77" s="52"/>
      <c r="AC77" s="52"/>
      <c r="AD77" s="52"/>
      <c r="AE77" s="52"/>
      <c r="AF77" s="52"/>
      <c r="AG77" s="52"/>
      <c r="AH77" s="52"/>
    </row>
    <row r="78" spans="1:34">
      <c r="A78" s="63" t="s">
        <v>2408</v>
      </c>
      <c r="B78" s="390"/>
      <c r="C78" s="390"/>
      <c r="D78" s="390"/>
      <c r="E78" s="390"/>
      <c r="F78" s="390"/>
      <c r="G78" s="390"/>
      <c r="H78" s="201"/>
      <c r="I78" s="201"/>
      <c r="J78" s="201"/>
      <c r="K78" s="201"/>
      <c r="L78" s="201"/>
      <c r="M78" s="201"/>
      <c r="N78" s="201"/>
      <c r="O78" s="201"/>
      <c r="P78" s="52"/>
      <c r="Q78" s="52"/>
      <c r="R78" s="52"/>
      <c r="S78" s="52"/>
      <c r="T78" s="52"/>
      <c r="U78" s="52"/>
      <c r="V78" s="52"/>
      <c r="W78" s="52"/>
      <c r="X78" s="52"/>
      <c r="Y78" s="52"/>
      <c r="Z78" s="52"/>
      <c r="AA78" s="52"/>
      <c r="AB78" s="52"/>
      <c r="AC78" s="52"/>
      <c r="AD78" s="52"/>
      <c r="AE78" s="52"/>
      <c r="AF78" s="52"/>
      <c r="AG78" s="52"/>
      <c r="AH78" s="52"/>
    </row>
    <row r="79" spans="1:34">
      <c r="A79" s="201"/>
      <c r="B79" s="201"/>
      <c r="C79" s="201"/>
      <c r="D79" s="201"/>
      <c r="E79" s="201"/>
      <c r="F79" s="201"/>
      <c r="G79" s="201"/>
      <c r="H79" s="201"/>
      <c r="I79" s="201"/>
      <c r="J79" s="201"/>
      <c r="K79" s="201"/>
      <c r="L79" s="201"/>
      <c r="M79" s="201"/>
      <c r="N79" s="201"/>
      <c r="O79" s="201"/>
      <c r="P79" s="52"/>
      <c r="Q79" s="52"/>
      <c r="R79" s="52"/>
      <c r="S79" s="52"/>
      <c r="T79" s="52"/>
      <c r="U79" s="52"/>
      <c r="V79" s="52"/>
      <c r="W79" s="52"/>
      <c r="X79" s="52"/>
      <c r="Y79" s="52"/>
      <c r="Z79" s="52"/>
      <c r="AA79" s="52"/>
      <c r="AB79" s="52"/>
      <c r="AC79" s="52"/>
      <c r="AD79" s="52"/>
      <c r="AE79" s="52"/>
      <c r="AF79" s="52"/>
      <c r="AG79" s="52"/>
      <c r="AH79" s="52"/>
    </row>
    <row r="80" spans="1:34">
      <c r="A80" s="63" t="s">
        <v>2494</v>
      </c>
      <c r="B80" s="63"/>
      <c r="C80" s="63"/>
      <c r="D80" s="201"/>
      <c r="E80" s="201"/>
      <c r="F80" s="201"/>
      <c r="G80" s="201"/>
      <c r="H80" s="201"/>
      <c r="I80" s="201"/>
      <c r="J80" s="201"/>
      <c r="K80" s="201"/>
      <c r="L80" s="201"/>
      <c r="M80" s="201"/>
      <c r="N80" s="201"/>
      <c r="O80" s="201"/>
      <c r="P80" s="52"/>
      <c r="Q80" s="52"/>
      <c r="R80" s="52"/>
      <c r="S80" s="52"/>
      <c r="T80" s="52"/>
      <c r="U80" s="52"/>
      <c r="V80" s="52"/>
      <c r="W80" s="52"/>
      <c r="X80" s="52"/>
      <c r="Y80" s="52"/>
      <c r="Z80" s="52"/>
      <c r="AA80" s="52"/>
      <c r="AB80" s="52"/>
      <c r="AC80" s="52"/>
      <c r="AD80" s="52"/>
      <c r="AE80" s="52"/>
      <c r="AF80" s="52"/>
      <c r="AG80" s="52"/>
      <c r="AH80" s="52"/>
    </row>
    <row r="81" spans="1:34">
      <c r="A81" s="201"/>
      <c r="B81" s="201"/>
      <c r="C81" s="201"/>
      <c r="D81" s="201"/>
      <c r="E81" s="201"/>
      <c r="F81" s="201"/>
      <c r="G81" s="201"/>
      <c r="H81" s="201"/>
      <c r="I81" s="201"/>
      <c r="J81" s="201"/>
      <c r="K81" s="201"/>
      <c r="L81" s="201"/>
      <c r="M81" s="201"/>
      <c r="N81" s="201"/>
      <c r="O81" s="201"/>
      <c r="P81" s="52"/>
      <c r="Q81" s="52"/>
      <c r="R81" s="52"/>
      <c r="S81" s="52"/>
      <c r="T81" s="52"/>
      <c r="U81" s="52"/>
      <c r="V81" s="52"/>
      <c r="W81" s="52"/>
      <c r="X81" s="52"/>
      <c r="Y81" s="52"/>
      <c r="Z81" s="52"/>
      <c r="AA81" s="52"/>
      <c r="AB81" s="52"/>
      <c r="AC81" s="52"/>
      <c r="AD81" s="52"/>
      <c r="AE81" s="52"/>
      <c r="AF81" s="52"/>
      <c r="AG81" s="52"/>
      <c r="AH81" s="52"/>
    </row>
    <row r="82" spans="1:34">
      <c r="A82" s="201"/>
      <c r="B82" s="201"/>
      <c r="C82" s="201"/>
      <c r="D82" s="201"/>
      <c r="E82" s="201"/>
      <c r="F82" s="201"/>
      <c r="G82" s="201"/>
      <c r="H82" s="201"/>
      <c r="I82" s="201"/>
      <c r="J82" s="201"/>
      <c r="K82" s="201"/>
      <c r="L82" s="201"/>
      <c r="M82" s="201"/>
      <c r="N82" s="201"/>
      <c r="O82" s="201"/>
      <c r="P82" s="52"/>
      <c r="Q82" s="52"/>
      <c r="R82" s="52"/>
      <c r="S82" s="52"/>
      <c r="T82" s="52"/>
      <c r="U82" s="52"/>
      <c r="V82" s="52"/>
      <c r="W82" s="52"/>
      <c r="X82" s="52"/>
      <c r="Y82" s="52"/>
      <c r="Z82" s="52"/>
      <c r="AA82" s="52"/>
      <c r="AB82" s="52"/>
      <c r="AC82" s="52"/>
      <c r="AD82" s="52"/>
      <c r="AE82" s="52"/>
      <c r="AF82" s="52"/>
      <c r="AG82" s="52"/>
      <c r="AH82" s="52"/>
    </row>
    <row r="83" spans="1:34">
      <c r="A83" s="201"/>
      <c r="B83" s="201"/>
      <c r="C83" s="201"/>
      <c r="D83" s="201"/>
      <c r="E83" s="201"/>
      <c r="F83" s="201"/>
      <c r="G83" s="201"/>
      <c r="H83" s="201"/>
      <c r="I83" s="201"/>
      <c r="J83" s="201"/>
      <c r="K83" s="201"/>
      <c r="L83" s="201"/>
      <c r="M83" s="201"/>
      <c r="N83" s="201"/>
      <c r="O83" s="201"/>
      <c r="P83" s="52"/>
      <c r="Q83" s="52"/>
      <c r="R83" s="52"/>
      <c r="S83" s="52"/>
      <c r="T83" s="52"/>
      <c r="U83" s="52"/>
      <c r="V83" s="52"/>
      <c r="W83" s="52"/>
      <c r="X83" s="52"/>
      <c r="Y83" s="52"/>
      <c r="Z83" s="52"/>
      <c r="AA83" s="52"/>
      <c r="AB83" s="52"/>
      <c r="AC83" s="52"/>
      <c r="AD83" s="52"/>
      <c r="AE83" s="52"/>
      <c r="AF83" s="52"/>
      <c r="AG83" s="52"/>
      <c r="AH83" s="52"/>
    </row>
    <row r="84" spans="1:34">
      <c r="A84" s="201"/>
      <c r="B84" s="201"/>
      <c r="C84" s="201"/>
      <c r="D84" s="201"/>
      <c r="E84" s="201"/>
      <c r="F84" s="201"/>
      <c r="G84" s="201"/>
      <c r="H84" s="201"/>
      <c r="I84" s="201"/>
      <c r="J84" s="201"/>
      <c r="K84" s="201"/>
      <c r="L84" s="201"/>
      <c r="M84" s="201"/>
      <c r="N84" s="201"/>
      <c r="O84" s="201"/>
      <c r="P84" s="52"/>
      <c r="Q84" s="52"/>
      <c r="R84" s="52"/>
      <c r="S84" s="52"/>
      <c r="T84" s="52"/>
      <c r="U84" s="52"/>
      <c r="V84" s="52"/>
      <c r="W84" s="52"/>
      <c r="X84" s="52"/>
      <c r="Y84" s="52"/>
      <c r="Z84" s="52"/>
      <c r="AA84" s="52"/>
      <c r="AB84" s="52"/>
      <c r="AC84" s="52"/>
      <c r="AD84" s="52"/>
      <c r="AE84" s="52"/>
      <c r="AF84" s="52"/>
      <c r="AG84" s="52"/>
      <c r="AH84" s="52"/>
    </row>
    <row r="85" spans="1:34">
      <c r="A85" s="201"/>
      <c r="B85" s="201"/>
      <c r="C85" s="201"/>
      <c r="D85" s="201"/>
      <c r="E85" s="201"/>
      <c r="F85" s="201"/>
      <c r="G85" s="201"/>
      <c r="H85" s="201"/>
      <c r="I85" s="201"/>
      <c r="J85" s="201"/>
      <c r="K85" s="201"/>
      <c r="L85" s="201"/>
      <c r="M85" s="201"/>
      <c r="N85" s="201"/>
      <c r="O85" s="201"/>
      <c r="P85" s="52"/>
      <c r="Q85" s="52"/>
      <c r="R85" s="52"/>
      <c r="S85" s="52"/>
      <c r="T85" s="52"/>
      <c r="U85" s="52"/>
      <c r="V85" s="52"/>
      <c r="W85" s="52"/>
      <c r="X85" s="52"/>
      <c r="Y85" s="52"/>
      <c r="Z85" s="52"/>
      <c r="AA85" s="52"/>
      <c r="AB85" s="52"/>
      <c r="AC85" s="52"/>
      <c r="AD85" s="52"/>
      <c r="AE85" s="52"/>
      <c r="AF85" s="52"/>
      <c r="AG85" s="52"/>
      <c r="AH85" s="52"/>
    </row>
    <row r="86" spans="1:34">
      <c r="A86" s="201"/>
      <c r="B86" s="201"/>
      <c r="C86" s="201"/>
      <c r="D86" s="201"/>
      <c r="E86" s="201"/>
      <c r="F86" s="201"/>
      <c r="G86" s="201"/>
      <c r="H86" s="201"/>
      <c r="I86" s="201"/>
      <c r="J86" s="201"/>
      <c r="K86" s="201"/>
      <c r="L86" s="201"/>
      <c r="M86" s="201"/>
      <c r="N86" s="201"/>
      <c r="O86" s="201"/>
      <c r="P86" s="52"/>
      <c r="Q86" s="52"/>
      <c r="R86" s="52"/>
      <c r="S86" s="52"/>
      <c r="T86" s="52"/>
      <c r="U86" s="52"/>
      <c r="V86" s="52"/>
      <c r="W86" s="52"/>
      <c r="X86" s="52"/>
      <c r="Y86" s="52"/>
      <c r="Z86" s="52"/>
      <c r="AA86" s="52"/>
      <c r="AB86" s="52"/>
      <c r="AC86" s="52"/>
      <c r="AD86" s="52"/>
      <c r="AE86" s="52"/>
      <c r="AF86" s="52"/>
      <c r="AG86" s="52"/>
      <c r="AH86" s="52"/>
    </row>
    <row r="87" spans="1:34">
      <c r="A87" s="201"/>
      <c r="B87" s="201"/>
      <c r="C87" s="201"/>
      <c r="D87" s="201"/>
      <c r="E87" s="201"/>
      <c r="F87" s="201"/>
      <c r="G87" s="201"/>
      <c r="H87" s="201"/>
      <c r="I87" s="201"/>
      <c r="J87" s="201"/>
      <c r="K87" s="201"/>
      <c r="L87" s="201"/>
      <c r="M87" s="201"/>
      <c r="N87" s="201"/>
      <c r="O87" s="201"/>
      <c r="P87" s="52"/>
      <c r="Q87" s="52"/>
      <c r="R87" s="52"/>
      <c r="S87" s="52"/>
      <c r="T87" s="52"/>
      <c r="U87" s="52"/>
      <c r="V87" s="52"/>
      <c r="W87" s="52"/>
      <c r="X87" s="52"/>
      <c r="Y87" s="52"/>
      <c r="Z87" s="52"/>
      <c r="AA87" s="52"/>
      <c r="AB87" s="52"/>
      <c r="AC87" s="52"/>
      <c r="AD87" s="52"/>
      <c r="AE87" s="52"/>
      <c r="AF87" s="52"/>
      <c r="AG87" s="52"/>
      <c r="AH87" s="52"/>
    </row>
    <row r="88" spans="1:34">
      <c r="A88" s="201"/>
      <c r="B88" s="201"/>
      <c r="C88" s="201"/>
      <c r="D88" s="201"/>
      <c r="E88" s="201"/>
      <c r="F88" s="201"/>
      <c r="G88" s="201"/>
      <c r="H88" s="201"/>
      <c r="I88" s="201"/>
      <c r="J88" s="201"/>
      <c r="K88" s="201"/>
      <c r="L88" s="201"/>
      <c r="M88" s="201"/>
      <c r="N88" s="201"/>
      <c r="O88" s="201"/>
      <c r="P88" s="52"/>
      <c r="Q88" s="52"/>
      <c r="R88" s="52"/>
      <c r="S88" s="52"/>
      <c r="T88" s="52"/>
      <c r="U88" s="52"/>
      <c r="V88" s="52"/>
      <c r="W88" s="52"/>
      <c r="X88" s="52"/>
      <c r="Y88" s="52"/>
      <c r="Z88" s="52"/>
      <c r="AA88" s="52"/>
      <c r="AB88" s="52"/>
      <c r="AC88" s="52"/>
      <c r="AD88" s="52"/>
      <c r="AE88" s="52"/>
      <c r="AF88" s="52"/>
      <c r="AG88" s="52"/>
      <c r="AH88" s="52"/>
    </row>
    <row r="89" spans="1:34">
      <c r="A89" s="201"/>
      <c r="B89" s="201"/>
      <c r="C89" s="201"/>
      <c r="D89" s="201"/>
      <c r="E89" s="201"/>
      <c r="F89" s="201"/>
      <c r="G89" s="201"/>
      <c r="H89" s="201"/>
      <c r="I89" s="201"/>
      <c r="J89" s="201"/>
      <c r="K89" s="201"/>
      <c r="L89" s="201"/>
      <c r="M89" s="201"/>
      <c r="N89" s="201"/>
      <c r="O89" s="201"/>
      <c r="P89" s="52"/>
      <c r="Q89" s="52"/>
      <c r="R89" s="52"/>
      <c r="S89" s="52"/>
      <c r="T89" s="52"/>
      <c r="U89" s="52"/>
      <c r="V89" s="52"/>
      <c r="W89" s="52"/>
      <c r="X89" s="52"/>
      <c r="Y89" s="52"/>
      <c r="Z89" s="52"/>
      <c r="AA89" s="52"/>
      <c r="AB89" s="52"/>
      <c r="AC89" s="52"/>
      <c r="AD89" s="52"/>
      <c r="AE89" s="52"/>
      <c r="AF89" s="52"/>
      <c r="AG89" s="52"/>
      <c r="AH89" s="52"/>
    </row>
    <row r="90" spans="1:34">
      <c r="A90" s="201"/>
      <c r="B90" s="201"/>
      <c r="C90" s="201"/>
      <c r="D90" s="201"/>
      <c r="E90" s="201"/>
      <c r="F90" s="201"/>
      <c r="G90" s="201"/>
      <c r="H90" s="201"/>
      <c r="I90" s="201"/>
      <c r="J90" s="201"/>
      <c r="K90" s="201"/>
      <c r="L90" s="201"/>
      <c r="M90" s="201"/>
      <c r="N90" s="201"/>
      <c r="O90" s="201"/>
      <c r="P90" s="52"/>
      <c r="Q90" s="52"/>
      <c r="R90" s="52"/>
      <c r="S90" s="52"/>
      <c r="T90" s="52"/>
      <c r="U90" s="52"/>
      <c r="V90" s="52"/>
      <c r="W90" s="52"/>
      <c r="X90" s="52"/>
      <c r="Y90" s="52"/>
      <c r="Z90" s="52"/>
      <c r="AA90" s="52"/>
      <c r="AB90" s="52"/>
      <c r="AC90" s="52"/>
      <c r="AD90" s="52"/>
      <c r="AE90" s="52"/>
      <c r="AF90" s="52"/>
      <c r="AG90" s="52"/>
      <c r="AH90" s="52"/>
    </row>
    <row r="91" spans="1:34">
      <c r="A91" s="201"/>
      <c r="B91" s="201"/>
      <c r="C91" s="201"/>
      <c r="D91" s="201"/>
      <c r="E91" s="201"/>
      <c r="F91" s="201"/>
      <c r="G91" s="201"/>
      <c r="H91" s="201"/>
      <c r="I91" s="201"/>
      <c r="J91" s="201"/>
      <c r="K91" s="201"/>
      <c r="L91" s="201"/>
      <c r="M91" s="201"/>
      <c r="N91" s="201"/>
      <c r="O91" s="201"/>
      <c r="P91" s="52"/>
      <c r="Q91" s="52"/>
      <c r="R91" s="52"/>
      <c r="S91" s="52"/>
      <c r="T91" s="52"/>
      <c r="U91" s="52"/>
      <c r="V91" s="52"/>
      <c r="W91" s="52"/>
      <c r="X91" s="52"/>
      <c r="Y91" s="52"/>
      <c r="Z91" s="52"/>
      <c r="AA91" s="52"/>
      <c r="AB91" s="52"/>
      <c r="AC91" s="52"/>
      <c r="AD91" s="52"/>
      <c r="AE91" s="52"/>
      <c r="AF91" s="52"/>
      <c r="AG91" s="52"/>
      <c r="AH91" s="52"/>
    </row>
    <row r="92" spans="1:34">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row>
    <row r="93" spans="1:34">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row>
    <row r="94" spans="1:3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row>
    <row r="95" spans="1:34">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row>
    <row r="96" spans="1:34">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row>
    <row r="97" spans="1:34">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row>
    <row r="98" spans="1:34">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row>
    <row r="99" spans="1:34">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row>
    <row r="100" spans="1:34">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row>
    <row r="101" spans="1:34">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row>
    <row r="102" spans="1:34">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row>
    <row r="103" spans="1:34">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row>
    <row r="104" spans="1:3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row>
    <row r="105" spans="1:34">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row>
    <row r="106" spans="1:34">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row>
    <row r="107" spans="1:34">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row>
    <row r="108" spans="1:34">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row>
    <row r="109" spans="1:34">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row>
    <row r="110" spans="1:34">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row>
    <row r="111" spans="1:34">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row>
    <row r="112" spans="1:34">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row>
    <row r="113" spans="1:34">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row>
    <row r="114" spans="1:3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row>
    <row r="115" spans="1:34">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row>
    <row r="116" spans="1:34">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row>
    <row r="117" spans="1:34">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7873-2B3B-4C2A-97A7-1D03A718851A}">
  <dimension ref="A1:AV132"/>
  <sheetViews>
    <sheetView zoomScale="73" zoomScaleNormal="73" workbookViewId="0"/>
  </sheetViews>
  <sheetFormatPr defaultRowHeight="14"/>
  <cols>
    <col min="1" max="1" width="75.25" customWidth="1"/>
    <col min="2" max="2" width="38.83203125" customWidth="1"/>
    <col min="3" max="3" width="21.1640625" customWidth="1"/>
    <col min="4" max="4" width="8" customWidth="1"/>
    <col min="8" max="8" width="20.83203125" customWidth="1"/>
    <col min="9" max="9" width="7.75" customWidth="1"/>
    <col min="10" max="10" width="12.83203125" customWidth="1"/>
    <col min="11" max="11" width="11.75" customWidth="1"/>
    <col min="18" max="18" width="6.58203125" customWidth="1"/>
    <col min="19" max="19" width="16.25" customWidth="1"/>
    <col min="22" max="22" width="11" customWidth="1"/>
    <col min="27" max="27" width="11.25" customWidth="1"/>
    <col min="39" max="39" width="10.83203125" customWidth="1"/>
    <col min="44" max="44" width="12.4140625" customWidth="1"/>
  </cols>
  <sheetData>
    <row r="1" spans="1:48">
      <c r="A1" s="46" t="s">
        <v>1838</v>
      </c>
      <c r="B1" s="47"/>
      <c r="C1" s="47"/>
      <c r="D1" s="46"/>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201"/>
      <c r="AN1" s="201"/>
      <c r="AO1" s="201"/>
      <c r="AP1" s="201"/>
      <c r="AQ1" s="201"/>
      <c r="AR1" s="201"/>
      <c r="AS1" s="201"/>
      <c r="AT1" s="201"/>
      <c r="AU1" s="52"/>
      <c r="AV1" s="52"/>
    </row>
    <row r="2" spans="1:48">
      <c r="A2" s="46" t="s">
        <v>1379</v>
      </c>
      <c r="B2" s="198"/>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201"/>
      <c r="AN2" s="201"/>
      <c r="AO2" s="201"/>
      <c r="AP2" s="201"/>
      <c r="AQ2" s="201"/>
      <c r="AR2" s="201"/>
      <c r="AS2" s="201"/>
      <c r="AT2" s="201"/>
      <c r="AU2" s="52"/>
      <c r="AV2" s="52"/>
    </row>
    <row r="3" spans="1:48" ht="14.25" customHeight="1">
      <c r="A3" s="320" t="s">
        <v>2428</v>
      </c>
      <c r="B3" s="327"/>
      <c r="C3" s="320"/>
      <c r="D3" s="328"/>
      <c r="E3" s="328"/>
      <c r="F3" s="328"/>
      <c r="G3" s="328"/>
      <c r="H3" s="328"/>
      <c r="I3" s="328"/>
      <c r="J3" s="328"/>
      <c r="K3" s="328"/>
      <c r="L3" s="328"/>
      <c r="M3" s="328"/>
      <c r="N3" s="328"/>
      <c r="O3" s="328"/>
      <c r="P3" s="328"/>
      <c r="Q3" s="328"/>
      <c r="R3" s="328"/>
      <c r="S3" s="328"/>
      <c r="T3" s="443"/>
      <c r="U3" s="443"/>
      <c r="V3" s="443"/>
      <c r="W3" s="443"/>
      <c r="X3" s="443"/>
      <c r="Y3" s="443"/>
      <c r="Z3" s="443"/>
      <c r="AA3" s="443"/>
      <c r="AB3" s="443"/>
      <c r="AC3" s="443"/>
      <c r="AD3" s="443"/>
      <c r="AE3" s="443"/>
      <c r="AF3" s="443"/>
      <c r="AG3" s="443"/>
      <c r="AH3" s="443"/>
      <c r="AI3" s="443"/>
      <c r="AJ3" s="443"/>
      <c r="AK3" s="443"/>
      <c r="AL3" s="443"/>
      <c r="AM3" s="201"/>
      <c r="AN3" s="201"/>
      <c r="AO3" s="201"/>
      <c r="AP3" s="201"/>
      <c r="AQ3" s="201"/>
      <c r="AR3" s="201"/>
      <c r="AS3" s="201"/>
      <c r="AT3" s="201"/>
      <c r="AU3" s="52"/>
      <c r="AV3" s="52"/>
    </row>
    <row r="4" spans="1:48">
      <c r="A4" s="27" t="s">
        <v>451</v>
      </c>
      <c r="B4" s="27" t="s">
        <v>1374</v>
      </c>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201"/>
      <c r="AN4" s="201"/>
      <c r="AO4" s="201"/>
      <c r="AP4" s="201"/>
      <c r="AQ4" s="201"/>
      <c r="AR4" s="201"/>
      <c r="AS4" s="201"/>
      <c r="AT4" s="201"/>
      <c r="AU4" s="52"/>
      <c r="AV4" s="52"/>
    </row>
    <row r="5" spans="1:48">
      <c r="A5" s="46" t="s">
        <v>247</v>
      </c>
      <c r="B5" s="46" t="s">
        <v>116</v>
      </c>
      <c r="C5" s="47"/>
      <c r="D5" s="47"/>
      <c r="E5" s="47"/>
      <c r="F5" s="63" t="s">
        <v>832</v>
      </c>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390"/>
      <c r="AN5" s="390"/>
      <c r="AO5" s="390"/>
      <c r="AP5" s="390"/>
      <c r="AQ5" s="390"/>
      <c r="AR5" s="390"/>
      <c r="AS5" s="201"/>
      <c r="AT5" s="201"/>
      <c r="AU5" s="52"/>
      <c r="AV5" s="52"/>
    </row>
    <row r="6" spans="1:48">
      <c r="A6" s="320" t="s">
        <v>246</v>
      </c>
      <c r="B6" s="46" t="s">
        <v>1375</v>
      </c>
      <c r="C6" s="47"/>
      <c r="D6" s="47"/>
      <c r="E6" s="47"/>
      <c r="F6" s="63" t="s">
        <v>2047</v>
      </c>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390"/>
      <c r="AN6" s="390"/>
      <c r="AO6" s="390"/>
      <c r="AP6" s="390"/>
      <c r="AQ6" s="390"/>
      <c r="AR6" s="390"/>
      <c r="AS6" s="201"/>
      <c r="AT6" s="201"/>
      <c r="AU6" s="52"/>
      <c r="AV6" s="52"/>
    </row>
    <row r="7" spans="1:48">
      <c r="A7" s="320" t="s">
        <v>1376</v>
      </c>
      <c r="B7" s="46" t="s">
        <v>1377</v>
      </c>
      <c r="C7" s="47"/>
      <c r="D7" s="47"/>
      <c r="E7" s="47"/>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390"/>
      <c r="AN7" s="390"/>
      <c r="AO7" s="390"/>
      <c r="AP7" s="390"/>
      <c r="AQ7" s="390"/>
      <c r="AR7" s="390"/>
      <c r="AS7" s="201"/>
      <c r="AT7" s="201"/>
      <c r="AU7" s="52"/>
      <c r="AV7" s="52"/>
    </row>
    <row r="8" spans="1:48">
      <c r="A8" s="320" t="s">
        <v>1714</v>
      </c>
      <c r="B8" s="495" t="str">
        <f>'Investment Recommendation'!B45</f>
        <v>SELL</v>
      </c>
      <c r="C8" s="47"/>
      <c r="D8" s="47"/>
      <c r="E8" s="47"/>
      <c r="F8" s="63" t="s">
        <v>2048</v>
      </c>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390"/>
      <c r="AN8" s="390"/>
      <c r="AO8" s="390"/>
      <c r="AP8" s="390"/>
      <c r="AQ8" s="390"/>
      <c r="AR8" s="390"/>
      <c r="AS8" s="201"/>
      <c r="AT8" s="201"/>
      <c r="AU8" s="52"/>
      <c r="AV8" s="52"/>
    </row>
    <row r="9" spans="1:48">
      <c r="A9" s="320" t="s">
        <v>864</v>
      </c>
      <c r="B9" s="434">
        <f>'Investment Recommendation'!B25</f>
        <v>389.90639339738749</v>
      </c>
      <c r="C9" s="47"/>
      <c r="D9" s="47"/>
      <c r="E9" s="47"/>
      <c r="F9" s="63" t="s">
        <v>2049</v>
      </c>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390"/>
      <c r="AN9" s="390"/>
      <c r="AO9" s="390"/>
      <c r="AP9" s="390"/>
      <c r="AQ9" s="390"/>
      <c r="AR9" s="390"/>
      <c r="AS9" s="201"/>
      <c r="AT9" s="201"/>
      <c r="AU9" s="52"/>
      <c r="AV9" s="52"/>
    </row>
    <row r="10" spans="1:48">
      <c r="A10" s="320" t="s">
        <v>865</v>
      </c>
      <c r="B10" s="434">
        <v>450</v>
      </c>
      <c r="C10" s="47"/>
      <c r="D10" s="47"/>
      <c r="E10" s="47"/>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390"/>
      <c r="AN10" s="390"/>
      <c r="AO10" s="390"/>
      <c r="AP10" s="390"/>
      <c r="AQ10" s="390"/>
      <c r="AR10" s="390"/>
      <c r="AS10" s="201"/>
      <c r="AT10" s="201"/>
      <c r="AU10" s="52"/>
      <c r="AV10" s="52"/>
    </row>
    <row r="11" spans="1:48">
      <c r="A11" s="320" t="s">
        <v>816</v>
      </c>
      <c r="B11" s="442">
        <f>'Investment Recommendation'!B44</f>
        <v>-0.13354134800580558</v>
      </c>
      <c r="C11" s="47"/>
      <c r="D11" s="47"/>
      <c r="E11" s="47"/>
      <c r="F11" s="63" t="s">
        <v>1006</v>
      </c>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390"/>
      <c r="AN11" s="390"/>
      <c r="AO11" s="390"/>
      <c r="AP11" s="390"/>
      <c r="AQ11" s="390"/>
      <c r="AR11" s="390"/>
      <c r="AS11" s="201"/>
      <c r="AT11" s="201"/>
      <c r="AU11" s="52"/>
      <c r="AV11" s="52"/>
    </row>
    <row r="12" spans="1:48">
      <c r="A12" s="320" t="s">
        <v>1378</v>
      </c>
      <c r="B12" s="63" t="s">
        <v>1400</v>
      </c>
      <c r="C12" s="47"/>
      <c r="D12" s="47"/>
      <c r="E12" s="47"/>
      <c r="F12" s="63" t="s">
        <v>2050</v>
      </c>
      <c r="G12" s="63"/>
      <c r="H12" s="63"/>
      <c r="I12" s="63"/>
      <c r="J12" s="63"/>
      <c r="K12" s="63"/>
      <c r="L12" s="63"/>
      <c r="M12" s="63"/>
      <c r="N12" s="63"/>
      <c r="O12" s="63"/>
      <c r="P12" s="63"/>
      <c r="Q12" s="63"/>
      <c r="R12" s="63"/>
      <c r="S12" s="63"/>
      <c r="T12" s="63"/>
      <c r="U12" s="63"/>
      <c r="V12" s="63"/>
      <c r="W12" s="63"/>
      <c r="X12" s="63"/>
      <c r="Y12" s="63"/>
      <c r="Z12" s="47"/>
      <c r="AA12" s="47"/>
      <c r="AB12" s="47"/>
      <c r="AC12" s="47"/>
      <c r="AD12" s="47"/>
      <c r="AE12" s="47"/>
      <c r="AF12" s="47"/>
      <c r="AG12" s="47"/>
      <c r="AH12" s="47"/>
      <c r="AI12" s="47"/>
      <c r="AJ12" s="47"/>
      <c r="AK12" s="47"/>
      <c r="AL12" s="47"/>
      <c r="AM12" s="201"/>
      <c r="AN12" s="201"/>
      <c r="AO12" s="201"/>
      <c r="AP12" s="201"/>
      <c r="AQ12" s="201"/>
      <c r="AR12" s="201"/>
      <c r="AS12" s="201"/>
      <c r="AT12" s="201"/>
      <c r="AU12" s="52"/>
      <c r="AV12" s="52"/>
    </row>
    <row r="13" spans="1:48">
      <c r="A13" s="47"/>
      <c r="B13" s="47"/>
      <c r="C13" s="47"/>
      <c r="D13" s="47"/>
      <c r="E13" s="47"/>
      <c r="F13" s="63"/>
      <c r="G13" s="63"/>
      <c r="H13" s="63"/>
      <c r="I13" s="63"/>
      <c r="J13" s="63"/>
      <c r="K13" s="63"/>
      <c r="L13" s="63"/>
      <c r="M13" s="63"/>
      <c r="N13" s="63"/>
      <c r="O13" s="63"/>
      <c r="P13" s="63"/>
      <c r="Q13" s="63"/>
      <c r="R13" s="63"/>
      <c r="S13" s="63"/>
      <c r="T13" s="63"/>
      <c r="U13" s="63"/>
      <c r="V13" s="63"/>
      <c r="W13" s="63"/>
      <c r="X13" s="63"/>
      <c r="Y13" s="63"/>
      <c r="Z13" s="47"/>
      <c r="AA13" s="47"/>
      <c r="AB13" s="47"/>
      <c r="AC13" s="47"/>
      <c r="AD13" s="47"/>
      <c r="AE13" s="47"/>
      <c r="AF13" s="47"/>
      <c r="AG13" s="47"/>
      <c r="AH13" s="47"/>
      <c r="AI13" s="47"/>
      <c r="AJ13" s="47"/>
      <c r="AK13" s="47"/>
      <c r="AL13" s="47"/>
      <c r="AM13" s="201"/>
      <c r="AN13" s="201"/>
      <c r="AO13" s="201"/>
      <c r="AP13" s="201"/>
      <c r="AQ13" s="201"/>
      <c r="AR13" s="201"/>
      <c r="AS13" s="201"/>
      <c r="AT13" s="201"/>
      <c r="AU13" s="52"/>
      <c r="AV13" s="52"/>
    </row>
    <row r="14" spans="1:48">
      <c r="A14" s="46" t="s">
        <v>1191</v>
      </c>
      <c r="B14" s="47"/>
      <c r="C14" s="47"/>
      <c r="D14" s="47"/>
      <c r="E14" s="47"/>
      <c r="F14" s="63" t="s">
        <v>2051</v>
      </c>
      <c r="G14" s="63"/>
      <c r="H14" s="63"/>
      <c r="I14" s="63"/>
      <c r="J14" s="63"/>
      <c r="K14" s="63"/>
      <c r="L14" s="63"/>
      <c r="M14" s="63"/>
      <c r="N14" s="63"/>
      <c r="O14" s="63"/>
      <c r="P14" s="63"/>
      <c r="Q14" s="63"/>
      <c r="R14" s="63"/>
      <c r="S14" s="63"/>
      <c r="T14" s="63"/>
      <c r="U14" s="63"/>
      <c r="V14" s="63"/>
      <c r="W14" s="63"/>
      <c r="X14" s="63"/>
      <c r="Y14" s="63"/>
      <c r="Z14" s="47"/>
      <c r="AA14" s="47"/>
      <c r="AB14" s="47"/>
      <c r="AC14" s="47"/>
      <c r="AD14" s="47"/>
      <c r="AE14" s="47"/>
      <c r="AF14" s="47"/>
      <c r="AG14" s="47"/>
      <c r="AH14" s="47"/>
      <c r="AI14" s="47"/>
      <c r="AJ14" s="47"/>
      <c r="AK14" s="47"/>
      <c r="AL14" s="47"/>
      <c r="AM14" s="201"/>
      <c r="AN14" s="201"/>
      <c r="AO14" s="201"/>
      <c r="AP14" s="201"/>
      <c r="AQ14" s="201"/>
      <c r="AR14" s="201"/>
      <c r="AS14" s="201"/>
      <c r="AT14" s="201"/>
      <c r="AU14" s="52"/>
      <c r="AV14" s="52"/>
    </row>
    <row r="15" spans="1:48" ht="17.5">
      <c r="A15" s="197" t="s">
        <v>1380</v>
      </c>
      <c r="B15" s="47"/>
      <c r="C15" s="47"/>
      <c r="D15" s="47"/>
      <c r="E15" s="47"/>
      <c r="F15" s="63" t="s">
        <v>2052</v>
      </c>
      <c r="G15" s="63"/>
      <c r="H15" s="63"/>
      <c r="I15" s="63"/>
      <c r="J15" s="63"/>
      <c r="K15" s="63"/>
      <c r="L15" s="63"/>
      <c r="M15" s="63"/>
      <c r="N15" s="63"/>
      <c r="O15" s="63"/>
      <c r="P15" s="63"/>
      <c r="Q15" s="63"/>
      <c r="R15" s="63"/>
      <c r="S15" s="63"/>
      <c r="T15" s="63"/>
      <c r="U15" s="63"/>
      <c r="V15" s="63"/>
      <c r="W15" s="63"/>
      <c r="X15" s="63"/>
      <c r="Y15" s="63"/>
      <c r="Z15" s="47"/>
      <c r="AA15" s="47"/>
      <c r="AB15" s="47"/>
      <c r="AC15" s="47"/>
      <c r="AD15" s="47"/>
      <c r="AE15" s="47"/>
      <c r="AF15" s="47"/>
      <c r="AG15" s="47"/>
      <c r="AH15" s="47"/>
      <c r="AI15" s="47"/>
      <c r="AJ15" s="47"/>
      <c r="AK15" s="47"/>
      <c r="AL15" s="47"/>
      <c r="AM15" s="201"/>
      <c r="AN15" s="201"/>
      <c r="AO15" s="201"/>
      <c r="AP15" s="201"/>
      <c r="AQ15" s="201"/>
      <c r="AR15" s="201"/>
      <c r="AS15" s="201"/>
      <c r="AT15" s="201"/>
      <c r="AU15" s="52"/>
      <c r="AV15" s="52"/>
    </row>
    <row r="16" spans="1:48">
      <c r="A16" s="329" t="s">
        <v>1929</v>
      </c>
      <c r="B16" s="47"/>
      <c r="C16" s="47"/>
      <c r="D16" s="47"/>
      <c r="E16" s="47"/>
      <c r="F16" s="63"/>
      <c r="G16" s="63"/>
      <c r="H16" s="63"/>
      <c r="I16" s="63"/>
      <c r="J16" s="63"/>
      <c r="K16" s="63"/>
      <c r="L16" s="63"/>
      <c r="M16" s="63"/>
      <c r="N16" s="63"/>
      <c r="O16" s="63"/>
      <c r="P16" s="63"/>
      <c r="Q16" s="63"/>
      <c r="R16" s="63"/>
      <c r="S16" s="63"/>
      <c r="T16" s="63"/>
      <c r="U16" s="63"/>
      <c r="V16" s="63"/>
      <c r="W16" s="63"/>
      <c r="X16" s="63"/>
      <c r="Y16" s="63"/>
      <c r="Z16" s="47"/>
      <c r="AA16" s="47"/>
      <c r="AB16" s="47"/>
      <c r="AC16" s="47"/>
      <c r="AD16" s="47"/>
      <c r="AE16" s="47"/>
      <c r="AF16" s="47"/>
      <c r="AG16" s="47"/>
      <c r="AH16" s="47"/>
      <c r="AI16" s="47"/>
      <c r="AJ16" s="47"/>
      <c r="AK16" s="47"/>
      <c r="AL16" s="47"/>
      <c r="AM16" s="201"/>
      <c r="AN16" s="201"/>
      <c r="AO16" s="201"/>
      <c r="AP16" s="201"/>
      <c r="AQ16" s="201"/>
      <c r="AR16" s="201"/>
      <c r="AS16" s="201"/>
      <c r="AT16" s="201"/>
      <c r="AU16" s="52"/>
      <c r="AV16" s="52"/>
    </row>
    <row r="17" spans="1:48">
      <c r="A17" s="329" t="s">
        <v>1930</v>
      </c>
      <c r="B17" s="47"/>
      <c r="C17" s="47"/>
      <c r="D17" s="47"/>
      <c r="E17" s="47"/>
      <c r="F17" s="63" t="s">
        <v>2053</v>
      </c>
      <c r="G17" s="63"/>
      <c r="H17" s="63"/>
      <c r="I17" s="63"/>
      <c r="J17" s="63"/>
      <c r="K17" s="63"/>
      <c r="L17" s="63"/>
      <c r="M17" s="63"/>
      <c r="N17" s="63"/>
      <c r="O17" s="63"/>
      <c r="P17" s="63"/>
      <c r="Q17" s="63"/>
      <c r="R17" s="63"/>
      <c r="S17" s="63"/>
      <c r="T17" s="63"/>
      <c r="U17" s="63"/>
      <c r="V17" s="63"/>
      <c r="W17" s="63"/>
      <c r="X17" s="63"/>
      <c r="Y17" s="63"/>
      <c r="Z17" s="47"/>
      <c r="AA17" s="47"/>
      <c r="AB17" s="47"/>
      <c r="AC17" s="47"/>
      <c r="AD17" s="47"/>
      <c r="AE17" s="47"/>
      <c r="AF17" s="47"/>
      <c r="AG17" s="47"/>
      <c r="AH17" s="47"/>
      <c r="AI17" s="47"/>
      <c r="AJ17" s="47"/>
      <c r="AK17" s="47"/>
      <c r="AL17" s="47"/>
      <c r="AM17" s="201"/>
      <c r="AN17" s="201"/>
      <c r="AO17" s="201"/>
      <c r="AP17" s="201"/>
      <c r="AQ17" s="201"/>
      <c r="AR17" s="201"/>
      <c r="AS17" s="201"/>
      <c r="AT17" s="201"/>
      <c r="AU17" s="52"/>
      <c r="AV17" s="52"/>
    </row>
    <row r="18" spans="1:48">
      <c r="A18" s="329" t="s">
        <v>1931</v>
      </c>
      <c r="B18" s="47"/>
      <c r="C18" s="47"/>
      <c r="D18" s="47"/>
      <c r="E18" s="47"/>
      <c r="F18" s="63" t="s">
        <v>2054</v>
      </c>
      <c r="G18" s="63"/>
      <c r="H18" s="63"/>
      <c r="I18" s="63"/>
      <c r="J18" s="63"/>
      <c r="K18" s="63"/>
      <c r="L18" s="63"/>
      <c r="M18" s="63"/>
      <c r="N18" s="63"/>
      <c r="O18" s="63"/>
      <c r="P18" s="63"/>
      <c r="Q18" s="63"/>
      <c r="R18" s="63"/>
      <c r="S18" s="63"/>
      <c r="T18" s="63"/>
      <c r="U18" s="63"/>
      <c r="V18" s="63"/>
      <c r="W18" s="63"/>
      <c r="X18" s="63"/>
      <c r="Y18" s="63"/>
      <c r="Z18" s="47"/>
      <c r="AA18" s="47"/>
      <c r="AB18" s="47"/>
      <c r="AC18" s="47"/>
      <c r="AD18" s="47"/>
      <c r="AE18" s="47"/>
      <c r="AF18" s="47"/>
      <c r="AG18" s="47"/>
      <c r="AH18" s="47"/>
      <c r="AI18" s="47"/>
      <c r="AJ18" s="47"/>
      <c r="AK18" s="47"/>
      <c r="AL18" s="47"/>
      <c r="AM18" s="201"/>
      <c r="AN18" s="201"/>
      <c r="AO18" s="201"/>
      <c r="AP18" s="201"/>
      <c r="AQ18" s="201"/>
      <c r="AR18" s="201"/>
      <c r="AS18" s="201"/>
      <c r="AT18" s="201"/>
      <c r="AU18" s="52"/>
      <c r="AV18" s="52"/>
    </row>
    <row r="19" spans="1:48">
      <c r="A19" s="198"/>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201"/>
      <c r="AN19" s="201"/>
      <c r="AO19" s="201"/>
      <c r="AP19" s="201"/>
      <c r="AQ19" s="201"/>
      <c r="AR19" s="201"/>
      <c r="AS19" s="201"/>
      <c r="AT19" s="201"/>
      <c r="AU19" s="52"/>
      <c r="AV19" s="52"/>
    </row>
    <row r="20" spans="1:48" ht="17.5">
      <c r="A20" s="197" t="s">
        <v>1381</v>
      </c>
      <c r="B20" s="47"/>
      <c r="C20" s="47"/>
      <c r="D20" s="47"/>
      <c r="E20" s="47"/>
      <c r="F20" s="63" t="s">
        <v>2429</v>
      </c>
      <c r="G20" s="63"/>
      <c r="H20" s="63"/>
      <c r="I20" s="63"/>
      <c r="J20" s="63"/>
      <c r="K20" s="63"/>
      <c r="L20" s="63"/>
      <c r="M20" s="63"/>
      <c r="N20" s="63"/>
      <c r="O20" s="63"/>
      <c r="P20" s="63"/>
      <c r="Q20" s="63"/>
      <c r="R20" s="63"/>
      <c r="S20" s="63"/>
      <c r="T20" s="47"/>
      <c r="U20" s="47"/>
      <c r="V20" s="47"/>
      <c r="W20" s="47"/>
      <c r="X20" s="47"/>
      <c r="Y20" s="47"/>
      <c r="Z20" s="47"/>
      <c r="AA20" s="47"/>
      <c r="AB20" s="47"/>
      <c r="AC20" s="47"/>
      <c r="AD20" s="47"/>
      <c r="AE20" s="47"/>
      <c r="AF20" s="47"/>
      <c r="AG20" s="47"/>
      <c r="AH20" s="47"/>
      <c r="AI20" s="47"/>
      <c r="AJ20" s="47"/>
      <c r="AK20" s="47"/>
      <c r="AL20" s="47"/>
      <c r="AM20" s="201"/>
      <c r="AN20" s="201"/>
      <c r="AO20" s="201"/>
      <c r="AP20" s="201"/>
      <c r="AQ20" s="201"/>
      <c r="AR20" s="201"/>
      <c r="AS20" s="201"/>
      <c r="AT20" s="201"/>
      <c r="AU20" s="52"/>
      <c r="AV20" s="52"/>
    </row>
    <row r="21" spans="1:48">
      <c r="A21" s="329" t="s">
        <v>1932</v>
      </c>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201"/>
      <c r="AN21" s="201"/>
      <c r="AO21" s="201"/>
      <c r="AP21" s="201"/>
      <c r="AQ21" s="201"/>
      <c r="AR21" s="201"/>
      <c r="AS21" s="201"/>
      <c r="AT21" s="201"/>
      <c r="AU21" s="52"/>
      <c r="AV21" s="52"/>
    </row>
    <row r="22" spans="1:48">
      <c r="A22" s="329" t="s">
        <v>1933</v>
      </c>
      <c r="B22" s="47"/>
      <c r="C22" s="47"/>
      <c r="D22" s="47"/>
      <c r="E22" s="47"/>
      <c r="F22" s="63" t="s">
        <v>2433</v>
      </c>
      <c r="G22" s="63"/>
      <c r="H22" s="63"/>
      <c r="I22" s="63"/>
      <c r="J22" s="63"/>
      <c r="K22" s="63"/>
      <c r="L22" s="63"/>
      <c r="M22" s="63"/>
      <c r="N22" s="63"/>
      <c r="O22" s="63"/>
      <c r="P22" s="63"/>
      <c r="Q22" s="63"/>
      <c r="R22" s="63"/>
      <c r="S22" s="63"/>
      <c r="T22" s="47"/>
      <c r="U22" s="47"/>
      <c r="V22" s="47"/>
      <c r="W22" s="47"/>
      <c r="X22" s="47"/>
      <c r="Y22" s="47"/>
      <c r="Z22" s="47"/>
      <c r="AA22" s="47"/>
      <c r="AB22" s="47"/>
      <c r="AC22" s="47"/>
      <c r="AD22" s="47"/>
      <c r="AE22" s="47"/>
      <c r="AF22" s="47"/>
      <c r="AG22" s="47"/>
      <c r="AH22" s="47"/>
      <c r="AI22" s="47"/>
      <c r="AJ22" s="47"/>
      <c r="AK22" s="47"/>
      <c r="AL22" s="47"/>
      <c r="AM22" s="201"/>
      <c r="AN22" s="201"/>
      <c r="AO22" s="201"/>
      <c r="AP22" s="201"/>
      <c r="AQ22" s="201"/>
      <c r="AR22" s="201"/>
      <c r="AS22" s="201"/>
      <c r="AT22" s="201"/>
      <c r="AU22" s="52"/>
      <c r="AV22" s="52"/>
    </row>
    <row r="23" spans="1:48">
      <c r="A23" s="329" t="s">
        <v>1934</v>
      </c>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201"/>
      <c r="AN23" s="201"/>
      <c r="AO23" s="201"/>
      <c r="AP23" s="201"/>
      <c r="AQ23" s="201"/>
      <c r="AR23" s="201"/>
      <c r="AS23" s="201"/>
      <c r="AT23" s="201"/>
      <c r="AU23" s="52"/>
      <c r="AV23" s="52"/>
    </row>
    <row r="24" spans="1:48">
      <c r="A24" s="198"/>
      <c r="B24" s="47"/>
      <c r="C24" s="47"/>
      <c r="D24" s="47"/>
      <c r="E24" s="47"/>
      <c r="F24" s="63" t="s">
        <v>2434</v>
      </c>
      <c r="G24" s="63"/>
      <c r="H24" s="63"/>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201"/>
      <c r="AN24" s="201"/>
      <c r="AO24" s="201"/>
      <c r="AP24" s="201"/>
      <c r="AQ24" s="201"/>
      <c r="AR24" s="201"/>
      <c r="AS24" s="201"/>
      <c r="AT24" s="201"/>
      <c r="AU24" s="52"/>
      <c r="AV24" s="52"/>
    </row>
    <row r="25" spans="1:48" ht="17.5">
      <c r="A25" s="197" t="s">
        <v>1382</v>
      </c>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201"/>
      <c r="AN25" s="201"/>
      <c r="AO25" s="201"/>
      <c r="AP25" s="201"/>
      <c r="AQ25" s="201"/>
      <c r="AR25" s="201"/>
      <c r="AS25" s="201"/>
      <c r="AT25" s="201"/>
      <c r="AU25" s="52"/>
      <c r="AV25" s="52"/>
    </row>
    <row r="26" spans="1:48">
      <c r="A26" s="329" t="s">
        <v>1935</v>
      </c>
      <c r="B26" s="286"/>
      <c r="C26" s="47"/>
      <c r="D26" s="47"/>
      <c r="E26" s="47"/>
      <c r="F26" s="63" t="s">
        <v>2435</v>
      </c>
      <c r="G26" s="63"/>
      <c r="H26" s="63"/>
      <c r="I26" s="63"/>
      <c r="J26" s="63"/>
      <c r="K26" s="63"/>
      <c r="L26" s="63"/>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201"/>
      <c r="AN26" s="201"/>
      <c r="AO26" s="201"/>
      <c r="AP26" s="201"/>
      <c r="AQ26" s="201"/>
      <c r="AR26" s="201"/>
      <c r="AS26" s="201"/>
      <c r="AT26" s="201"/>
      <c r="AU26" s="52"/>
      <c r="AV26" s="52"/>
    </row>
    <row r="27" spans="1:48">
      <c r="A27" s="329" t="s">
        <v>1936</v>
      </c>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201"/>
      <c r="AN27" s="201"/>
      <c r="AO27" s="201"/>
      <c r="AP27" s="201"/>
      <c r="AQ27" s="201"/>
      <c r="AR27" s="201"/>
      <c r="AS27" s="201"/>
      <c r="AT27" s="201"/>
      <c r="AU27" s="52"/>
      <c r="AV27" s="52"/>
    </row>
    <row r="28" spans="1:48">
      <c r="A28" s="327" t="s">
        <v>1937</v>
      </c>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201"/>
      <c r="AN28" s="201"/>
      <c r="AO28" s="201"/>
      <c r="AP28" s="201"/>
      <c r="AQ28" s="201"/>
      <c r="AR28" s="201"/>
      <c r="AS28" s="201"/>
      <c r="AT28" s="201"/>
      <c r="AU28" s="52"/>
      <c r="AV28" s="52"/>
    </row>
    <row r="29" spans="1:48">
      <c r="A29" s="198"/>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201"/>
      <c r="AN29" s="201"/>
      <c r="AO29" s="201"/>
      <c r="AP29" s="201"/>
      <c r="AQ29" s="201"/>
      <c r="AR29" s="201"/>
      <c r="AS29" s="201"/>
      <c r="AT29" s="201"/>
      <c r="AU29" s="52"/>
      <c r="AV29" s="52"/>
    </row>
    <row r="30" spans="1:48" ht="17.5">
      <c r="A30" s="197" t="s">
        <v>1383</v>
      </c>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201"/>
      <c r="AN30" s="201"/>
      <c r="AO30" s="201"/>
      <c r="AP30" s="201"/>
      <c r="AQ30" s="201"/>
      <c r="AR30" s="201"/>
      <c r="AS30" s="201"/>
      <c r="AT30" s="201"/>
      <c r="AU30" s="52"/>
      <c r="AV30" s="52"/>
    </row>
    <row r="31" spans="1:48">
      <c r="A31" s="329" t="s">
        <v>1938</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201"/>
      <c r="AN31" s="201"/>
      <c r="AO31" s="201"/>
      <c r="AP31" s="201"/>
      <c r="AQ31" s="201"/>
      <c r="AR31" s="201"/>
      <c r="AS31" s="201"/>
      <c r="AT31" s="201"/>
      <c r="AU31" s="52"/>
      <c r="AV31" s="52"/>
    </row>
    <row r="32" spans="1:48">
      <c r="A32" s="329" t="s">
        <v>1939</v>
      </c>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201"/>
      <c r="AN32" s="201"/>
      <c r="AO32" s="201"/>
      <c r="AP32" s="201"/>
      <c r="AQ32" s="201"/>
      <c r="AR32" s="201"/>
      <c r="AS32" s="201"/>
      <c r="AT32" s="201"/>
      <c r="AU32" s="52"/>
      <c r="AV32" s="52"/>
    </row>
    <row r="33" spans="1:48">
      <c r="A33" s="198"/>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201"/>
      <c r="AN33" s="201"/>
      <c r="AO33" s="201"/>
      <c r="AP33" s="201"/>
      <c r="AQ33" s="201"/>
      <c r="AR33" s="201"/>
      <c r="AS33" s="201"/>
      <c r="AT33" s="201"/>
      <c r="AU33" s="52"/>
      <c r="AV33" s="52"/>
    </row>
    <row r="34" spans="1:48" ht="17.5">
      <c r="A34" s="197" t="s">
        <v>1384</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201"/>
      <c r="AN34" s="201"/>
      <c r="AO34" s="201"/>
      <c r="AP34" s="201"/>
      <c r="AQ34" s="201"/>
      <c r="AR34" s="201"/>
      <c r="AS34" s="201"/>
      <c r="AT34" s="201"/>
      <c r="AU34" s="52"/>
      <c r="AV34" s="52"/>
    </row>
    <row r="35" spans="1:48">
      <c r="A35" s="329" t="s">
        <v>1940</v>
      </c>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201"/>
      <c r="AN35" s="201"/>
      <c r="AO35" s="201"/>
      <c r="AP35" s="201"/>
      <c r="AQ35" s="201"/>
      <c r="AR35" s="201"/>
      <c r="AS35" s="201"/>
      <c r="AT35" s="201"/>
      <c r="AU35" s="52"/>
      <c r="AV35" s="52"/>
    </row>
    <row r="36" spans="1:48">
      <c r="A36" s="329" t="s">
        <v>1941</v>
      </c>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201"/>
      <c r="AN36" s="201"/>
      <c r="AO36" s="201"/>
      <c r="AP36" s="201"/>
      <c r="AQ36" s="201"/>
      <c r="AR36" s="201"/>
      <c r="AS36" s="201"/>
      <c r="AT36" s="201"/>
      <c r="AU36" s="52"/>
      <c r="AV36" s="52"/>
    </row>
    <row r="37" spans="1:48">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201"/>
      <c r="AN37" s="201"/>
      <c r="AO37" s="201"/>
      <c r="AP37" s="201"/>
      <c r="AQ37" s="201"/>
      <c r="AR37" s="201"/>
      <c r="AS37" s="201"/>
      <c r="AT37" s="201"/>
      <c r="AU37" s="52"/>
      <c r="AV37" s="52"/>
    </row>
    <row r="38" spans="1:48">
      <c r="A38" s="46" t="s">
        <v>1385</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201"/>
      <c r="AN38" s="201"/>
      <c r="AO38" s="201"/>
      <c r="AP38" s="201"/>
      <c r="AQ38" s="201"/>
      <c r="AR38" s="201"/>
      <c r="AS38" s="201"/>
      <c r="AT38" s="201"/>
      <c r="AU38" s="52"/>
      <c r="AV38" s="52"/>
    </row>
    <row r="39" spans="1:48">
      <c r="A39" s="46" t="s">
        <v>1386</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201"/>
      <c r="AN39" s="201"/>
      <c r="AO39" s="201"/>
      <c r="AP39" s="201"/>
      <c r="AQ39" s="201"/>
      <c r="AR39" s="201"/>
      <c r="AS39" s="201"/>
      <c r="AT39" s="201"/>
      <c r="AU39" s="52"/>
      <c r="AV39" s="52"/>
    </row>
    <row r="40" spans="1:48">
      <c r="A40" s="320" t="s">
        <v>1942</v>
      </c>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201"/>
      <c r="AN40" s="201"/>
      <c r="AO40" s="201"/>
      <c r="AP40" s="201"/>
      <c r="AQ40" s="201"/>
      <c r="AR40" s="201"/>
      <c r="AS40" s="201"/>
      <c r="AT40" s="201"/>
      <c r="AU40" s="52"/>
      <c r="AV40" s="52"/>
    </row>
    <row r="41" spans="1:48">
      <c r="A41" s="320" t="s">
        <v>1943</v>
      </c>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201"/>
      <c r="AN41" s="201"/>
      <c r="AO41" s="201"/>
      <c r="AP41" s="201"/>
      <c r="AQ41" s="201"/>
      <c r="AR41" s="201"/>
      <c r="AS41" s="201"/>
      <c r="AT41" s="201"/>
      <c r="AU41" s="52"/>
      <c r="AV41" s="52"/>
    </row>
    <row r="42" spans="1:48">
      <c r="A42" s="320" t="s">
        <v>1944</v>
      </c>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201"/>
      <c r="AN42" s="201"/>
      <c r="AO42" s="201"/>
      <c r="AP42" s="201"/>
      <c r="AQ42" s="201"/>
      <c r="AR42" s="201"/>
      <c r="AS42" s="201"/>
      <c r="AT42" s="201"/>
      <c r="AU42" s="52"/>
      <c r="AV42" s="52"/>
    </row>
    <row r="43" spans="1:48">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201"/>
      <c r="AN43" s="201"/>
      <c r="AO43" s="201"/>
      <c r="AP43" s="201"/>
      <c r="AQ43" s="201"/>
      <c r="AR43" s="201"/>
      <c r="AS43" s="201"/>
      <c r="AT43" s="201"/>
      <c r="AU43" s="52"/>
      <c r="AV43" s="52"/>
    </row>
    <row r="44" spans="1:48">
      <c r="A44" s="27" t="s">
        <v>1387</v>
      </c>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201"/>
      <c r="AN44" s="201"/>
      <c r="AO44" s="201"/>
      <c r="AP44" s="201"/>
      <c r="AQ44" s="201"/>
      <c r="AR44" s="201"/>
      <c r="AS44" s="201"/>
      <c r="AT44" s="201"/>
      <c r="AU44" s="52"/>
      <c r="AV44" s="52"/>
    </row>
    <row r="45" spans="1:48">
      <c r="A45" s="320" t="s">
        <v>1945</v>
      </c>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201"/>
      <c r="AN45" s="201"/>
      <c r="AO45" s="201"/>
      <c r="AP45" s="201"/>
      <c r="AQ45" s="201"/>
      <c r="AR45" s="201"/>
      <c r="AS45" s="201"/>
      <c r="AT45" s="201"/>
      <c r="AU45" s="52"/>
      <c r="AV45" s="52"/>
    </row>
    <row r="46" spans="1:48">
      <c r="A46" s="320" t="s">
        <v>1946</v>
      </c>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201"/>
      <c r="AN46" s="201"/>
      <c r="AO46" s="201"/>
      <c r="AP46" s="201"/>
      <c r="AQ46" s="201"/>
      <c r="AR46" s="201"/>
      <c r="AS46" s="201"/>
      <c r="AT46" s="201"/>
      <c r="AU46" s="52"/>
      <c r="AV46" s="52"/>
    </row>
    <row r="47" spans="1:48">
      <c r="A47" s="320" t="s">
        <v>1947</v>
      </c>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201"/>
      <c r="AN47" s="201"/>
      <c r="AO47" s="201"/>
      <c r="AP47" s="201"/>
      <c r="AQ47" s="201"/>
      <c r="AR47" s="201"/>
      <c r="AS47" s="201"/>
      <c r="AT47" s="201"/>
      <c r="AU47" s="52"/>
      <c r="AV47" s="52"/>
    </row>
    <row r="48" spans="1: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201"/>
      <c r="AN48" s="201"/>
      <c r="AO48" s="201"/>
      <c r="AP48" s="201"/>
      <c r="AQ48" s="201"/>
      <c r="AR48" s="201"/>
      <c r="AS48" s="201"/>
      <c r="AT48" s="201"/>
      <c r="AU48" s="52"/>
      <c r="AV48" s="52"/>
    </row>
    <row r="49" spans="1:48">
      <c r="A49" s="27" t="s">
        <v>1388</v>
      </c>
      <c r="B49" s="201"/>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201"/>
      <c r="AN49" s="201"/>
      <c r="AO49" s="201"/>
      <c r="AP49" s="201"/>
      <c r="AQ49" s="201"/>
      <c r="AR49" s="201"/>
      <c r="AS49" s="201"/>
      <c r="AT49" s="201"/>
      <c r="AU49" s="52"/>
      <c r="AV49" s="52"/>
    </row>
    <row r="50" spans="1:48">
      <c r="A50" s="27" t="s">
        <v>1389</v>
      </c>
      <c r="B50" s="27" t="s">
        <v>805</v>
      </c>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201"/>
      <c r="AN50" s="201"/>
      <c r="AO50" s="201"/>
      <c r="AP50" s="201"/>
      <c r="AQ50" s="201"/>
      <c r="AR50" s="201"/>
      <c r="AS50" s="201"/>
      <c r="AT50" s="201"/>
      <c r="AU50" s="52"/>
      <c r="AV50" s="52"/>
    </row>
    <row r="51" spans="1:48">
      <c r="A51" s="320" t="s">
        <v>1390</v>
      </c>
      <c r="B51" s="320" t="s">
        <v>1391</v>
      </c>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201"/>
      <c r="AN51" s="201"/>
      <c r="AO51" s="201"/>
      <c r="AP51" s="201"/>
      <c r="AQ51" s="201"/>
      <c r="AR51" s="201"/>
      <c r="AS51" s="201"/>
      <c r="AT51" s="201"/>
      <c r="AU51" s="52"/>
      <c r="AV51" s="52"/>
    </row>
    <row r="52" spans="1:48">
      <c r="A52" s="320" t="s">
        <v>1392</v>
      </c>
      <c r="B52" s="320" t="s">
        <v>1393</v>
      </c>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201"/>
      <c r="AN52" s="201"/>
      <c r="AO52" s="201"/>
      <c r="AP52" s="201"/>
      <c r="AQ52" s="201"/>
      <c r="AR52" s="201"/>
      <c r="AS52" s="201"/>
      <c r="AT52" s="201"/>
      <c r="AU52" s="52"/>
      <c r="AV52" s="52"/>
    </row>
    <row r="53" spans="1:48">
      <c r="A53" s="320" t="s">
        <v>1394</v>
      </c>
      <c r="B53" s="320" t="s">
        <v>1395</v>
      </c>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201"/>
      <c r="AN53" s="201"/>
      <c r="AO53" s="201"/>
      <c r="AP53" s="201"/>
      <c r="AQ53" s="201"/>
      <c r="AR53" s="201"/>
      <c r="AS53" s="201"/>
      <c r="AT53" s="201"/>
      <c r="AU53" s="52"/>
      <c r="AV53" s="52"/>
    </row>
    <row r="54" spans="1:48">
      <c r="A54" s="320" t="s">
        <v>1396</v>
      </c>
      <c r="B54" s="320" t="s">
        <v>1397</v>
      </c>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201"/>
      <c r="AN54" s="201"/>
      <c r="AO54" s="201"/>
      <c r="AP54" s="201"/>
      <c r="AQ54" s="201"/>
      <c r="AR54" s="201"/>
      <c r="AS54" s="201"/>
      <c r="AT54" s="201"/>
      <c r="AU54" s="52"/>
      <c r="AV54" s="52"/>
    </row>
    <row r="55" spans="1:48">
      <c r="A55" s="320" t="s">
        <v>1398</v>
      </c>
      <c r="B55" s="320" t="s">
        <v>1399</v>
      </c>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201"/>
      <c r="AN55" s="201"/>
      <c r="AO55" s="201"/>
      <c r="AP55" s="201"/>
      <c r="AQ55" s="201"/>
      <c r="AR55" s="201"/>
      <c r="AS55" s="201"/>
      <c r="AT55" s="201"/>
      <c r="AU55" s="52"/>
      <c r="AV55" s="52"/>
    </row>
    <row r="56" spans="1:48">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201"/>
      <c r="AN56" s="201"/>
      <c r="AO56" s="201"/>
      <c r="AP56" s="201"/>
      <c r="AQ56" s="201"/>
      <c r="AR56" s="201"/>
      <c r="AS56" s="201"/>
      <c r="AT56" s="201"/>
      <c r="AU56" s="52"/>
      <c r="AV56" s="52"/>
    </row>
    <row r="57" spans="1:48">
      <c r="A57" s="46" t="s">
        <v>966</v>
      </c>
      <c r="B57" s="201"/>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201"/>
      <c r="AN57" s="201"/>
      <c r="AO57" s="201"/>
      <c r="AP57" s="201"/>
      <c r="AQ57" s="201"/>
      <c r="AR57" s="201"/>
      <c r="AS57" s="201"/>
      <c r="AT57" s="201"/>
      <c r="AU57" s="52"/>
      <c r="AV57" s="52"/>
    </row>
    <row r="58" spans="1:48">
      <c r="A58" s="320" t="s">
        <v>1848</v>
      </c>
      <c r="B58" s="434">
        <f>B9</f>
        <v>389.90639339738749</v>
      </c>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201"/>
      <c r="AN58" s="201"/>
      <c r="AO58" s="201"/>
      <c r="AP58" s="201"/>
      <c r="AQ58" s="201"/>
      <c r="AR58" s="201"/>
      <c r="AS58" s="201"/>
      <c r="AT58" s="201"/>
      <c r="AU58" s="52"/>
      <c r="AV58" s="52"/>
    </row>
    <row r="59" spans="1:48">
      <c r="A59" s="320" t="s">
        <v>1849</v>
      </c>
      <c r="B59" s="434">
        <f>B10</f>
        <v>450</v>
      </c>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201"/>
      <c r="AN59" s="201"/>
      <c r="AO59" s="201"/>
      <c r="AP59" s="201"/>
      <c r="AQ59" s="201"/>
      <c r="AR59" s="201"/>
      <c r="AS59" s="201"/>
      <c r="AT59" s="201"/>
      <c r="AU59" s="52"/>
      <c r="AV59" s="52"/>
    </row>
    <row r="60" spans="1:48">
      <c r="A60" s="320" t="s">
        <v>1858</v>
      </c>
      <c r="B60" s="442">
        <f>B11</f>
        <v>-0.13354134800580558</v>
      </c>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201"/>
      <c r="AN60" s="201"/>
      <c r="AO60" s="201"/>
      <c r="AP60" s="201"/>
      <c r="AQ60" s="201"/>
      <c r="AR60" s="201"/>
      <c r="AS60" s="201"/>
      <c r="AT60" s="201"/>
      <c r="AU60" s="52"/>
      <c r="AV60" s="52"/>
    </row>
    <row r="61" spans="1:48">
      <c r="A61" s="320" t="s">
        <v>1850</v>
      </c>
      <c r="B61" s="416" t="str">
        <f>B8</f>
        <v>SELL</v>
      </c>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201"/>
      <c r="AN61" s="201"/>
      <c r="AO61" s="201"/>
      <c r="AP61" s="201"/>
      <c r="AQ61" s="201"/>
      <c r="AR61" s="201"/>
      <c r="AS61" s="201"/>
      <c r="AT61" s="201"/>
      <c r="AU61" s="52"/>
      <c r="AV61" s="52"/>
    </row>
    <row r="62" spans="1:48">
      <c r="A62" s="320" t="s">
        <v>1948</v>
      </c>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201"/>
      <c r="AN62" s="201"/>
      <c r="AO62" s="201"/>
      <c r="AP62" s="201"/>
      <c r="AQ62" s="201"/>
      <c r="AR62" s="201"/>
      <c r="AS62" s="201"/>
      <c r="AT62" s="201"/>
      <c r="AU62" s="52"/>
      <c r="AV62" s="52"/>
    </row>
    <row r="63" spans="1:48">
      <c r="A63" s="320" t="s">
        <v>1949</v>
      </c>
      <c r="B63" s="320"/>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c r="AA63" s="320"/>
      <c r="AB63" s="320"/>
      <c r="AC63" s="47"/>
      <c r="AD63" s="47"/>
      <c r="AE63" s="47"/>
      <c r="AF63" s="47"/>
      <c r="AG63" s="47"/>
      <c r="AH63" s="47"/>
      <c r="AI63" s="47"/>
      <c r="AJ63" s="47"/>
      <c r="AK63" s="47"/>
      <c r="AL63" s="47"/>
      <c r="AM63" s="201"/>
      <c r="AN63" s="201"/>
      <c r="AO63" s="201"/>
      <c r="AP63" s="201"/>
      <c r="AQ63" s="201"/>
      <c r="AR63" s="201"/>
      <c r="AS63" s="201"/>
      <c r="AT63" s="201"/>
      <c r="AU63" s="52"/>
      <c r="AV63" s="52"/>
    </row>
    <row r="64" spans="1:48">
      <c r="A64" s="27" t="s">
        <v>1737</v>
      </c>
      <c r="B64" s="46"/>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201"/>
      <c r="AN64" s="201"/>
      <c r="AO64" s="201"/>
      <c r="AP64" s="201"/>
      <c r="AQ64" s="201"/>
      <c r="AR64" s="201"/>
      <c r="AS64" s="201"/>
      <c r="AT64" s="201"/>
      <c r="AU64" s="52"/>
      <c r="AV64" s="52"/>
    </row>
    <row r="65" spans="1:48">
      <c r="A65" s="320" t="s">
        <v>1950</v>
      </c>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201"/>
      <c r="AN65" s="201"/>
      <c r="AO65" s="201"/>
      <c r="AP65" s="201"/>
      <c r="AQ65" s="201"/>
      <c r="AR65" s="201"/>
      <c r="AS65" s="201"/>
      <c r="AT65" s="201"/>
      <c r="AU65" s="52"/>
      <c r="AV65" s="52"/>
    </row>
    <row r="66" spans="1:48">
      <c r="A66" s="320" t="s">
        <v>1951</v>
      </c>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201"/>
      <c r="AN66" s="201"/>
      <c r="AO66" s="201"/>
      <c r="AP66" s="201"/>
      <c r="AQ66" s="201"/>
      <c r="AR66" s="201"/>
      <c r="AS66" s="201"/>
      <c r="AT66" s="201"/>
      <c r="AU66" s="52"/>
      <c r="AV66" s="52"/>
    </row>
    <row r="67" spans="1:48">
      <c r="A67" s="320" t="s">
        <v>1952</v>
      </c>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201"/>
      <c r="AN67" s="201"/>
      <c r="AO67" s="201"/>
      <c r="AP67" s="201"/>
      <c r="AQ67" s="201"/>
      <c r="AR67" s="201"/>
      <c r="AS67" s="201"/>
      <c r="AT67" s="201"/>
      <c r="AU67" s="52"/>
      <c r="AV67" s="52"/>
    </row>
    <row r="68" spans="1:48">
      <c r="A68" s="320" t="s">
        <v>1953</v>
      </c>
      <c r="B68" s="320"/>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201"/>
      <c r="AN68" s="201"/>
      <c r="AO68" s="201"/>
      <c r="AP68" s="201"/>
      <c r="AQ68" s="201"/>
      <c r="AR68" s="201"/>
      <c r="AS68" s="201"/>
      <c r="AT68" s="201"/>
      <c r="AU68" s="52"/>
      <c r="AV68" s="52"/>
    </row>
    <row r="69" spans="1:48">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201"/>
      <c r="AN69" s="201"/>
      <c r="AO69" s="201"/>
      <c r="AP69" s="201"/>
      <c r="AQ69" s="201"/>
      <c r="AR69" s="201"/>
      <c r="AS69" s="201"/>
      <c r="AT69" s="201"/>
      <c r="AU69" s="52"/>
      <c r="AV69" s="52"/>
    </row>
    <row r="70" spans="1:48">
      <c r="A70" s="27" t="s">
        <v>1809</v>
      </c>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201"/>
      <c r="AN70" s="201"/>
      <c r="AO70" s="201"/>
      <c r="AP70" s="201"/>
      <c r="AQ70" s="201"/>
      <c r="AR70" s="201"/>
      <c r="AS70" s="201"/>
      <c r="AT70" s="201"/>
      <c r="AU70" s="52"/>
      <c r="AV70" s="52"/>
    </row>
    <row r="71" spans="1:48">
      <c r="A71" s="320" t="s">
        <v>1224</v>
      </c>
      <c r="B71" s="47"/>
      <c r="C71" s="46"/>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201"/>
      <c r="AN71" s="201"/>
      <c r="AO71" s="201"/>
      <c r="AP71" s="201"/>
      <c r="AQ71" s="201"/>
      <c r="AR71" s="201"/>
      <c r="AS71" s="201"/>
      <c r="AT71" s="201"/>
      <c r="AU71" s="52"/>
      <c r="AV71" s="52"/>
    </row>
    <row r="72" spans="1:48">
      <c r="A72" s="320" t="s">
        <v>1954</v>
      </c>
      <c r="B72" s="46"/>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201"/>
      <c r="AN72" s="201"/>
      <c r="AO72" s="201"/>
      <c r="AP72" s="201"/>
      <c r="AQ72" s="201"/>
      <c r="AR72" s="201"/>
      <c r="AS72" s="201"/>
      <c r="AT72" s="201"/>
      <c r="AU72" s="52"/>
      <c r="AV72" s="52"/>
    </row>
    <row r="73" spans="1:48">
      <c r="A73" s="320" t="s">
        <v>1955</v>
      </c>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201"/>
      <c r="AN73" s="201"/>
      <c r="AO73" s="201"/>
      <c r="AP73" s="201"/>
      <c r="AQ73" s="201"/>
      <c r="AR73" s="201"/>
      <c r="AS73" s="201"/>
      <c r="AT73" s="201"/>
      <c r="AU73" s="52"/>
      <c r="AV73" s="52"/>
    </row>
    <row r="74" spans="1:48">
      <c r="A74" s="201"/>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201"/>
      <c r="AN74" s="201"/>
      <c r="AO74" s="201"/>
      <c r="AP74" s="201"/>
      <c r="AQ74" s="201"/>
      <c r="AR74" s="201"/>
      <c r="AS74" s="201"/>
      <c r="AT74" s="201"/>
      <c r="AU74" s="52"/>
      <c r="AV74" s="52"/>
    </row>
    <row r="75" spans="1:48">
      <c r="A75" s="27" t="s">
        <v>1660</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201"/>
      <c r="AN75" s="201"/>
      <c r="AO75" s="201"/>
      <c r="AP75" s="201"/>
      <c r="AQ75" s="201"/>
      <c r="AR75" s="201"/>
      <c r="AS75" s="201"/>
      <c r="AT75" s="201"/>
      <c r="AU75" s="52"/>
      <c r="AV75" s="52"/>
    </row>
    <row r="76" spans="1:48">
      <c r="A76" s="320" t="s">
        <v>1956</v>
      </c>
      <c r="B76" s="46"/>
      <c r="C76" s="46"/>
      <c r="D76" s="201"/>
      <c r="E76" s="47"/>
      <c r="F76" s="47"/>
      <c r="G76" s="47"/>
      <c r="H76" s="47"/>
      <c r="I76" s="47"/>
      <c r="J76" s="47"/>
      <c r="K76" s="201"/>
      <c r="L76" s="201"/>
      <c r="M76" s="201"/>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52"/>
      <c r="AV76" s="52"/>
    </row>
    <row r="77" spans="1:48">
      <c r="A77" s="320" t="s">
        <v>1957</v>
      </c>
      <c r="B77" s="87"/>
      <c r="C77" s="46"/>
      <c r="D77" s="201"/>
      <c r="E77" s="47"/>
      <c r="F77" s="47"/>
      <c r="G77" s="47"/>
      <c r="H77" s="47"/>
      <c r="I77" s="47"/>
      <c r="J77" s="47"/>
      <c r="K77" s="201"/>
      <c r="L77" s="201"/>
      <c r="M77" s="201"/>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52"/>
      <c r="AV77" s="52"/>
    </row>
    <row r="78" spans="1:48">
      <c r="A78" s="320" t="s">
        <v>1958</v>
      </c>
      <c r="B78" s="87"/>
      <c r="C78" s="46"/>
      <c r="D78" s="201"/>
      <c r="E78" s="47"/>
      <c r="F78" s="47"/>
      <c r="G78" s="47"/>
      <c r="H78" s="47"/>
      <c r="I78" s="47"/>
      <c r="J78" s="47"/>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52"/>
      <c r="AV78" s="52"/>
    </row>
    <row r="79" spans="1:48">
      <c r="A79" s="201"/>
      <c r="B79" s="201"/>
      <c r="C79" s="201"/>
      <c r="D79" s="47"/>
      <c r="E79" s="47"/>
      <c r="F79" s="47"/>
      <c r="G79" s="47"/>
      <c r="H79" s="47"/>
      <c r="I79" s="47"/>
      <c r="J79" s="47"/>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52"/>
      <c r="AV79" s="52"/>
    </row>
    <row r="80" spans="1:48">
      <c r="A80" s="63" t="s">
        <v>2161</v>
      </c>
      <c r="B80" s="47"/>
      <c r="C80" s="47"/>
      <c r="D80" s="47"/>
      <c r="E80" s="47"/>
      <c r="F80" s="47"/>
      <c r="G80" s="47"/>
      <c r="H80" s="47"/>
      <c r="I80" s="47"/>
      <c r="J80" s="47"/>
      <c r="K80" s="201"/>
      <c r="L80" s="201"/>
      <c r="M80" s="201"/>
      <c r="N80" s="201"/>
      <c r="O80" s="201"/>
      <c r="P80" s="201"/>
      <c r="Q80" s="201"/>
      <c r="R80" s="201"/>
      <c r="S80" s="201"/>
      <c r="T80" s="201"/>
      <c r="U80" s="201"/>
      <c r="V80" s="201"/>
      <c r="W80" s="201"/>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52"/>
      <c r="AV80" s="52"/>
    </row>
    <row r="81" spans="1:48">
      <c r="A81" s="426" t="s">
        <v>1959</v>
      </c>
      <c r="B81" s="63"/>
      <c r="C81" s="63"/>
      <c r="D81" s="63"/>
      <c r="E81" s="63"/>
      <c r="F81" s="63"/>
      <c r="G81" s="63"/>
      <c r="H81" s="63"/>
      <c r="I81" s="47"/>
      <c r="J81" s="47"/>
      <c r="K81" s="201"/>
      <c r="L81" s="201"/>
      <c r="M81" s="201"/>
      <c r="N81" s="201"/>
      <c r="O81" s="201"/>
      <c r="P81" s="201"/>
      <c r="Q81" s="201"/>
      <c r="R81" s="201"/>
      <c r="S81" s="201"/>
      <c r="T81" s="201"/>
      <c r="U81" s="201"/>
      <c r="V81" s="201"/>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52"/>
      <c r="AV81" s="52"/>
    </row>
    <row r="82" spans="1:48">
      <c r="A82" s="426" t="s">
        <v>1851</v>
      </c>
      <c r="B82" s="63"/>
      <c r="C82" s="47"/>
      <c r="D82" s="47"/>
      <c r="E82" s="47"/>
      <c r="F82" s="47"/>
      <c r="G82" s="47"/>
      <c r="H82" s="47"/>
      <c r="I82" s="47"/>
      <c r="J82" s="47"/>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52"/>
      <c r="AV82" s="52"/>
    </row>
    <row r="83" spans="1:48">
      <c r="A83" s="63" t="s">
        <v>1847</v>
      </c>
      <c r="B83" s="63"/>
      <c r="C83" s="47"/>
      <c r="D83" s="47"/>
      <c r="E83" s="47"/>
      <c r="F83" s="47"/>
      <c r="G83" s="47"/>
      <c r="H83" s="47"/>
      <c r="I83" s="47"/>
      <c r="J83" s="47"/>
      <c r="K83" s="201"/>
      <c r="L83" s="201"/>
      <c r="M83" s="201"/>
      <c r="N83" s="201"/>
      <c r="O83" s="201"/>
      <c r="P83" s="201"/>
      <c r="Q83" s="201"/>
      <c r="R83" s="201"/>
      <c r="S83" s="201"/>
      <c r="T83" s="201"/>
      <c r="U83" s="201"/>
      <c r="V83" s="201"/>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52"/>
      <c r="AV83" s="52"/>
    </row>
    <row r="84" spans="1:48">
      <c r="A84" s="63" t="s">
        <v>2160</v>
      </c>
      <c r="B84" s="63"/>
      <c r="C84" s="47"/>
      <c r="D84" s="47"/>
      <c r="E84" s="47"/>
      <c r="F84" s="47"/>
      <c r="G84" s="47"/>
      <c r="H84" s="47"/>
      <c r="I84" s="47"/>
      <c r="J84" s="47"/>
      <c r="K84" s="201"/>
      <c r="L84" s="201"/>
      <c r="M84" s="201"/>
      <c r="N84" s="201"/>
      <c r="O84" s="201"/>
      <c r="P84" s="201"/>
      <c r="Q84" s="201"/>
      <c r="R84" s="201"/>
      <c r="S84" s="201"/>
      <c r="T84" s="201"/>
      <c r="U84" s="201"/>
      <c r="V84" s="201"/>
      <c r="W84" s="201"/>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52"/>
      <c r="AV84" s="52"/>
    </row>
    <row r="85" spans="1:48">
      <c r="A85" s="426" t="s">
        <v>2162</v>
      </c>
      <c r="B85" s="63"/>
      <c r="C85" s="47"/>
      <c r="D85" s="47"/>
      <c r="E85" s="47"/>
      <c r="F85" s="47"/>
      <c r="G85" s="47"/>
      <c r="H85" s="47"/>
      <c r="I85" s="47"/>
      <c r="J85" s="47"/>
      <c r="K85" s="201"/>
      <c r="L85" s="201"/>
      <c r="M85" s="201"/>
      <c r="N85" s="201"/>
      <c r="O85" s="201"/>
      <c r="P85" s="201"/>
      <c r="Q85" s="201"/>
      <c r="R85" s="201"/>
      <c r="S85" s="201"/>
      <c r="T85" s="201"/>
      <c r="U85" s="201"/>
      <c r="V85" s="201"/>
      <c r="W85" s="201"/>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52"/>
      <c r="AV85" s="52"/>
    </row>
    <row r="86" spans="1:48">
      <c r="A86" s="63" t="s">
        <v>2430</v>
      </c>
      <c r="B86" s="63"/>
      <c r="C86" s="63"/>
      <c r="D86" s="63"/>
      <c r="E86" s="63"/>
      <c r="F86" s="63"/>
      <c r="G86" s="63"/>
      <c r="H86" s="63"/>
      <c r="I86" s="63"/>
      <c r="J86" s="47"/>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52"/>
      <c r="AV86" s="52"/>
    </row>
    <row r="87" spans="1:48">
      <c r="A87" s="46"/>
      <c r="B87" s="47"/>
      <c r="C87" s="47"/>
      <c r="D87" s="47"/>
      <c r="E87" s="47"/>
      <c r="F87" s="47"/>
      <c r="G87" s="47"/>
      <c r="H87" s="47"/>
      <c r="I87" s="47"/>
      <c r="J87" s="47"/>
      <c r="K87" s="201"/>
      <c r="L87" s="201"/>
      <c r="M87" s="201"/>
      <c r="N87" s="201"/>
      <c r="O87" s="201"/>
      <c r="P87" s="201"/>
      <c r="Q87" s="201"/>
      <c r="R87" s="201"/>
      <c r="S87" s="201"/>
      <c r="T87" s="201"/>
      <c r="U87" s="201"/>
      <c r="V87" s="201"/>
      <c r="W87" s="201"/>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52"/>
      <c r="AV87" s="52"/>
    </row>
    <row r="88" spans="1:48">
      <c r="A88" s="63" t="s">
        <v>2163</v>
      </c>
      <c r="B88" s="63"/>
      <c r="C88" s="63"/>
      <c r="D88" s="63"/>
      <c r="E88" s="63"/>
      <c r="F88" s="63"/>
      <c r="G88" s="63"/>
      <c r="H88" s="63"/>
      <c r="I88" s="63"/>
      <c r="J88" s="63"/>
      <c r="K88" s="201"/>
      <c r="L88" s="201"/>
      <c r="M88" s="201"/>
      <c r="N88" s="201"/>
      <c r="O88" s="201"/>
      <c r="P88" s="201"/>
      <c r="Q88" s="201"/>
      <c r="R88" s="201"/>
      <c r="S88" s="201"/>
      <c r="T88" s="201"/>
      <c r="U88" s="201"/>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52"/>
      <c r="AV88" s="52"/>
    </row>
    <row r="89" spans="1:48">
      <c r="A89" s="47"/>
      <c r="B89" s="47"/>
      <c r="C89" s="47"/>
      <c r="D89" s="47"/>
      <c r="E89" s="47"/>
      <c r="F89" s="47"/>
      <c r="G89" s="47"/>
      <c r="H89" s="47"/>
      <c r="I89" s="47"/>
      <c r="J89" s="47"/>
      <c r="K89" s="201"/>
      <c r="L89" s="201"/>
      <c r="M89" s="201"/>
      <c r="N89" s="201"/>
      <c r="O89" s="201"/>
      <c r="P89" s="201"/>
      <c r="Q89" s="201"/>
      <c r="R89" s="201"/>
      <c r="S89" s="201"/>
      <c r="T89" s="201"/>
      <c r="U89" s="201"/>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52"/>
      <c r="AV89" s="52"/>
    </row>
    <row r="90" spans="1:48">
      <c r="A90" s="63" t="s">
        <v>2102</v>
      </c>
      <c r="B90" s="63"/>
      <c r="C90" s="63"/>
      <c r="D90" s="63"/>
      <c r="E90" s="63"/>
      <c r="F90" s="63"/>
      <c r="G90" s="63"/>
      <c r="H90" s="63"/>
      <c r="I90" s="47"/>
      <c r="J90" s="47"/>
      <c r="K90" s="201"/>
      <c r="L90" s="201"/>
      <c r="M90" s="201"/>
      <c r="N90" s="201"/>
      <c r="O90" s="201"/>
      <c r="P90" s="201"/>
      <c r="Q90" s="201"/>
      <c r="R90" s="201"/>
      <c r="S90" s="201"/>
      <c r="T90" s="201"/>
      <c r="U90" s="201"/>
      <c r="V90" s="201"/>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52"/>
      <c r="AV90" s="52"/>
    </row>
    <row r="91" spans="1:48">
      <c r="A91" s="63"/>
      <c r="B91" s="63"/>
      <c r="C91" s="63"/>
      <c r="D91" s="63"/>
      <c r="E91" s="63"/>
      <c r="F91" s="63"/>
      <c r="G91" s="63"/>
      <c r="H91" s="63"/>
      <c r="I91" s="47"/>
      <c r="J91" s="47"/>
      <c r="K91" s="201"/>
      <c r="L91" s="201"/>
      <c r="M91" s="201"/>
      <c r="N91" s="201"/>
      <c r="O91" s="201"/>
      <c r="P91" s="201"/>
      <c r="Q91" s="201"/>
      <c r="R91" s="201"/>
      <c r="S91" s="201"/>
      <c r="T91" s="201"/>
      <c r="U91" s="201"/>
      <c r="V91" s="201"/>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52"/>
      <c r="AV91" s="52"/>
    </row>
    <row r="92" spans="1:48">
      <c r="A92" s="63" t="s">
        <v>2103</v>
      </c>
      <c r="B92" s="63"/>
      <c r="C92" s="63"/>
      <c r="D92" s="63"/>
      <c r="E92" s="63"/>
      <c r="F92" s="63"/>
      <c r="G92" s="63"/>
      <c r="H92" s="63"/>
      <c r="I92" s="47"/>
      <c r="J92" s="47"/>
      <c r="K92" s="201"/>
      <c r="L92" s="201"/>
      <c r="M92" s="201"/>
      <c r="N92" s="201"/>
      <c r="O92" s="201"/>
      <c r="P92" s="201"/>
      <c r="Q92" s="201"/>
      <c r="R92" s="201"/>
      <c r="S92" s="201"/>
      <c r="T92" s="201"/>
      <c r="U92" s="201"/>
      <c r="V92" s="201"/>
      <c r="W92" s="201"/>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52"/>
      <c r="AV92" s="52"/>
    </row>
    <row r="93" spans="1:48">
      <c r="A93" s="63" t="s">
        <v>2104</v>
      </c>
      <c r="B93" s="63"/>
      <c r="C93" s="63"/>
      <c r="D93" s="63"/>
      <c r="E93" s="63"/>
      <c r="F93" s="63"/>
      <c r="G93" s="63"/>
      <c r="H93" s="63"/>
      <c r="I93" s="47"/>
      <c r="J93" s="47"/>
      <c r="K93" s="201"/>
      <c r="L93" s="201"/>
      <c r="M93" s="201"/>
      <c r="N93" s="201"/>
      <c r="O93" s="201"/>
      <c r="P93" s="201"/>
      <c r="Q93" s="201"/>
      <c r="R93" s="201"/>
      <c r="S93" s="201"/>
      <c r="T93" s="201"/>
      <c r="U93" s="201"/>
      <c r="V93" s="201"/>
      <c r="W93" s="201"/>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52"/>
      <c r="AV93" s="52"/>
    </row>
    <row r="94" spans="1:48">
      <c r="A94" s="63" t="s">
        <v>2105</v>
      </c>
      <c r="B94" s="63"/>
      <c r="C94" s="63"/>
      <c r="D94" s="63"/>
      <c r="E94" s="63"/>
      <c r="F94" s="63"/>
      <c r="G94" s="63"/>
      <c r="H94" s="63"/>
      <c r="I94" s="47"/>
      <c r="J94" s="47"/>
      <c r="K94" s="201"/>
      <c r="L94" s="201"/>
      <c r="M94" s="201"/>
      <c r="N94" s="201"/>
      <c r="O94" s="201"/>
      <c r="P94" s="201"/>
      <c r="Q94" s="201"/>
      <c r="R94" s="201"/>
      <c r="S94" s="201"/>
      <c r="T94" s="201"/>
      <c r="U94" s="201"/>
      <c r="V94" s="201"/>
      <c r="W94" s="201"/>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52"/>
      <c r="AV94" s="52"/>
    </row>
    <row r="95" spans="1:48">
      <c r="A95" s="63"/>
      <c r="B95" s="63"/>
      <c r="C95" s="63"/>
      <c r="D95" s="63"/>
      <c r="E95" s="63"/>
      <c r="F95" s="63"/>
      <c r="G95" s="63"/>
      <c r="H95" s="63"/>
      <c r="I95" s="47"/>
      <c r="J95" s="47"/>
      <c r="K95" s="201"/>
      <c r="L95" s="201"/>
      <c r="M95" s="201"/>
      <c r="N95" s="201"/>
      <c r="O95" s="201"/>
      <c r="P95" s="201"/>
      <c r="Q95" s="201"/>
      <c r="R95" s="201"/>
      <c r="S95" s="201"/>
      <c r="T95" s="201"/>
      <c r="U95" s="201"/>
      <c r="V95" s="201"/>
      <c r="W95" s="201"/>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52"/>
      <c r="AV95" s="52"/>
    </row>
    <row r="96" spans="1:48">
      <c r="A96" s="63" t="s">
        <v>2106</v>
      </c>
      <c r="B96" s="63"/>
      <c r="C96" s="390"/>
      <c r="D96" s="390"/>
      <c r="E96" s="390"/>
      <c r="F96" s="390"/>
      <c r="G96" s="390"/>
      <c r="H96" s="390"/>
      <c r="I96" s="201"/>
      <c r="J96" s="201"/>
      <c r="K96" s="201"/>
      <c r="L96" s="201"/>
      <c r="M96" s="201"/>
      <c r="N96" s="201"/>
      <c r="O96" s="201"/>
      <c r="P96" s="201"/>
      <c r="Q96" s="201"/>
      <c r="R96" s="201"/>
      <c r="S96" s="201"/>
      <c r="T96" s="201"/>
      <c r="U96" s="201"/>
      <c r="V96" s="201"/>
      <c r="W96" s="201"/>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52"/>
      <c r="AV96" s="52"/>
    </row>
    <row r="97" spans="1:48">
      <c r="A97" s="63"/>
      <c r="B97" s="460"/>
      <c r="C97" s="390"/>
      <c r="D97" s="390"/>
      <c r="E97" s="390"/>
      <c r="F97" s="390"/>
      <c r="G97" s="390"/>
      <c r="H97" s="390"/>
      <c r="I97" s="201"/>
      <c r="J97" s="201"/>
      <c r="K97" s="201"/>
      <c r="L97" s="201"/>
      <c r="M97" s="201"/>
      <c r="N97" s="201"/>
      <c r="O97" s="201"/>
      <c r="P97" s="201"/>
      <c r="Q97" s="201"/>
      <c r="R97" s="201"/>
      <c r="S97" s="201"/>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52"/>
      <c r="AV97" s="52"/>
    </row>
    <row r="98" spans="1:48">
      <c r="A98" s="63" t="s">
        <v>2107</v>
      </c>
      <c r="B98" s="460"/>
      <c r="C98" s="390"/>
      <c r="D98" s="390"/>
      <c r="E98" s="390"/>
      <c r="F98" s="390"/>
      <c r="G98" s="390"/>
      <c r="H98" s="390"/>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52"/>
      <c r="AV98" s="52"/>
    </row>
    <row r="99" spans="1:48">
      <c r="A99" s="460" t="s">
        <v>2108</v>
      </c>
      <c r="B99" s="460"/>
      <c r="C99" s="390"/>
      <c r="D99" s="390"/>
      <c r="E99" s="390"/>
      <c r="F99" s="390"/>
      <c r="G99" s="390"/>
      <c r="H99" s="390"/>
      <c r="I99" s="201"/>
      <c r="J99" s="201"/>
      <c r="K99" s="201"/>
      <c r="L99" s="201"/>
      <c r="M99" s="201"/>
      <c r="N99" s="201"/>
      <c r="O99" s="201"/>
      <c r="P99" s="201"/>
      <c r="Q99" s="201"/>
      <c r="R99" s="201"/>
      <c r="S99" s="201"/>
      <c r="T99" s="201"/>
      <c r="U99" s="201"/>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52"/>
      <c r="AV99" s="52"/>
    </row>
    <row r="100" spans="1:48">
      <c r="A100" s="460" t="s">
        <v>2109</v>
      </c>
      <c r="B100" s="460"/>
      <c r="C100" s="390"/>
      <c r="D100" s="390"/>
      <c r="E100" s="390"/>
      <c r="F100" s="390"/>
      <c r="G100" s="390"/>
      <c r="H100" s="390"/>
      <c r="I100" s="201"/>
      <c r="J100" s="201"/>
      <c r="K100" s="201"/>
      <c r="L100" s="201"/>
      <c r="M100" s="201"/>
      <c r="N100" s="201"/>
      <c r="O100" s="201"/>
      <c r="P100" s="201"/>
      <c r="Q100" s="201"/>
      <c r="R100" s="201"/>
      <c r="S100" s="201"/>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52"/>
      <c r="AV100" s="52"/>
    </row>
    <row r="101" spans="1:48">
      <c r="A101" s="460"/>
      <c r="B101" s="390"/>
      <c r="C101" s="390"/>
      <c r="D101" s="390"/>
      <c r="E101" s="390"/>
      <c r="F101" s="390"/>
      <c r="G101" s="390"/>
      <c r="H101" s="390"/>
      <c r="I101" s="201"/>
      <c r="J101" s="201"/>
      <c r="K101" s="201"/>
      <c r="L101" s="201"/>
      <c r="M101" s="201"/>
      <c r="N101" s="201"/>
      <c r="O101" s="201"/>
      <c r="P101" s="201"/>
      <c r="Q101" s="201"/>
      <c r="R101" s="201"/>
      <c r="S101" s="201"/>
      <c r="T101" s="201"/>
      <c r="U101" s="201"/>
      <c r="V101" s="201"/>
      <c r="W101" s="201"/>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52"/>
      <c r="AV101" s="52"/>
    </row>
    <row r="102" spans="1:48">
      <c r="A102" s="460" t="s">
        <v>2110</v>
      </c>
      <c r="B102" s="390"/>
      <c r="C102" s="390"/>
      <c r="D102" s="390"/>
      <c r="E102" s="390"/>
      <c r="F102" s="390"/>
      <c r="G102" s="390"/>
      <c r="H102" s="390"/>
      <c r="I102" s="201"/>
      <c r="J102" s="201"/>
      <c r="K102" s="201"/>
      <c r="L102" s="201"/>
      <c r="M102" s="201"/>
      <c r="N102" s="201"/>
      <c r="O102" s="201"/>
      <c r="P102" s="201"/>
      <c r="Q102" s="201"/>
      <c r="R102" s="201"/>
      <c r="S102" s="201"/>
      <c r="T102" s="201"/>
      <c r="U102" s="201"/>
      <c r="V102" s="201"/>
      <c r="W102" s="201"/>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52"/>
      <c r="AV102" s="52"/>
    </row>
    <row r="103" spans="1:48">
      <c r="A103" s="390"/>
      <c r="B103" s="390"/>
      <c r="C103" s="390"/>
      <c r="D103" s="390"/>
      <c r="E103" s="390"/>
      <c r="F103" s="390"/>
      <c r="G103" s="390"/>
      <c r="H103" s="390"/>
      <c r="I103" s="201"/>
      <c r="J103" s="201"/>
      <c r="K103" s="201"/>
      <c r="L103" s="201"/>
      <c r="M103" s="201"/>
      <c r="N103" s="201"/>
      <c r="O103" s="201"/>
      <c r="P103" s="201"/>
      <c r="Q103" s="201"/>
      <c r="R103" s="201"/>
      <c r="S103" s="201"/>
      <c r="T103" s="201"/>
      <c r="U103" s="201"/>
      <c r="V103" s="201"/>
      <c r="W103" s="201"/>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52"/>
      <c r="AV103" s="52"/>
    </row>
    <row r="104" spans="1:48">
      <c r="A104" s="63" t="s">
        <v>2111</v>
      </c>
      <c r="B104" s="63"/>
      <c r="C104" s="63"/>
      <c r="D104" s="63"/>
      <c r="E104" s="390"/>
      <c r="F104" s="390"/>
      <c r="G104" s="390"/>
      <c r="H104" s="390"/>
      <c r="I104" s="201"/>
      <c r="J104" s="201"/>
      <c r="K104" s="201"/>
      <c r="L104" s="201"/>
      <c r="M104" s="201"/>
      <c r="N104" s="201"/>
      <c r="O104" s="201"/>
      <c r="P104" s="201"/>
      <c r="Q104" s="201"/>
      <c r="R104" s="201"/>
      <c r="S104" s="201"/>
      <c r="T104" s="201"/>
      <c r="U104" s="201"/>
      <c r="V104" s="201"/>
      <c r="W104" s="201"/>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52"/>
      <c r="AV104" s="52"/>
    </row>
    <row r="105" spans="1:48">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52"/>
      <c r="AV105" s="52"/>
    </row>
    <row r="106" spans="1:48">
      <c r="A106" s="63" t="s">
        <v>2159</v>
      </c>
      <c r="B106" s="63"/>
      <c r="C106" s="390"/>
      <c r="D106" s="390"/>
      <c r="E106" s="390"/>
      <c r="F106" s="390"/>
      <c r="G106" s="390"/>
      <c r="H106" s="390"/>
      <c r="I106" s="201"/>
      <c r="J106" s="201"/>
      <c r="K106" s="201"/>
      <c r="L106" s="201"/>
      <c r="M106" s="201"/>
      <c r="N106" s="201"/>
      <c r="O106" s="201"/>
      <c r="P106" s="201"/>
      <c r="Q106" s="201"/>
      <c r="R106" s="201"/>
      <c r="S106" s="201"/>
      <c r="T106" s="201"/>
      <c r="U106" s="201"/>
      <c r="V106" s="201"/>
      <c r="W106" s="201"/>
      <c r="X106" s="201"/>
      <c r="Y106" s="201"/>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52"/>
      <c r="AV106" s="52"/>
    </row>
    <row r="107" spans="1:48">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c r="AA107" s="201"/>
      <c r="AB107" s="201"/>
      <c r="AC107" s="201"/>
      <c r="AD107" s="201"/>
      <c r="AE107" s="201"/>
      <c r="AF107" s="201"/>
      <c r="AG107" s="201"/>
      <c r="AH107" s="201"/>
      <c r="AI107" s="201"/>
      <c r="AJ107" s="201"/>
      <c r="AK107" s="201"/>
      <c r="AL107" s="201"/>
      <c r="AM107" s="201"/>
      <c r="AN107" s="201"/>
      <c r="AO107" s="201"/>
      <c r="AP107" s="201"/>
      <c r="AQ107" s="201"/>
      <c r="AR107" s="201"/>
      <c r="AS107" s="201"/>
      <c r="AT107" s="201"/>
      <c r="AU107" s="52"/>
      <c r="AV107" s="52"/>
    </row>
    <row r="108" spans="1:48">
      <c r="A108" s="63" t="s">
        <v>296</v>
      </c>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52"/>
      <c r="AV108" s="52"/>
    </row>
    <row r="109" spans="1:48">
      <c r="A109" s="63" t="s">
        <v>298</v>
      </c>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52"/>
      <c r="AV109" s="52"/>
    </row>
    <row r="110" spans="1:48">
      <c r="A110" s="63" t="s">
        <v>297</v>
      </c>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52"/>
      <c r="AV110" s="52"/>
    </row>
    <row r="111" spans="1:48">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52"/>
      <c r="AV111" s="52"/>
    </row>
    <row r="112" spans="1:48">
      <c r="A112" s="63" t="s">
        <v>2432</v>
      </c>
      <c r="B112" s="63"/>
      <c r="C112" s="63"/>
      <c r="D112" s="63"/>
      <c r="E112" s="63"/>
      <c r="F112" s="63"/>
      <c r="G112" s="63"/>
      <c r="H112" s="63"/>
      <c r="I112" s="390"/>
      <c r="J112" s="390"/>
      <c r="K112" s="201"/>
      <c r="L112" s="201"/>
      <c r="M112" s="201"/>
      <c r="N112" s="201"/>
      <c r="O112" s="201"/>
      <c r="P112" s="201"/>
      <c r="Q112" s="201"/>
      <c r="R112" s="201"/>
      <c r="S112" s="201"/>
      <c r="T112" s="201"/>
      <c r="U112" s="201"/>
      <c r="V112" s="201"/>
      <c r="W112" s="201"/>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52"/>
      <c r="AV112" s="52"/>
    </row>
    <row r="113" spans="1:48">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52"/>
      <c r="AV113" s="52"/>
    </row>
    <row r="114" spans="1:48">
      <c r="A114" s="46" t="s">
        <v>247</v>
      </c>
      <c r="B114" s="46" t="s">
        <v>218</v>
      </c>
      <c r="C114" s="46" t="s">
        <v>1602</v>
      </c>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52"/>
      <c r="AV114" s="52"/>
    </row>
    <row r="115" spans="1:48">
      <c r="A115" s="320" t="s">
        <v>296</v>
      </c>
      <c r="B115" s="320" t="s">
        <v>2164</v>
      </c>
      <c r="C115" s="320" t="s">
        <v>2165</v>
      </c>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52"/>
      <c r="AV115" s="52"/>
    </row>
    <row r="116" spans="1:48">
      <c r="A116" s="320" t="s">
        <v>295</v>
      </c>
      <c r="B116" s="320" t="s">
        <v>2166</v>
      </c>
      <c r="C116" s="320" t="s">
        <v>2167</v>
      </c>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52"/>
      <c r="AV116" s="52"/>
    </row>
    <row r="117" spans="1:48">
      <c r="A117" s="320" t="s">
        <v>298</v>
      </c>
      <c r="B117" s="320" t="s">
        <v>2168</v>
      </c>
      <c r="C117" s="320" t="s">
        <v>2169</v>
      </c>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52"/>
      <c r="AV117" s="52"/>
    </row>
    <row r="118" spans="1:48">
      <c r="A118" s="320" t="s">
        <v>2010</v>
      </c>
      <c r="B118" s="320" t="s">
        <v>2170</v>
      </c>
      <c r="C118" s="320" t="s">
        <v>2171</v>
      </c>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52"/>
      <c r="AV118" s="52"/>
    </row>
    <row r="119" spans="1:48">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52"/>
      <c r="AV119" s="52"/>
    </row>
    <row r="120" spans="1:48">
      <c r="A120" s="63" t="s">
        <v>2427</v>
      </c>
      <c r="B120" s="63"/>
      <c r="C120" s="63"/>
      <c r="D120" s="63"/>
      <c r="E120" s="63"/>
      <c r="F120" s="63"/>
      <c r="G120" s="63"/>
      <c r="H120" s="63"/>
      <c r="I120" s="63"/>
      <c r="J120" s="63"/>
      <c r="K120" s="63"/>
      <c r="L120" s="63"/>
      <c r="M120" s="63"/>
      <c r="N120" s="390"/>
      <c r="O120" s="390"/>
      <c r="P120" s="390"/>
      <c r="Q120" s="390"/>
      <c r="R120" s="390"/>
      <c r="S120" s="390"/>
      <c r="T120" s="390"/>
      <c r="U120" s="201"/>
      <c r="V120" s="201"/>
      <c r="W120" s="201"/>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52"/>
      <c r="AV120" s="52"/>
    </row>
    <row r="121" spans="1:48">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52"/>
      <c r="AV121" s="52"/>
    </row>
    <row r="122" spans="1:48">
      <c r="A122" s="63" t="s">
        <v>2431</v>
      </c>
      <c r="B122" s="63"/>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52"/>
      <c r="AV122" s="52"/>
    </row>
    <row r="123" spans="1:48">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52"/>
      <c r="AV123" s="52"/>
    </row>
    <row r="124" spans="1:48">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52"/>
      <c r="AV124" s="52"/>
    </row>
    <row r="125" spans="1:48">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52"/>
      <c r="AV125" s="52"/>
    </row>
    <row r="126" spans="1:48">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52"/>
      <c r="AV126" s="52"/>
    </row>
    <row r="127" spans="1:48">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row>
    <row r="128" spans="1:4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row>
    <row r="129" spans="1:48">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row>
    <row r="130" spans="1:48">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row>
    <row r="131" spans="1:48">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row>
    <row r="132" spans="1:48">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3292-8F37-4788-80A7-F1A3C1C2ADC0}">
  <dimension ref="A1:AD164"/>
  <sheetViews>
    <sheetView zoomScale="80" zoomScaleNormal="80" workbookViewId="0"/>
  </sheetViews>
  <sheetFormatPr defaultRowHeight="14"/>
  <cols>
    <col min="1" max="1" width="95.83203125" customWidth="1"/>
    <col min="2" max="2" width="46" customWidth="1"/>
    <col min="3" max="3" width="37.4140625" customWidth="1"/>
    <col min="4" max="4" width="36.58203125" customWidth="1"/>
    <col min="5" max="5" width="14.75" customWidth="1"/>
    <col min="6" max="6" width="21.83203125" customWidth="1"/>
    <col min="7" max="7" width="17" customWidth="1"/>
    <col min="8" max="8" width="8.58203125" customWidth="1"/>
    <col min="9" max="9" width="30.4140625" customWidth="1"/>
    <col min="10" max="10" width="11.4140625" customWidth="1"/>
    <col min="13" max="13" width="20.4140625" customWidth="1"/>
    <col min="14" max="14" width="35.25" customWidth="1"/>
  </cols>
  <sheetData>
    <row r="1" spans="1:30">
      <c r="A1" s="46" t="s">
        <v>1974</v>
      </c>
      <c r="B1" s="47"/>
      <c r="C1" s="47"/>
      <c r="D1" s="47"/>
      <c r="E1" s="47"/>
      <c r="F1" s="47"/>
      <c r="G1" s="47"/>
      <c r="H1" s="47"/>
      <c r="I1" s="47"/>
      <c r="J1" s="47"/>
      <c r="K1" s="47"/>
      <c r="L1" s="47"/>
      <c r="M1" s="47"/>
      <c r="N1" s="198"/>
      <c r="O1" s="198"/>
      <c r="P1" s="198"/>
      <c r="Q1" s="198"/>
      <c r="R1" s="57"/>
      <c r="S1" s="57"/>
      <c r="T1" s="52"/>
      <c r="U1" s="52"/>
      <c r="V1" s="52"/>
      <c r="W1" s="52"/>
      <c r="X1" s="52"/>
      <c r="Y1" s="52"/>
      <c r="Z1" s="52"/>
      <c r="AA1" s="52"/>
      <c r="AB1" s="52"/>
      <c r="AC1" s="52"/>
      <c r="AD1" s="52"/>
    </row>
    <row r="2" spans="1:30">
      <c r="A2" s="46" t="s">
        <v>1981</v>
      </c>
      <c r="B2" s="47"/>
      <c r="C2" s="47"/>
      <c r="D2" s="47"/>
      <c r="E2" s="27"/>
      <c r="F2" s="27"/>
      <c r="G2" s="27"/>
      <c r="H2" s="47"/>
      <c r="I2" s="47"/>
      <c r="J2" s="47"/>
      <c r="K2" s="47"/>
      <c r="L2" s="47"/>
      <c r="M2" s="47"/>
      <c r="N2" s="198"/>
      <c r="O2" s="198"/>
      <c r="P2" s="198"/>
      <c r="Q2" s="198"/>
      <c r="R2" s="57"/>
      <c r="S2" s="57"/>
      <c r="T2" s="52"/>
      <c r="U2" s="52"/>
      <c r="V2" s="52"/>
      <c r="W2" s="52"/>
      <c r="X2" s="52"/>
      <c r="Y2" s="52"/>
      <c r="Z2" s="52"/>
      <c r="AA2" s="52"/>
      <c r="AB2" s="52"/>
      <c r="AC2" s="52"/>
      <c r="AD2" s="52"/>
    </row>
    <row r="3" spans="1:30">
      <c r="A3" s="320" t="s">
        <v>2442</v>
      </c>
      <c r="B3" s="320"/>
      <c r="C3" s="320"/>
      <c r="D3" s="47"/>
      <c r="E3" s="48"/>
      <c r="F3" s="91"/>
      <c r="G3" s="48"/>
      <c r="H3" s="47"/>
      <c r="I3" s="47"/>
      <c r="J3" s="47"/>
      <c r="K3" s="47"/>
      <c r="L3" s="47"/>
      <c r="M3" s="47"/>
      <c r="N3" s="198"/>
      <c r="O3" s="198"/>
      <c r="P3" s="198"/>
      <c r="Q3" s="198"/>
      <c r="R3" s="57"/>
      <c r="S3" s="57"/>
      <c r="T3" s="52"/>
      <c r="U3" s="52"/>
      <c r="V3" s="52"/>
      <c r="W3" s="52"/>
      <c r="X3" s="52"/>
      <c r="Y3" s="52"/>
      <c r="Z3" s="52"/>
      <c r="AA3" s="52"/>
      <c r="AB3" s="52"/>
      <c r="AC3" s="52"/>
      <c r="AD3" s="52"/>
    </row>
    <row r="4" spans="1:30">
      <c r="A4" s="47"/>
      <c r="B4" s="47"/>
      <c r="C4" s="47"/>
      <c r="D4" s="47"/>
      <c r="E4" s="48"/>
      <c r="F4" s="91"/>
      <c r="G4" s="48"/>
      <c r="H4" s="47"/>
      <c r="I4" s="47"/>
      <c r="J4" s="47"/>
      <c r="K4" s="47"/>
      <c r="L4" s="47"/>
      <c r="M4" s="47"/>
      <c r="N4" s="198"/>
      <c r="O4" s="198"/>
      <c r="P4" s="198"/>
      <c r="Q4" s="198"/>
      <c r="R4" s="57"/>
      <c r="S4" s="57"/>
      <c r="T4" s="52"/>
      <c r="U4" s="52"/>
      <c r="V4" s="52"/>
      <c r="W4" s="52"/>
      <c r="X4" s="52"/>
      <c r="Y4" s="52"/>
      <c r="Z4" s="52"/>
      <c r="AA4" s="52"/>
      <c r="AB4" s="52"/>
      <c r="AC4" s="52"/>
      <c r="AD4" s="52"/>
    </row>
    <row r="5" spans="1:30">
      <c r="A5" s="46" t="s">
        <v>982</v>
      </c>
      <c r="B5" s="47"/>
      <c r="C5" s="47"/>
      <c r="D5" s="47"/>
      <c r="E5" s="48"/>
      <c r="F5" s="91"/>
      <c r="G5" s="48"/>
      <c r="H5" s="47"/>
      <c r="I5" s="47"/>
      <c r="J5" s="47"/>
      <c r="K5" s="47"/>
      <c r="L5" s="47"/>
      <c r="M5" s="47"/>
      <c r="N5" s="198"/>
      <c r="O5" s="198"/>
      <c r="P5" s="198"/>
      <c r="Q5" s="198"/>
      <c r="R5" s="57"/>
      <c r="S5" s="57"/>
      <c r="T5" s="52"/>
      <c r="U5" s="52"/>
      <c r="V5" s="52"/>
      <c r="W5" s="52"/>
      <c r="X5" s="52"/>
      <c r="Y5" s="52"/>
      <c r="Z5" s="52"/>
      <c r="AA5" s="52"/>
      <c r="AB5" s="52"/>
      <c r="AC5" s="52"/>
      <c r="AD5" s="52"/>
    </row>
    <row r="6" spans="1:30">
      <c r="A6" s="320" t="s">
        <v>1219</v>
      </c>
      <c r="B6" s="47"/>
      <c r="C6" s="47"/>
      <c r="D6" s="47"/>
      <c r="E6" s="48"/>
      <c r="F6" s="48"/>
      <c r="G6" s="48"/>
      <c r="H6" s="47"/>
      <c r="I6" s="47"/>
      <c r="J6" s="47"/>
      <c r="K6" s="47"/>
      <c r="L6" s="47"/>
      <c r="M6" s="47"/>
      <c r="N6" s="198"/>
      <c r="O6" s="198"/>
      <c r="P6" s="198"/>
      <c r="Q6" s="198"/>
      <c r="R6" s="57"/>
      <c r="S6" s="57"/>
      <c r="T6" s="52"/>
      <c r="U6" s="52"/>
      <c r="V6" s="52"/>
      <c r="W6" s="52"/>
      <c r="X6" s="52"/>
      <c r="Y6" s="52"/>
      <c r="Z6" s="52"/>
      <c r="AA6" s="52"/>
      <c r="AB6" s="52"/>
      <c r="AC6" s="52"/>
      <c r="AD6" s="52"/>
    </row>
    <row r="7" spans="1:30">
      <c r="A7" s="320" t="s">
        <v>1960</v>
      </c>
      <c r="B7" s="47"/>
      <c r="C7" s="47"/>
      <c r="D7" s="47"/>
      <c r="E7" s="47"/>
      <c r="F7" s="47"/>
      <c r="G7" s="47"/>
      <c r="H7" s="47"/>
      <c r="I7" s="47"/>
      <c r="J7" s="47"/>
      <c r="K7" s="47"/>
      <c r="L7" s="47"/>
      <c r="M7" s="47"/>
      <c r="N7" s="198"/>
      <c r="O7" s="198"/>
      <c r="P7" s="198"/>
      <c r="Q7" s="198"/>
      <c r="R7" s="57"/>
      <c r="S7" s="57"/>
      <c r="T7" s="52"/>
      <c r="U7" s="52"/>
      <c r="V7" s="52"/>
      <c r="W7" s="52"/>
      <c r="X7" s="52"/>
      <c r="Y7" s="52"/>
      <c r="Z7" s="52"/>
      <c r="AA7" s="52"/>
      <c r="AB7" s="52"/>
      <c r="AC7" s="52"/>
      <c r="AD7" s="52"/>
    </row>
    <row r="8" spans="1:30">
      <c r="A8" s="320" t="s">
        <v>1961</v>
      </c>
      <c r="B8" s="47"/>
      <c r="C8" s="47"/>
      <c r="D8" s="47"/>
      <c r="E8" s="47"/>
      <c r="F8" s="47"/>
      <c r="G8" s="47"/>
      <c r="H8" s="47"/>
      <c r="I8" s="47"/>
      <c r="J8" s="47"/>
      <c r="K8" s="47"/>
      <c r="L8" s="47"/>
      <c r="M8" s="47"/>
      <c r="N8" s="198"/>
      <c r="O8" s="198"/>
      <c r="P8" s="198"/>
      <c r="Q8" s="198"/>
      <c r="R8" s="57"/>
      <c r="S8" s="57"/>
      <c r="T8" s="52"/>
      <c r="U8" s="52"/>
      <c r="V8" s="52"/>
      <c r="W8" s="52"/>
      <c r="X8" s="52"/>
      <c r="Y8" s="52"/>
      <c r="Z8" s="52"/>
      <c r="AA8" s="52"/>
      <c r="AB8" s="52"/>
      <c r="AC8" s="52"/>
      <c r="AD8" s="52"/>
    </row>
    <row r="9" spans="1:30">
      <c r="A9" s="320" t="s">
        <v>1962</v>
      </c>
      <c r="B9" s="47"/>
      <c r="C9" s="47"/>
      <c r="D9" s="47"/>
      <c r="E9" s="47"/>
      <c r="F9" s="47"/>
      <c r="G9" s="47"/>
      <c r="H9" s="47"/>
      <c r="I9" s="47"/>
      <c r="J9" s="47"/>
      <c r="K9" s="47"/>
      <c r="L9" s="47"/>
      <c r="M9" s="47"/>
      <c r="N9" s="198"/>
      <c r="O9" s="198"/>
      <c r="P9" s="198"/>
      <c r="Q9" s="198"/>
      <c r="R9" s="57"/>
      <c r="S9" s="57"/>
      <c r="T9" s="52"/>
      <c r="U9" s="52"/>
      <c r="V9" s="52"/>
      <c r="W9" s="52"/>
      <c r="X9" s="52"/>
      <c r="Y9" s="52"/>
      <c r="Z9" s="52"/>
      <c r="AA9" s="52"/>
      <c r="AB9" s="52"/>
      <c r="AC9" s="52"/>
      <c r="AD9" s="52"/>
    </row>
    <row r="10" spans="1:30">
      <c r="A10" s="320" t="s">
        <v>1963</v>
      </c>
      <c r="B10" s="47"/>
      <c r="C10" s="47"/>
      <c r="D10" s="47"/>
      <c r="E10" s="47"/>
      <c r="F10" s="47"/>
      <c r="G10" s="47"/>
      <c r="H10" s="47"/>
      <c r="I10" s="47"/>
      <c r="J10" s="47"/>
      <c r="K10" s="47"/>
      <c r="L10" s="47"/>
      <c r="M10" s="47"/>
      <c r="N10" s="198"/>
      <c r="O10" s="198"/>
      <c r="P10" s="198"/>
      <c r="Q10" s="198"/>
      <c r="R10" s="57"/>
      <c r="S10" s="57"/>
      <c r="T10" s="52"/>
      <c r="U10" s="52"/>
      <c r="V10" s="52"/>
      <c r="W10" s="52"/>
      <c r="X10" s="52"/>
      <c r="Y10" s="52"/>
      <c r="Z10" s="52"/>
      <c r="AA10" s="52"/>
      <c r="AB10" s="52"/>
      <c r="AC10" s="52"/>
      <c r="AD10" s="52"/>
    </row>
    <row r="11" spans="1:30">
      <c r="A11" s="47"/>
      <c r="B11" s="47"/>
      <c r="C11" s="47"/>
      <c r="D11" s="47"/>
      <c r="E11" s="47"/>
      <c r="F11" s="47"/>
      <c r="G11" s="47"/>
      <c r="H11" s="47"/>
      <c r="I11" s="47"/>
      <c r="J11" s="47"/>
      <c r="K11" s="47"/>
      <c r="L11" s="47"/>
      <c r="M11" s="47"/>
      <c r="N11" s="198"/>
      <c r="O11" s="198"/>
      <c r="P11" s="198"/>
      <c r="Q11" s="198"/>
      <c r="R11" s="57"/>
      <c r="S11" s="57"/>
      <c r="T11" s="52"/>
      <c r="U11" s="52"/>
      <c r="V11" s="52"/>
      <c r="W11" s="52"/>
      <c r="X11" s="52"/>
      <c r="Y11" s="52"/>
      <c r="Z11" s="52"/>
      <c r="AA11" s="52"/>
      <c r="AB11" s="52"/>
      <c r="AC11" s="52"/>
      <c r="AD11" s="52"/>
    </row>
    <row r="12" spans="1:30">
      <c r="A12" s="46" t="s">
        <v>1220</v>
      </c>
      <c r="B12" s="47"/>
      <c r="C12" s="47"/>
      <c r="D12" s="47"/>
      <c r="E12" s="47"/>
      <c r="F12" s="47"/>
      <c r="G12" s="47"/>
      <c r="H12" s="47"/>
      <c r="I12" s="47"/>
      <c r="J12" s="47"/>
      <c r="K12" s="47"/>
      <c r="L12" s="47"/>
      <c r="M12" s="47"/>
      <c r="N12" s="198"/>
      <c r="O12" s="198"/>
      <c r="P12" s="198"/>
      <c r="Q12" s="198"/>
      <c r="R12" s="57"/>
      <c r="S12" s="57"/>
      <c r="T12" s="52"/>
      <c r="U12" s="52"/>
      <c r="V12" s="52"/>
      <c r="W12" s="52"/>
      <c r="X12" s="52"/>
      <c r="Y12" s="52"/>
      <c r="Z12" s="52"/>
      <c r="AA12" s="52"/>
      <c r="AB12" s="52"/>
      <c r="AC12" s="52"/>
      <c r="AD12" s="52"/>
    </row>
    <row r="13" spans="1:30">
      <c r="A13" s="320" t="s">
        <v>1964</v>
      </c>
      <c r="B13" s="47"/>
      <c r="C13" s="47"/>
      <c r="D13" s="47"/>
      <c r="E13" s="47"/>
      <c r="F13" s="47"/>
      <c r="G13" s="47"/>
      <c r="H13" s="47"/>
      <c r="I13" s="47"/>
      <c r="J13" s="47"/>
      <c r="K13" s="47"/>
      <c r="L13" s="47"/>
      <c r="M13" s="47"/>
      <c r="N13" s="198"/>
      <c r="O13" s="198"/>
      <c r="P13" s="198"/>
      <c r="Q13" s="198"/>
      <c r="R13" s="57"/>
      <c r="S13" s="57"/>
      <c r="T13" s="52"/>
      <c r="U13" s="52"/>
      <c r="V13" s="52"/>
      <c r="W13" s="52"/>
      <c r="X13" s="52"/>
      <c r="Y13" s="52"/>
      <c r="Z13" s="52"/>
      <c r="AA13" s="52"/>
      <c r="AB13" s="52"/>
      <c r="AC13" s="52"/>
      <c r="AD13" s="52"/>
    </row>
    <row r="14" spans="1:30">
      <c r="A14" s="320" t="s">
        <v>1965</v>
      </c>
      <c r="B14" s="47"/>
      <c r="C14" s="47"/>
      <c r="D14" s="47"/>
      <c r="E14" s="47"/>
      <c r="F14" s="47"/>
      <c r="G14" s="47"/>
      <c r="H14" s="47"/>
      <c r="I14" s="47"/>
      <c r="J14" s="47"/>
      <c r="K14" s="47"/>
      <c r="L14" s="47"/>
      <c r="M14" s="47"/>
      <c r="N14" s="198"/>
      <c r="O14" s="198"/>
      <c r="P14" s="198"/>
      <c r="Q14" s="198"/>
      <c r="R14" s="57"/>
      <c r="S14" s="57"/>
      <c r="T14" s="52"/>
      <c r="U14" s="52"/>
      <c r="V14" s="52"/>
      <c r="W14" s="52"/>
      <c r="X14" s="52"/>
      <c r="Y14" s="52"/>
      <c r="Z14" s="52"/>
      <c r="AA14" s="52"/>
      <c r="AB14" s="52"/>
      <c r="AC14" s="52"/>
      <c r="AD14" s="52"/>
    </row>
    <row r="15" spans="1:30">
      <c r="A15" s="320" t="s">
        <v>1966</v>
      </c>
      <c r="B15" s="47"/>
      <c r="C15" s="47"/>
      <c r="D15" s="47"/>
      <c r="E15" s="47"/>
      <c r="F15" s="47"/>
      <c r="G15" s="47"/>
      <c r="H15" s="47"/>
      <c r="I15" s="47"/>
      <c r="J15" s="47"/>
      <c r="K15" s="47"/>
      <c r="L15" s="47"/>
      <c r="M15" s="47"/>
      <c r="N15" s="198"/>
      <c r="O15" s="198"/>
      <c r="P15" s="198"/>
      <c r="Q15" s="198"/>
      <c r="R15" s="57"/>
      <c r="S15" s="57"/>
      <c r="T15" s="52"/>
      <c r="U15" s="52"/>
      <c r="V15" s="52"/>
      <c r="W15" s="52"/>
      <c r="X15" s="52"/>
      <c r="Y15" s="52"/>
      <c r="Z15" s="52"/>
      <c r="AA15" s="52"/>
      <c r="AB15" s="52"/>
      <c r="AC15" s="52"/>
      <c r="AD15" s="52"/>
    </row>
    <row r="16" spans="1:30">
      <c r="A16" s="320" t="s">
        <v>1967</v>
      </c>
      <c r="B16" s="47"/>
      <c r="C16" s="47"/>
      <c r="D16" s="47"/>
      <c r="E16" s="47"/>
      <c r="F16" s="47"/>
      <c r="G16" s="47"/>
      <c r="H16" s="47"/>
      <c r="I16" s="47"/>
      <c r="J16" s="47"/>
      <c r="K16" s="47"/>
      <c r="L16" s="47"/>
      <c r="M16" s="47"/>
      <c r="N16" s="198"/>
      <c r="O16" s="198"/>
      <c r="P16" s="198"/>
      <c r="Q16" s="198"/>
      <c r="R16" s="57"/>
      <c r="S16" s="57"/>
      <c r="T16" s="52"/>
      <c r="U16" s="52"/>
      <c r="V16" s="52"/>
      <c r="W16" s="52"/>
      <c r="X16" s="52"/>
      <c r="Y16" s="52"/>
      <c r="Z16" s="52"/>
      <c r="AA16" s="52"/>
      <c r="AB16" s="52"/>
      <c r="AC16" s="52"/>
      <c r="AD16" s="52"/>
    </row>
    <row r="17" spans="1:30">
      <c r="A17" s="320" t="s">
        <v>1982</v>
      </c>
      <c r="B17" s="47"/>
      <c r="C17" s="47"/>
      <c r="D17" s="47"/>
      <c r="E17" s="47"/>
      <c r="F17" s="47"/>
      <c r="G17" s="47"/>
      <c r="H17" s="47"/>
      <c r="I17" s="47"/>
      <c r="J17" s="47"/>
      <c r="K17" s="47"/>
      <c r="L17" s="47"/>
      <c r="M17" s="47"/>
      <c r="N17" s="198"/>
      <c r="O17" s="198"/>
      <c r="P17" s="198"/>
      <c r="Q17" s="198"/>
      <c r="R17" s="57"/>
      <c r="S17" s="57"/>
      <c r="T17" s="52"/>
      <c r="U17" s="52"/>
      <c r="V17" s="52"/>
      <c r="W17" s="52"/>
      <c r="X17" s="52"/>
      <c r="Y17" s="52"/>
      <c r="Z17" s="52"/>
      <c r="AA17" s="52"/>
      <c r="AB17" s="52"/>
      <c r="AC17" s="52"/>
      <c r="AD17" s="52"/>
    </row>
    <row r="18" spans="1:30">
      <c r="A18" s="47"/>
      <c r="B18" s="201"/>
      <c r="C18" s="47"/>
      <c r="D18" s="47"/>
      <c r="E18" s="46"/>
      <c r="F18" s="47"/>
      <c r="G18" s="47"/>
      <c r="H18" s="47"/>
      <c r="I18" s="47"/>
      <c r="J18" s="47"/>
      <c r="K18" s="47"/>
      <c r="L18" s="47"/>
      <c r="M18" s="47"/>
      <c r="N18" s="198"/>
      <c r="O18" s="198"/>
      <c r="P18" s="198"/>
      <c r="Q18" s="198"/>
      <c r="R18" s="57"/>
      <c r="S18" s="57"/>
      <c r="T18" s="52"/>
      <c r="U18" s="52"/>
      <c r="V18" s="52"/>
      <c r="W18" s="52"/>
      <c r="X18" s="52"/>
      <c r="Y18" s="52"/>
      <c r="Z18" s="52"/>
      <c r="AA18" s="52"/>
      <c r="AB18" s="52"/>
      <c r="AC18" s="52"/>
      <c r="AD18" s="52"/>
    </row>
    <row r="19" spans="1:30">
      <c r="A19" s="46" t="s">
        <v>283</v>
      </c>
      <c r="B19" s="201"/>
      <c r="C19" s="201"/>
      <c r="D19" s="201"/>
      <c r="E19" s="47"/>
      <c r="F19" s="47"/>
      <c r="G19" s="47"/>
      <c r="H19" s="47"/>
      <c r="I19" s="47"/>
      <c r="J19" s="47"/>
      <c r="K19" s="47"/>
      <c r="L19" s="47"/>
      <c r="M19" s="47"/>
      <c r="N19" s="198"/>
      <c r="O19" s="198"/>
      <c r="P19" s="198"/>
      <c r="Q19" s="198"/>
      <c r="R19" s="57"/>
      <c r="S19" s="57"/>
      <c r="T19" s="52"/>
      <c r="U19" s="52"/>
      <c r="V19" s="52"/>
      <c r="W19" s="52"/>
      <c r="X19" s="52"/>
      <c r="Y19" s="52"/>
      <c r="Z19" s="52"/>
      <c r="AA19" s="52"/>
      <c r="AB19" s="52"/>
      <c r="AC19" s="52"/>
      <c r="AD19" s="52"/>
    </row>
    <row r="20" spans="1:30">
      <c r="A20" s="46" t="s">
        <v>442</v>
      </c>
      <c r="B20" s="46" t="s">
        <v>864</v>
      </c>
      <c r="C20" s="46" t="s">
        <v>822</v>
      </c>
      <c r="D20" s="46" t="s">
        <v>1222</v>
      </c>
      <c r="E20" s="47"/>
      <c r="F20" s="47"/>
      <c r="G20" s="47"/>
      <c r="H20" s="47"/>
      <c r="I20" s="47"/>
      <c r="J20" s="47"/>
      <c r="K20" s="47"/>
      <c r="L20" s="47"/>
      <c r="M20" s="47"/>
      <c r="N20" s="198"/>
      <c r="O20" s="198"/>
      <c r="P20" s="198"/>
      <c r="Q20" s="198"/>
      <c r="R20" s="57"/>
      <c r="S20" s="57"/>
      <c r="T20" s="52"/>
      <c r="U20" s="52"/>
      <c r="V20" s="52"/>
      <c r="W20" s="52"/>
      <c r="X20" s="52"/>
      <c r="Y20" s="52"/>
      <c r="Z20" s="52"/>
      <c r="AA20" s="52"/>
      <c r="AB20" s="52"/>
      <c r="AC20" s="52"/>
      <c r="AD20" s="52"/>
    </row>
    <row r="21" spans="1:30">
      <c r="A21" s="320" t="s">
        <v>261</v>
      </c>
      <c r="B21" s="90">
        <f>'DDM FCFF FCFE RelativeValuation'!E37</f>
        <v>427.34756756756758</v>
      </c>
      <c r="C21" s="91">
        <v>0.4</v>
      </c>
      <c r="D21" s="90">
        <f>B21*C21</f>
        <v>170.93902702702704</v>
      </c>
      <c r="E21" s="47"/>
      <c r="F21" s="47"/>
      <c r="G21" s="47"/>
      <c r="H21" s="47"/>
      <c r="I21" s="47"/>
      <c r="J21" s="47"/>
      <c r="K21" s="47"/>
      <c r="L21" s="47"/>
      <c r="M21" s="47"/>
      <c r="N21" s="198"/>
      <c r="O21" s="198"/>
      <c r="P21" s="198"/>
      <c r="Q21" s="198"/>
      <c r="R21" s="57"/>
      <c r="S21" s="57"/>
      <c r="T21" s="52"/>
      <c r="U21" s="52"/>
      <c r="V21" s="52"/>
      <c r="W21" s="52"/>
      <c r="X21" s="52"/>
      <c r="Y21" s="52"/>
      <c r="Z21" s="52"/>
      <c r="AA21" s="52"/>
      <c r="AB21" s="52"/>
      <c r="AC21" s="52"/>
      <c r="AD21" s="52"/>
    </row>
    <row r="22" spans="1:30">
      <c r="A22" s="320" t="s">
        <v>207</v>
      </c>
      <c r="B22" s="90">
        <f>'DDM FCFF FCFE RelativeValuation'!B99</f>
        <v>335.44642561631332</v>
      </c>
      <c r="C22" s="91">
        <v>0.3</v>
      </c>
      <c r="D22" s="90">
        <f>B22*C22</f>
        <v>100.63392768489399</v>
      </c>
      <c r="E22" s="47"/>
      <c r="F22" s="47"/>
      <c r="G22" s="47"/>
      <c r="H22" s="47"/>
      <c r="I22" s="47"/>
      <c r="J22" s="47"/>
      <c r="K22" s="47"/>
      <c r="L22" s="47"/>
      <c r="M22" s="47"/>
      <c r="N22" s="198"/>
      <c r="O22" s="198"/>
      <c r="P22" s="198"/>
      <c r="Q22" s="198"/>
      <c r="R22" s="57"/>
      <c r="S22" s="57"/>
      <c r="T22" s="52"/>
      <c r="U22" s="52"/>
      <c r="V22" s="52"/>
      <c r="W22" s="52"/>
      <c r="X22" s="52"/>
      <c r="Y22" s="52"/>
      <c r="Z22" s="52"/>
      <c r="AA22" s="52"/>
      <c r="AB22" s="52"/>
      <c r="AC22" s="52"/>
      <c r="AD22" s="52"/>
    </row>
    <row r="23" spans="1:30">
      <c r="A23" s="320" t="s">
        <v>205</v>
      </c>
      <c r="B23" s="90">
        <f>'DDM FCFF FCFE RelativeValuation'!B144</f>
        <v>394.44479561822146</v>
      </c>
      <c r="C23" s="91">
        <v>0.3</v>
      </c>
      <c r="D23" s="90">
        <f>B23*C23</f>
        <v>118.33343868546643</v>
      </c>
      <c r="E23" s="47"/>
      <c r="F23" s="47"/>
      <c r="G23" s="47"/>
      <c r="H23" s="47"/>
      <c r="I23" s="47"/>
      <c r="J23" s="47"/>
      <c r="K23" s="47"/>
      <c r="L23" s="47"/>
      <c r="M23" s="47"/>
      <c r="N23" s="198"/>
      <c r="O23" s="198"/>
      <c r="P23" s="198"/>
      <c r="Q23" s="198"/>
      <c r="R23" s="57"/>
      <c r="S23" s="57"/>
      <c r="T23" s="52"/>
      <c r="U23" s="52"/>
      <c r="V23" s="52"/>
      <c r="W23" s="52"/>
      <c r="X23" s="52"/>
      <c r="Y23" s="52"/>
      <c r="Z23" s="52"/>
      <c r="AA23" s="52"/>
      <c r="AB23" s="52"/>
      <c r="AC23" s="52"/>
      <c r="AD23" s="52"/>
    </row>
    <row r="24" spans="1:30">
      <c r="A24" s="320"/>
      <c r="B24" s="201"/>
      <c r="C24" s="201"/>
      <c r="D24" s="201"/>
      <c r="E24" s="47"/>
      <c r="F24" s="47"/>
      <c r="G24" s="47"/>
      <c r="H24" s="47"/>
      <c r="I24" s="47"/>
      <c r="J24" s="47"/>
      <c r="K24" s="47"/>
      <c r="L24" s="47"/>
      <c r="M24" s="47"/>
      <c r="N24" s="198"/>
      <c r="O24" s="198"/>
      <c r="P24" s="198"/>
      <c r="Q24" s="198"/>
      <c r="R24" s="57"/>
      <c r="S24" s="57"/>
      <c r="T24" s="52"/>
      <c r="U24" s="52"/>
      <c r="V24" s="52"/>
      <c r="W24" s="52"/>
      <c r="X24" s="52"/>
      <c r="Y24" s="52"/>
      <c r="Z24" s="52"/>
      <c r="AA24" s="52"/>
      <c r="AB24" s="52"/>
      <c r="AC24" s="52"/>
      <c r="AD24" s="52"/>
    </row>
    <row r="25" spans="1:30">
      <c r="A25" s="320" t="s">
        <v>1223</v>
      </c>
      <c r="B25" s="428">
        <f>SUM(D21:D23)</f>
        <v>389.90639339738749</v>
      </c>
      <c r="C25" s="48"/>
      <c r="D25" s="201"/>
      <c r="E25" s="47"/>
      <c r="F25" s="47"/>
      <c r="G25" s="47"/>
      <c r="H25" s="47"/>
      <c r="I25" s="47"/>
      <c r="J25" s="47"/>
      <c r="K25" s="47"/>
      <c r="L25" s="47"/>
      <c r="M25" s="47"/>
      <c r="N25" s="198"/>
      <c r="O25" s="198"/>
      <c r="P25" s="198"/>
      <c r="Q25" s="198"/>
      <c r="R25" s="57"/>
      <c r="S25" s="57"/>
      <c r="T25" s="52"/>
      <c r="U25" s="52"/>
      <c r="V25" s="52"/>
      <c r="W25" s="52"/>
      <c r="X25" s="52"/>
      <c r="Y25" s="52"/>
      <c r="Z25" s="52"/>
      <c r="AA25" s="52"/>
      <c r="AB25" s="52"/>
      <c r="AC25" s="52"/>
      <c r="AD25" s="52"/>
    </row>
    <row r="26" spans="1:30">
      <c r="A26" s="47"/>
      <c r="B26" s="47"/>
      <c r="C26" s="47"/>
      <c r="D26" s="47"/>
      <c r="E26" s="47"/>
      <c r="F26" s="47"/>
      <c r="G26" s="47"/>
      <c r="H26" s="47"/>
      <c r="I26" s="47"/>
      <c r="J26" s="47"/>
      <c r="K26" s="47"/>
      <c r="L26" s="47"/>
      <c r="M26" s="47"/>
      <c r="N26" s="198"/>
      <c r="O26" s="198"/>
      <c r="P26" s="198"/>
      <c r="Q26" s="198"/>
      <c r="R26" s="57"/>
      <c r="S26" s="57"/>
      <c r="T26" s="52"/>
      <c r="U26" s="52"/>
      <c r="V26" s="52"/>
      <c r="W26" s="52"/>
      <c r="X26" s="52"/>
      <c r="Y26" s="52"/>
      <c r="Z26" s="52"/>
      <c r="AA26" s="52"/>
      <c r="AB26" s="52"/>
      <c r="AC26" s="52"/>
      <c r="AD26" s="52"/>
    </row>
    <row r="27" spans="1:30">
      <c r="A27" s="46" t="s">
        <v>1138</v>
      </c>
      <c r="B27" s="47"/>
      <c r="C27" s="47"/>
      <c r="D27" s="47"/>
      <c r="E27" s="47"/>
      <c r="F27" s="47"/>
      <c r="G27" s="47"/>
      <c r="H27" s="47"/>
      <c r="I27" s="47"/>
      <c r="J27" s="47"/>
      <c r="K27" s="47"/>
      <c r="L27" s="47"/>
      <c r="M27" s="47"/>
      <c r="N27" s="47"/>
      <c r="O27" s="198"/>
      <c r="P27" s="198"/>
      <c r="Q27" s="198"/>
      <c r="R27" s="57"/>
      <c r="S27" s="57"/>
      <c r="T27" s="52"/>
      <c r="U27" s="52"/>
      <c r="V27" s="52"/>
      <c r="W27" s="52"/>
      <c r="X27" s="52"/>
      <c r="Y27" s="52"/>
      <c r="Z27" s="52"/>
      <c r="AA27" s="52"/>
      <c r="AB27" s="52"/>
      <c r="AC27" s="52"/>
      <c r="AD27" s="52"/>
    </row>
    <row r="28" spans="1:30">
      <c r="A28" s="320" t="s">
        <v>1979</v>
      </c>
      <c r="B28" s="320"/>
      <c r="C28" s="320"/>
      <c r="D28" s="320"/>
      <c r="E28" s="320"/>
      <c r="F28" s="320"/>
      <c r="G28" s="47"/>
      <c r="H28" s="47"/>
      <c r="I28" s="47"/>
      <c r="J28" s="47"/>
      <c r="K28" s="47"/>
      <c r="L28" s="47"/>
      <c r="M28" s="47"/>
      <c r="N28" s="198"/>
      <c r="O28" s="198"/>
      <c r="P28" s="198"/>
      <c r="Q28" s="198"/>
      <c r="R28" s="57"/>
      <c r="S28" s="57"/>
      <c r="T28" s="52"/>
      <c r="U28" s="52"/>
      <c r="V28" s="52"/>
      <c r="W28" s="52"/>
      <c r="X28" s="52"/>
      <c r="Y28" s="52"/>
      <c r="Z28" s="52"/>
      <c r="AA28" s="52"/>
      <c r="AB28" s="52"/>
      <c r="AC28" s="52"/>
      <c r="AD28" s="52"/>
    </row>
    <row r="29" spans="1:30">
      <c r="A29" s="47"/>
      <c r="B29" s="47"/>
      <c r="C29" s="47"/>
      <c r="D29" s="47"/>
      <c r="E29" s="47"/>
      <c r="F29" s="47"/>
      <c r="G29" s="47"/>
      <c r="H29" s="47"/>
      <c r="I29" s="47"/>
      <c r="J29" s="47"/>
      <c r="K29" s="47"/>
      <c r="L29" s="47"/>
      <c r="M29" s="47"/>
      <c r="N29" s="198"/>
      <c r="O29" s="198"/>
      <c r="P29" s="198"/>
      <c r="Q29" s="198"/>
      <c r="R29" s="57"/>
      <c r="S29" s="57"/>
      <c r="T29" s="52"/>
      <c r="U29" s="52"/>
      <c r="V29" s="52"/>
      <c r="W29" s="52"/>
      <c r="X29" s="52"/>
      <c r="Y29" s="52"/>
      <c r="Z29" s="52"/>
      <c r="AA29" s="52"/>
      <c r="AB29" s="52"/>
      <c r="AC29" s="52"/>
      <c r="AD29" s="52"/>
    </row>
    <row r="30" spans="1:30">
      <c r="A30" s="46" t="s">
        <v>832</v>
      </c>
      <c r="B30" s="47"/>
      <c r="C30" s="47"/>
      <c r="D30" s="47"/>
      <c r="E30" s="47"/>
      <c r="F30" s="47"/>
      <c r="G30" s="47"/>
      <c r="H30" s="47"/>
      <c r="I30" s="47"/>
      <c r="J30" s="47"/>
      <c r="K30" s="47"/>
      <c r="L30" s="47"/>
      <c r="M30" s="47"/>
      <c r="N30" s="198"/>
      <c r="O30" s="198"/>
      <c r="P30" s="198"/>
      <c r="Q30" s="198"/>
      <c r="R30" s="57"/>
      <c r="S30" s="57"/>
      <c r="T30" s="52"/>
      <c r="U30" s="52"/>
      <c r="V30" s="52"/>
      <c r="W30" s="52"/>
      <c r="X30" s="52"/>
      <c r="Y30" s="52"/>
      <c r="Z30" s="52"/>
      <c r="AA30" s="52"/>
      <c r="AB30" s="52"/>
      <c r="AC30" s="52"/>
      <c r="AD30" s="52"/>
    </row>
    <row r="31" spans="1:30">
      <c r="A31" s="320" t="s">
        <v>1980</v>
      </c>
      <c r="B31" s="320"/>
      <c r="C31" s="320"/>
      <c r="D31" s="320"/>
      <c r="E31" s="320"/>
      <c r="F31" s="320"/>
      <c r="G31" s="320"/>
      <c r="H31" s="320"/>
      <c r="I31" s="320"/>
      <c r="J31" s="47"/>
      <c r="K31" s="47"/>
      <c r="L31" s="47"/>
      <c r="M31" s="47"/>
      <c r="N31" s="198"/>
      <c r="O31" s="198"/>
      <c r="P31" s="198"/>
      <c r="Q31" s="198"/>
      <c r="R31" s="57"/>
      <c r="S31" s="57"/>
      <c r="T31" s="52"/>
      <c r="U31" s="52"/>
      <c r="V31" s="52"/>
      <c r="W31" s="52"/>
      <c r="X31" s="52"/>
      <c r="Y31" s="52"/>
      <c r="Z31" s="52"/>
      <c r="AA31" s="52"/>
      <c r="AB31" s="52"/>
      <c r="AC31" s="52"/>
      <c r="AD31" s="52"/>
    </row>
    <row r="32" spans="1:30">
      <c r="A32" s="320" t="s">
        <v>1983</v>
      </c>
      <c r="B32" s="320"/>
      <c r="C32" s="47"/>
      <c r="D32" s="47"/>
      <c r="E32" s="47"/>
      <c r="F32" s="47"/>
      <c r="G32" s="47"/>
      <c r="H32" s="47"/>
      <c r="I32" s="47"/>
      <c r="J32" s="47"/>
      <c r="K32" s="47"/>
      <c r="L32" s="47"/>
      <c r="M32" s="47"/>
      <c r="N32" s="198"/>
      <c r="O32" s="198"/>
      <c r="P32" s="198"/>
      <c r="Q32" s="198"/>
      <c r="R32" s="57"/>
      <c r="S32" s="57"/>
      <c r="T32" s="52"/>
      <c r="U32" s="52"/>
      <c r="V32" s="52"/>
      <c r="W32" s="52"/>
      <c r="X32" s="52"/>
      <c r="Y32" s="52"/>
      <c r="Z32" s="52"/>
      <c r="AA32" s="52"/>
      <c r="AB32" s="52"/>
      <c r="AC32" s="52"/>
      <c r="AD32" s="52"/>
    </row>
    <row r="33" spans="1:30">
      <c r="A33" s="47"/>
      <c r="B33" s="47"/>
      <c r="C33" s="47"/>
      <c r="D33" s="47"/>
      <c r="E33" s="47"/>
      <c r="F33" s="47"/>
      <c r="G33" s="47"/>
      <c r="H33" s="47"/>
      <c r="I33" s="47"/>
      <c r="J33" s="47"/>
      <c r="K33" s="47"/>
      <c r="L33" s="47"/>
      <c r="M33" s="47"/>
      <c r="N33" s="198"/>
      <c r="O33" s="198"/>
      <c r="P33" s="198"/>
      <c r="Q33" s="198"/>
      <c r="R33" s="57"/>
      <c r="S33" s="57"/>
      <c r="T33" s="52"/>
      <c r="U33" s="52"/>
      <c r="V33" s="52"/>
      <c r="W33" s="52"/>
      <c r="X33" s="52"/>
      <c r="Y33" s="52"/>
      <c r="Z33" s="52"/>
      <c r="AA33" s="52"/>
      <c r="AB33" s="52"/>
      <c r="AC33" s="52"/>
      <c r="AD33" s="52"/>
    </row>
    <row r="34" spans="1:30">
      <c r="A34" s="46" t="s">
        <v>1006</v>
      </c>
      <c r="B34" s="47"/>
      <c r="C34" s="47"/>
      <c r="D34" s="47"/>
      <c r="E34" s="47"/>
      <c r="F34" s="47"/>
      <c r="G34" s="47"/>
      <c r="H34" s="47"/>
      <c r="I34" s="47"/>
      <c r="J34" s="47"/>
      <c r="K34" s="47"/>
      <c r="L34" s="47"/>
      <c r="M34" s="47"/>
      <c r="N34" s="198"/>
      <c r="O34" s="198"/>
      <c r="P34" s="198"/>
      <c r="Q34" s="198"/>
      <c r="R34" s="57"/>
      <c r="S34" s="57"/>
      <c r="T34" s="52"/>
      <c r="U34" s="52"/>
      <c r="V34" s="52"/>
      <c r="W34" s="52"/>
      <c r="X34" s="52"/>
      <c r="Y34" s="52"/>
      <c r="Z34" s="52"/>
      <c r="AA34" s="52"/>
      <c r="AB34" s="52"/>
      <c r="AC34" s="52"/>
      <c r="AD34" s="52"/>
    </row>
    <row r="35" spans="1:30">
      <c r="A35" s="320" t="s">
        <v>1975</v>
      </c>
      <c r="B35" s="47"/>
      <c r="C35" s="47"/>
      <c r="D35" s="47"/>
      <c r="E35" s="47"/>
      <c r="F35" s="47"/>
      <c r="G35" s="47"/>
      <c r="H35" s="47"/>
      <c r="I35" s="47"/>
      <c r="J35" s="47"/>
      <c r="K35" s="47"/>
      <c r="L35" s="47"/>
      <c r="M35" s="47"/>
      <c r="N35" s="198"/>
      <c r="O35" s="198"/>
      <c r="P35" s="198"/>
      <c r="Q35" s="198"/>
      <c r="R35" s="57"/>
      <c r="S35" s="57"/>
      <c r="T35" s="52"/>
      <c r="U35" s="52"/>
      <c r="V35" s="52"/>
      <c r="W35" s="52"/>
      <c r="X35" s="52"/>
      <c r="Y35" s="52"/>
      <c r="Z35" s="52"/>
      <c r="AA35" s="52"/>
      <c r="AB35" s="52"/>
      <c r="AC35" s="52"/>
      <c r="AD35" s="52"/>
    </row>
    <row r="36" spans="1:30">
      <c r="A36" s="320" t="s">
        <v>1976</v>
      </c>
      <c r="B36" s="47"/>
      <c r="C36" s="47"/>
      <c r="D36" s="47"/>
      <c r="E36" s="47"/>
      <c r="F36" s="47"/>
      <c r="G36" s="47"/>
      <c r="H36" s="47"/>
      <c r="I36" s="47"/>
      <c r="J36" s="47"/>
      <c r="K36" s="47"/>
      <c r="L36" s="47"/>
      <c r="M36" s="47"/>
      <c r="N36" s="198"/>
      <c r="O36" s="198"/>
      <c r="P36" s="198"/>
      <c r="Q36" s="198"/>
      <c r="R36" s="57"/>
      <c r="S36" s="57"/>
      <c r="T36" s="52"/>
      <c r="U36" s="52"/>
      <c r="V36" s="52"/>
      <c r="W36" s="52"/>
      <c r="X36" s="52"/>
      <c r="Y36" s="52"/>
      <c r="Z36" s="52"/>
      <c r="AA36" s="52"/>
      <c r="AB36" s="52"/>
      <c r="AC36" s="52"/>
      <c r="AD36" s="52"/>
    </row>
    <row r="37" spans="1:30">
      <c r="A37" s="320" t="s">
        <v>1977</v>
      </c>
      <c r="B37" s="46"/>
      <c r="C37" s="47"/>
      <c r="D37" s="47"/>
      <c r="E37" s="47"/>
      <c r="F37" s="47"/>
      <c r="G37" s="47"/>
      <c r="H37" s="47"/>
      <c r="I37" s="47"/>
      <c r="J37" s="47"/>
      <c r="K37" s="47"/>
      <c r="L37" s="47"/>
      <c r="M37" s="47"/>
      <c r="N37" s="198"/>
      <c r="O37" s="198"/>
      <c r="P37" s="198"/>
      <c r="Q37" s="198"/>
      <c r="R37" s="57"/>
      <c r="S37" s="57"/>
      <c r="T37" s="52"/>
      <c r="U37" s="52"/>
      <c r="V37" s="52"/>
      <c r="W37" s="52"/>
      <c r="X37" s="52"/>
      <c r="Y37" s="52"/>
      <c r="Z37" s="52"/>
      <c r="AA37" s="52"/>
      <c r="AB37" s="52"/>
      <c r="AC37" s="52"/>
      <c r="AD37" s="52"/>
    </row>
    <row r="38" spans="1:30">
      <c r="A38" s="320" t="s">
        <v>1978</v>
      </c>
      <c r="B38" s="201"/>
      <c r="C38" s="47"/>
      <c r="D38" s="47"/>
      <c r="E38" s="47"/>
      <c r="F38" s="47"/>
      <c r="G38" s="47"/>
      <c r="H38" s="47"/>
      <c r="I38" s="47"/>
      <c r="J38" s="47"/>
      <c r="K38" s="47"/>
      <c r="L38" s="47"/>
      <c r="M38" s="47"/>
      <c r="N38" s="198"/>
      <c r="O38" s="198"/>
      <c r="P38" s="198"/>
      <c r="Q38" s="198"/>
      <c r="R38" s="57"/>
      <c r="S38" s="57"/>
      <c r="T38" s="52"/>
      <c r="U38" s="52"/>
      <c r="V38" s="52"/>
      <c r="W38" s="52"/>
      <c r="X38" s="52"/>
      <c r="Y38" s="52"/>
      <c r="Z38" s="52"/>
      <c r="AA38" s="52"/>
      <c r="AB38" s="52"/>
      <c r="AC38" s="52"/>
      <c r="AD38" s="52"/>
    </row>
    <row r="39" spans="1:30">
      <c r="A39" s="47"/>
      <c r="B39" s="201"/>
      <c r="C39" s="47"/>
      <c r="D39" s="47"/>
      <c r="E39" s="47"/>
      <c r="F39" s="47"/>
      <c r="G39" s="47"/>
      <c r="H39" s="47"/>
      <c r="I39" s="47"/>
      <c r="J39" s="47"/>
      <c r="K39" s="47"/>
      <c r="L39" s="47"/>
      <c r="M39" s="47"/>
      <c r="N39" s="198"/>
      <c r="O39" s="198"/>
      <c r="P39" s="198"/>
      <c r="Q39" s="198"/>
      <c r="R39" s="57"/>
      <c r="S39" s="57"/>
      <c r="T39" s="52"/>
      <c r="U39" s="52"/>
      <c r="V39" s="52"/>
      <c r="W39" s="52"/>
      <c r="X39" s="52"/>
      <c r="Y39" s="52"/>
      <c r="Z39" s="52"/>
      <c r="AA39" s="52"/>
      <c r="AB39" s="52"/>
      <c r="AC39" s="52"/>
      <c r="AD39" s="52"/>
    </row>
    <row r="40" spans="1:30">
      <c r="A40" s="46" t="s">
        <v>1221</v>
      </c>
      <c r="B40" s="201"/>
      <c r="C40" s="47"/>
      <c r="D40" s="47"/>
      <c r="E40" s="47"/>
      <c r="F40" s="47"/>
      <c r="G40" s="47"/>
      <c r="H40" s="47"/>
      <c r="I40" s="47"/>
      <c r="J40" s="47"/>
      <c r="K40" s="47"/>
      <c r="L40" s="47"/>
      <c r="M40" s="47"/>
      <c r="N40" s="198"/>
      <c r="O40" s="198"/>
      <c r="P40" s="198"/>
      <c r="Q40" s="198"/>
      <c r="R40" s="57"/>
      <c r="S40" s="57"/>
      <c r="T40" s="52"/>
      <c r="U40" s="52"/>
      <c r="V40" s="52"/>
      <c r="W40" s="52"/>
      <c r="X40" s="52"/>
      <c r="Y40" s="52"/>
      <c r="Z40" s="52"/>
      <c r="AA40" s="52"/>
      <c r="AB40" s="52"/>
      <c r="AC40" s="52"/>
      <c r="AD40" s="52"/>
    </row>
    <row r="41" spans="1:30">
      <c r="A41" s="46" t="s">
        <v>451</v>
      </c>
      <c r="B41" s="48" t="s">
        <v>117</v>
      </c>
      <c r="C41" s="47"/>
      <c r="D41" s="47"/>
      <c r="E41" s="47"/>
      <c r="F41" s="47"/>
      <c r="G41" s="47"/>
      <c r="H41" s="47"/>
      <c r="I41" s="47"/>
      <c r="J41" s="47"/>
      <c r="K41" s="47"/>
      <c r="L41" s="47"/>
      <c r="M41" s="47"/>
      <c r="N41" s="198"/>
      <c r="O41" s="198"/>
      <c r="P41" s="198"/>
      <c r="Q41" s="198"/>
      <c r="R41" s="57"/>
      <c r="S41" s="57"/>
      <c r="T41" s="52"/>
      <c r="U41" s="52"/>
      <c r="V41" s="52"/>
      <c r="W41" s="52"/>
      <c r="X41" s="52"/>
      <c r="Y41" s="52"/>
      <c r="Z41" s="52"/>
      <c r="AA41" s="52"/>
      <c r="AB41" s="52"/>
      <c r="AC41" s="52"/>
      <c r="AD41" s="52"/>
    </row>
    <row r="42" spans="1:30">
      <c r="A42" s="320" t="s">
        <v>500</v>
      </c>
      <c r="B42" s="433">
        <v>450</v>
      </c>
      <c r="C42" s="47"/>
      <c r="D42" s="47"/>
      <c r="E42" s="47"/>
      <c r="F42" s="47"/>
      <c r="G42" s="47"/>
      <c r="H42" s="47"/>
      <c r="I42" s="47"/>
      <c r="J42" s="47"/>
      <c r="K42" s="47"/>
      <c r="L42" s="47"/>
      <c r="M42" s="47"/>
      <c r="N42" s="198"/>
      <c r="O42" s="198"/>
      <c r="P42" s="198"/>
      <c r="Q42" s="198"/>
      <c r="R42" s="57"/>
      <c r="S42" s="57"/>
      <c r="T42" s="52"/>
      <c r="U42" s="52"/>
      <c r="V42" s="52"/>
      <c r="W42" s="52"/>
      <c r="X42" s="52"/>
      <c r="Y42" s="52"/>
      <c r="Z42" s="52"/>
      <c r="AA42" s="52"/>
      <c r="AB42" s="52"/>
      <c r="AC42" s="52"/>
      <c r="AD42" s="52"/>
    </row>
    <row r="43" spans="1:30">
      <c r="A43" s="320" t="s">
        <v>864</v>
      </c>
      <c r="B43" s="433">
        <f>B25</f>
        <v>389.90639339738749</v>
      </c>
      <c r="C43" s="47"/>
      <c r="D43" s="47"/>
      <c r="E43" s="47"/>
      <c r="F43" s="47"/>
      <c r="G43" s="47"/>
      <c r="H43" s="47"/>
      <c r="I43" s="47"/>
      <c r="J43" s="47"/>
      <c r="K43" s="47"/>
      <c r="L43" s="47"/>
      <c r="M43" s="47"/>
      <c r="N43" s="198"/>
      <c r="O43" s="198"/>
      <c r="P43" s="198"/>
      <c r="Q43" s="198"/>
      <c r="R43" s="57"/>
      <c r="S43" s="57"/>
      <c r="T43" s="52"/>
      <c r="U43" s="52"/>
      <c r="V43" s="52"/>
      <c r="W43" s="52"/>
      <c r="X43" s="52"/>
      <c r="Y43" s="52"/>
      <c r="Z43" s="52"/>
      <c r="AA43" s="52"/>
      <c r="AB43" s="52"/>
      <c r="AC43" s="52"/>
      <c r="AD43" s="52"/>
    </row>
    <row r="44" spans="1:30">
      <c r="A44" s="320" t="s">
        <v>501</v>
      </c>
      <c r="B44" s="444">
        <f>(B43-B42)/B42</f>
        <v>-0.13354134800580558</v>
      </c>
      <c r="C44" s="201"/>
      <c r="D44" s="201"/>
      <c r="E44" s="47"/>
      <c r="F44" s="47"/>
      <c r="G44" s="47"/>
      <c r="H44" s="47"/>
      <c r="I44" s="47"/>
      <c r="J44" s="47"/>
      <c r="K44" s="47"/>
      <c r="L44" s="47"/>
      <c r="M44" s="47"/>
      <c r="N44" s="47"/>
      <c r="O44" s="47"/>
      <c r="P44" s="47"/>
      <c r="Q44" s="47"/>
      <c r="R44" s="50"/>
      <c r="S44" s="50"/>
      <c r="T44" s="51"/>
      <c r="U44" s="51"/>
      <c r="V44" s="51"/>
      <c r="W44" s="51"/>
      <c r="X44" s="51"/>
      <c r="Y44" s="51"/>
      <c r="Z44" s="51"/>
      <c r="AA44" s="52"/>
      <c r="AB44" s="52"/>
      <c r="AC44" s="52"/>
      <c r="AD44" s="52"/>
    </row>
    <row r="45" spans="1:30">
      <c r="A45" s="320" t="s">
        <v>502</v>
      </c>
      <c r="B45" s="75" t="str">
        <f>IF(B42&gt;0.15,"SELL",
IF(B43&lt;-0.15,"BUY","HOLD"))</f>
        <v>SELL</v>
      </c>
      <c r="C45" s="201"/>
      <c r="D45" s="201"/>
      <c r="E45" s="47"/>
      <c r="F45" s="47"/>
      <c r="G45" s="47"/>
      <c r="H45" s="47"/>
      <c r="I45" s="47"/>
      <c r="J45" s="47"/>
      <c r="K45" s="47"/>
      <c r="L45" s="47"/>
      <c r="M45" s="47"/>
      <c r="N45" s="47"/>
      <c r="O45" s="47"/>
      <c r="P45" s="47"/>
      <c r="Q45" s="47"/>
      <c r="R45" s="50"/>
      <c r="S45" s="50"/>
      <c r="T45" s="51"/>
      <c r="U45" s="51"/>
      <c r="V45" s="51"/>
      <c r="W45" s="51"/>
      <c r="X45" s="51"/>
      <c r="Y45" s="51"/>
      <c r="Z45" s="51"/>
      <c r="AA45" s="52"/>
      <c r="AB45" s="52"/>
      <c r="AC45" s="52"/>
      <c r="AD45" s="52"/>
    </row>
    <row r="46" spans="1:30">
      <c r="A46" s="47"/>
      <c r="B46" s="201"/>
      <c r="C46" s="201"/>
      <c r="D46" s="201"/>
      <c r="E46" s="47"/>
      <c r="F46" s="47"/>
      <c r="G46" s="47"/>
      <c r="H46" s="47"/>
      <c r="I46" s="47"/>
      <c r="J46" s="47"/>
      <c r="K46" s="47"/>
      <c r="L46" s="47"/>
      <c r="M46" s="47"/>
      <c r="N46" s="47"/>
      <c r="O46" s="47"/>
      <c r="P46" s="47"/>
      <c r="Q46" s="47"/>
      <c r="R46" s="50"/>
      <c r="S46" s="50"/>
      <c r="T46" s="51"/>
      <c r="U46" s="51"/>
      <c r="V46" s="51"/>
      <c r="W46" s="51"/>
      <c r="X46" s="51"/>
      <c r="Y46" s="51"/>
      <c r="Z46" s="51"/>
      <c r="AA46" s="52"/>
      <c r="AB46" s="52"/>
      <c r="AC46" s="52"/>
      <c r="AD46" s="52"/>
    </row>
    <row r="47" spans="1:30">
      <c r="A47" s="46" t="s">
        <v>1212</v>
      </c>
      <c r="B47" s="46" t="s">
        <v>1213</v>
      </c>
      <c r="C47" s="46" t="s">
        <v>1214</v>
      </c>
      <c r="D47" s="46" t="s">
        <v>1263</v>
      </c>
      <c r="E47" s="47"/>
      <c r="F47" s="47"/>
      <c r="G47" s="47"/>
      <c r="H47" s="47"/>
      <c r="I47" s="47"/>
      <c r="J47" s="47"/>
      <c r="K47" s="47"/>
      <c r="L47" s="47"/>
      <c r="M47" s="47"/>
      <c r="N47" s="47"/>
      <c r="O47" s="47"/>
      <c r="P47" s="47"/>
      <c r="Q47" s="47"/>
      <c r="R47" s="50"/>
      <c r="S47" s="50"/>
      <c r="T47" s="51"/>
      <c r="U47" s="51"/>
      <c r="V47" s="51"/>
      <c r="W47" s="51"/>
      <c r="X47" s="51"/>
      <c r="Y47" s="51"/>
      <c r="Z47" s="51"/>
      <c r="AA47" s="52"/>
      <c r="AB47" s="52"/>
      <c r="AC47" s="52"/>
      <c r="AD47" s="52"/>
    </row>
    <row r="48" spans="1:30">
      <c r="A48" s="320" t="s">
        <v>1216</v>
      </c>
      <c r="B48" s="320" t="s">
        <v>1217</v>
      </c>
      <c r="C48" s="320" t="s">
        <v>1000</v>
      </c>
      <c r="D48" s="320" t="s">
        <v>1264</v>
      </c>
      <c r="E48" s="47"/>
      <c r="F48" s="47"/>
      <c r="G48" s="47"/>
      <c r="H48" s="47"/>
      <c r="I48" s="47"/>
      <c r="J48" s="47"/>
      <c r="K48" s="47"/>
      <c r="L48" s="47"/>
      <c r="M48" s="47"/>
      <c r="N48" s="47"/>
      <c r="O48" s="47"/>
      <c r="P48" s="47"/>
      <c r="Q48" s="47"/>
      <c r="R48" s="50"/>
      <c r="S48" s="50"/>
      <c r="T48" s="51"/>
      <c r="U48" s="51"/>
      <c r="V48" s="51"/>
      <c r="W48" s="51"/>
      <c r="X48" s="51"/>
      <c r="Y48" s="51"/>
      <c r="Z48" s="51"/>
      <c r="AA48" s="52"/>
      <c r="AB48" s="52"/>
      <c r="AC48" s="52"/>
      <c r="AD48" s="52"/>
    </row>
    <row r="49" spans="1:30">
      <c r="A49" s="320" t="s">
        <v>1218</v>
      </c>
      <c r="B49" s="320" t="s">
        <v>1000</v>
      </c>
      <c r="C49" s="320" t="s">
        <v>1217</v>
      </c>
      <c r="D49" s="320" t="s">
        <v>1265</v>
      </c>
      <c r="E49" s="47"/>
      <c r="F49" s="47"/>
      <c r="G49" s="47"/>
      <c r="H49" s="47"/>
      <c r="I49" s="47"/>
      <c r="J49" s="47"/>
      <c r="K49" s="47"/>
      <c r="L49" s="47"/>
      <c r="M49" s="47"/>
      <c r="N49" s="47"/>
      <c r="O49" s="47"/>
      <c r="P49" s="47"/>
      <c r="Q49" s="47"/>
      <c r="R49" s="50"/>
      <c r="S49" s="50"/>
      <c r="T49" s="51"/>
      <c r="U49" s="51"/>
      <c r="V49" s="51"/>
      <c r="W49" s="51"/>
      <c r="X49" s="51"/>
      <c r="Y49" s="51"/>
      <c r="Z49" s="51"/>
      <c r="AA49" s="52"/>
      <c r="AB49" s="52"/>
      <c r="AC49" s="52"/>
      <c r="AD49" s="52"/>
    </row>
    <row r="50" spans="1:30">
      <c r="A50" s="320" t="s">
        <v>1968</v>
      </c>
      <c r="B50" s="320" t="s">
        <v>999</v>
      </c>
      <c r="C50" s="320" t="s">
        <v>1000</v>
      </c>
      <c r="D50" s="320" t="s">
        <v>1969</v>
      </c>
      <c r="E50" s="47"/>
      <c r="F50" s="47"/>
      <c r="G50" s="47"/>
      <c r="H50" s="47"/>
      <c r="I50" s="47"/>
      <c r="J50" s="47"/>
      <c r="K50" s="47"/>
      <c r="L50" s="47"/>
      <c r="M50" s="47"/>
      <c r="N50" s="47"/>
      <c r="O50" s="47"/>
      <c r="P50" s="47"/>
      <c r="Q50" s="47"/>
      <c r="R50" s="50"/>
      <c r="S50" s="50"/>
      <c r="T50" s="51"/>
      <c r="U50" s="51"/>
      <c r="V50" s="51"/>
      <c r="W50" s="51"/>
      <c r="X50" s="51"/>
      <c r="Y50" s="51"/>
      <c r="Z50" s="51"/>
      <c r="AA50" s="52"/>
      <c r="AB50" s="52"/>
      <c r="AC50" s="52"/>
      <c r="AD50" s="52"/>
    </row>
    <row r="51" spans="1:30">
      <c r="A51" s="47"/>
      <c r="B51" s="47"/>
      <c r="C51" s="47"/>
      <c r="D51" s="47"/>
      <c r="E51" s="47"/>
      <c r="F51" s="47"/>
      <c r="G51" s="47"/>
      <c r="H51" s="47"/>
      <c r="I51" s="47"/>
      <c r="J51" s="47"/>
      <c r="K51" s="47"/>
      <c r="L51" s="47"/>
      <c r="M51" s="47"/>
      <c r="N51" s="47"/>
      <c r="O51" s="47"/>
      <c r="P51" s="47"/>
      <c r="Q51" s="47"/>
      <c r="R51" s="50"/>
      <c r="S51" s="50"/>
      <c r="T51" s="51"/>
      <c r="U51" s="51"/>
      <c r="V51" s="51"/>
      <c r="W51" s="51"/>
      <c r="X51" s="51"/>
      <c r="Y51" s="51"/>
      <c r="Z51" s="51"/>
      <c r="AA51" s="52"/>
      <c r="AB51" s="52"/>
      <c r="AC51" s="52"/>
      <c r="AD51" s="52"/>
    </row>
    <row r="52" spans="1:30">
      <c r="A52" s="46" t="s">
        <v>1275</v>
      </c>
      <c r="B52" s="47"/>
      <c r="C52" s="47"/>
      <c r="D52" s="47"/>
      <c r="E52" s="47"/>
      <c r="F52" s="47"/>
      <c r="G52" s="47"/>
      <c r="H52" s="47"/>
      <c r="I52" s="47"/>
      <c r="J52" s="47"/>
      <c r="K52" s="47"/>
      <c r="L52" s="47"/>
      <c r="M52" s="47"/>
      <c r="N52" s="47"/>
      <c r="O52" s="47"/>
      <c r="P52" s="47"/>
      <c r="Q52" s="47"/>
      <c r="R52" s="50"/>
      <c r="S52" s="50"/>
      <c r="T52" s="51"/>
      <c r="U52" s="51"/>
      <c r="V52" s="51"/>
      <c r="W52" s="51"/>
      <c r="X52" s="51"/>
      <c r="Y52" s="51"/>
      <c r="Z52" s="51"/>
      <c r="AA52" s="52"/>
      <c r="AB52" s="52"/>
      <c r="AC52" s="52"/>
      <c r="AD52" s="52"/>
    </row>
    <row r="53" spans="1:30">
      <c r="A53" s="320" t="s">
        <v>1970</v>
      </c>
      <c r="B53" s="47"/>
      <c r="C53" s="47"/>
      <c r="D53" s="47"/>
      <c r="E53" s="47"/>
      <c r="F53" s="47"/>
      <c r="G53" s="47"/>
      <c r="H53" s="47"/>
      <c r="I53" s="47"/>
      <c r="J53" s="47"/>
      <c r="K53" s="47"/>
      <c r="L53" s="47"/>
      <c r="M53" s="47"/>
      <c r="N53" s="47"/>
      <c r="O53" s="47"/>
      <c r="P53" s="47"/>
      <c r="Q53" s="47"/>
      <c r="R53" s="50"/>
      <c r="S53" s="50"/>
      <c r="T53" s="51"/>
      <c r="U53" s="51"/>
      <c r="V53" s="51"/>
      <c r="W53" s="51"/>
      <c r="X53" s="51"/>
      <c r="Y53" s="51"/>
      <c r="Z53" s="51"/>
      <c r="AA53" s="52"/>
      <c r="AB53" s="52"/>
      <c r="AC53" s="52"/>
      <c r="AD53" s="52"/>
    </row>
    <row r="54" spans="1:30">
      <c r="A54" s="320" t="s">
        <v>1971</v>
      </c>
      <c r="B54" s="47"/>
      <c r="C54" s="47"/>
      <c r="D54" s="47"/>
      <c r="E54" s="47"/>
      <c r="F54" s="47"/>
      <c r="G54" s="47"/>
      <c r="H54" s="47"/>
      <c r="I54" s="47"/>
      <c r="J54" s="47"/>
      <c r="K54" s="47"/>
      <c r="L54" s="47"/>
      <c r="M54" s="47"/>
      <c r="N54" s="47"/>
      <c r="O54" s="47"/>
      <c r="P54" s="47"/>
      <c r="Q54" s="47"/>
      <c r="R54" s="50"/>
      <c r="S54" s="50"/>
      <c r="T54" s="51"/>
      <c r="U54" s="51"/>
      <c r="V54" s="51"/>
      <c r="W54" s="51"/>
      <c r="X54" s="51"/>
      <c r="Y54" s="51"/>
      <c r="Z54" s="51"/>
      <c r="AA54" s="52"/>
      <c r="AB54" s="52"/>
      <c r="AC54" s="52"/>
      <c r="AD54" s="52"/>
    </row>
    <row r="55" spans="1:30">
      <c r="A55" s="320" t="s">
        <v>1972</v>
      </c>
      <c r="B55" s="47"/>
      <c r="C55" s="47"/>
      <c r="D55" s="47"/>
      <c r="E55" s="47"/>
      <c r="F55" s="47"/>
      <c r="G55" s="47"/>
      <c r="H55" s="47"/>
      <c r="I55" s="47"/>
      <c r="J55" s="47"/>
      <c r="K55" s="47"/>
      <c r="L55" s="47"/>
      <c r="M55" s="47"/>
      <c r="N55" s="47"/>
      <c r="O55" s="47"/>
      <c r="P55" s="47"/>
      <c r="Q55" s="47"/>
      <c r="R55" s="50"/>
      <c r="S55" s="50"/>
      <c r="T55" s="51"/>
      <c r="U55" s="51"/>
      <c r="V55" s="51"/>
      <c r="W55" s="51"/>
      <c r="X55" s="51"/>
      <c r="Y55" s="51"/>
      <c r="Z55" s="51"/>
      <c r="AA55" s="52"/>
      <c r="AB55" s="52"/>
      <c r="AC55" s="52"/>
      <c r="AD55" s="52"/>
    </row>
    <row r="56" spans="1:30">
      <c r="A56" s="320" t="s">
        <v>1973</v>
      </c>
      <c r="B56" s="47"/>
      <c r="C56" s="47"/>
      <c r="D56" s="47"/>
      <c r="E56" s="47"/>
      <c r="F56" s="47"/>
      <c r="G56" s="47"/>
      <c r="H56" s="47"/>
      <c r="I56" s="47"/>
      <c r="J56" s="47"/>
      <c r="K56" s="47"/>
      <c r="L56" s="47"/>
      <c r="M56" s="47"/>
      <c r="N56" s="47"/>
      <c r="O56" s="47"/>
      <c r="P56" s="47"/>
      <c r="Q56" s="47"/>
      <c r="R56" s="50"/>
      <c r="S56" s="50"/>
      <c r="T56" s="51"/>
      <c r="U56" s="51"/>
      <c r="V56" s="51"/>
      <c r="W56" s="51"/>
      <c r="X56" s="51"/>
      <c r="Y56" s="51"/>
      <c r="Z56" s="51"/>
      <c r="AA56" s="52"/>
      <c r="AB56" s="52"/>
      <c r="AC56" s="52"/>
      <c r="AD56" s="52"/>
    </row>
    <row r="57" spans="1:30">
      <c r="A57" s="47"/>
      <c r="B57" s="47"/>
      <c r="C57" s="47"/>
      <c r="D57" s="47"/>
      <c r="E57" s="47"/>
      <c r="F57" s="47"/>
      <c r="G57" s="47"/>
      <c r="H57" s="47"/>
      <c r="I57" s="47"/>
      <c r="J57" s="47"/>
      <c r="K57" s="47"/>
      <c r="L57" s="47"/>
      <c r="M57" s="47"/>
      <c r="N57" s="47"/>
      <c r="O57" s="47"/>
      <c r="P57" s="47"/>
      <c r="Q57" s="47"/>
      <c r="R57" s="50"/>
      <c r="S57" s="50"/>
      <c r="T57" s="51"/>
      <c r="U57" s="51"/>
      <c r="V57" s="51"/>
      <c r="W57" s="51"/>
      <c r="X57" s="51"/>
      <c r="Y57" s="51"/>
      <c r="Z57" s="51"/>
      <c r="AA57" s="52"/>
      <c r="AB57" s="52"/>
      <c r="AC57" s="52"/>
      <c r="AD57" s="52"/>
    </row>
    <row r="58" spans="1:30">
      <c r="A58" s="46" t="s">
        <v>1735</v>
      </c>
      <c r="B58" s="47"/>
      <c r="C58" s="47"/>
      <c r="D58" s="47"/>
      <c r="E58" s="201"/>
      <c r="F58" s="201"/>
      <c r="G58" s="201"/>
      <c r="H58" s="201"/>
      <c r="I58" s="201"/>
      <c r="J58" s="201"/>
      <c r="K58" s="201"/>
      <c r="L58" s="201"/>
      <c r="M58" s="201"/>
      <c r="N58" s="201"/>
      <c r="O58" s="201"/>
      <c r="P58" s="201"/>
      <c r="Q58" s="201"/>
      <c r="R58" s="52"/>
      <c r="S58" s="52"/>
      <c r="T58" s="52"/>
      <c r="U58" s="52"/>
      <c r="V58" s="52"/>
      <c r="W58" s="52"/>
      <c r="X58" s="52"/>
      <c r="Y58" s="52"/>
      <c r="Z58" s="52"/>
      <c r="AA58" s="52"/>
      <c r="AB58" s="52"/>
      <c r="AC58" s="52"/>
      <c r="AD58" s="52"/>
    </row>
    <row r="59" spans="1:30">
      <c r="A59" s="320" t="s">
        <v>1984</v>
      </c>
      <c r="B59" s="320"/>
      <c r="C59" s="47"/>
      <c r="D59" s="47"/>
      <c r="E59" s="201"/>
      <c r="F59" s="201"/>
      <c r="G59" s="201"/>
      <c r="H59" s="201"/>
      <c r="I59" s="201"/>
      <c r="J59" s="201"/>
      <c r="K59" s="201"/>
      <c r="L59" s="201"/>
      <c r="M59" s="201"/>
      <c r="N59" s="201"/>
      <c r="O59" s="201"/>
      <c r="P59" s="201"/>
      <c r="Q59" s="201"/>
      <c r="R59" s="52"/>
      <c r="S59" s="52"/>
      <c r="T59" s="52"/>
      <c r="U59" s="52"/>
      <c r="V59" s="52"/>
      <c r="W59" s="52"/>
      <c r="X59" s="52"/>
      <c r="Y59" s="52"/>
      <c r="Z59" s="52"/>
      <c r="AA59" s="52"/>
      <c r="AB59" s="52"/>
      <c r="AC59" s="52"/>
      <c r="AD59" s="52"/>
    </row>
    <row r="60" spans="1:30">
      <c r="A60" s="47"/>
      <c r="B60" s="201"/>
      <c r="C60" s="201"/>
      <c r="D60" s="201"/>
      <c r="E60" s="201"/>
      <c r="F60" s="201"/>
      <c r="G60" s="201"/>
      <c r="H60" s="201"/>
      <c r="I60" s="201"/>
      <c r="J60" s="201"/>
      <c r="K60" s="201"/>
      <c r="L60" s="201"/>
      <c r="M60" s="201"/>
      <c r="N60" s="201"/>
      <c r="O60" s="201"/>
      <c r="P60" s="201"/>
      <c r="Q60" s="201"/>
      <c r="R60" s="52"/>
      <c r="S60" s="52"/>
      <c r="T60" s="52"/>
      <c r="U60" s="52"/>
      <c r="V60" s="52"/>
      <c r="W60" s="52"/>
      <c r="X60" s="52"/>
      <c r="Y60" s="52"/>
      <c r="Z60" s="52"/>
      <c r="AA60" s="52"/>
      <c r="AB60" s="52"/>
      <c r="AC60" s="52"/>
      <c r="AD60" s="52"/>
    </row>
    <row r="61" spans="1:30">
      <c r="A61" s="63" t="s">
        <v>2493</v>
      </c>
      <c r="B61" s="390"/>
      <c r="C61" s="390"/>
      <c r="D61" s="390"/>
      <c r="E61" s="390"/>
      <c r="F61" s="201"/>
      <c r="G61" s="201"/>
      <c r="H61" s="201"/>
      <c r="I61" s="201"/>
      <c r="J61" s="201"/>
      <c r="K61" s="201"/>
      <c r="L61" s="201"/>
      <c r="M61" s="201"/>
      <c r="N61" s="201"/>
      <c r="O61" s="201"/>
      <c r="P61" s="201"/>
      <c r="Q61" s="201"/>
      <c r="R61" s="52"/>
      <c r="S61" s="52"/>
      <c r="T61" s="52"/>
      <c r="U61" s="52"/>
      <c r="V61" s="52"/>
      <c r="W61" s="52"/>
      <c r="X61" s="52"/>
      <c r="Y61" s="52"/>
      <c r="Z61" s="52"/>
      <c r="AA61" s="52"/>
      <c r="AB61" s="52"/>
      <c r="AC61" s="52"/>
      <c r="AD61" s="52"/>
    </row>
    <row r="62" spans="1:30">
      <c r="A62" s="47"/>
      <c r="B62" s="201"/>
      <c r="C62" s="201"/>
      <c r="D62" s="201"/>
      <c r="E62" s="201"/>
      <c r="F62" s="201"/>
      <c r="G62" s="201"/>
      <c r="H62" s="201"/>
      <c r="I62" s="201"/>
      <c r="J62" s="201"/>
      <c r="K62" s="201"/>
      <c r="L62" s="201"/>
      <c r="M62" s="201"/>
      <c r="N62" s="201"/>
      <c r="O62" s="201"/>
      <c r="P62" s="201"/>
      <c r="Q62" s="201"/>
      <c r="R62" s="52"/>
      <c r="S62" s="52"/>
      <c r="T62" s="52"/>
      <c r="U62" s="52"/>
      <c r="V62" s="52"/>
      <c r="W62" s="52"/>
      <c r="X62" s="52"/>
      <c r="Y62" s="52"/>
      <c r="Z62" s="52"/>
      <c r="AA62" s="52"/>
      <c r="AB62" s="52"/>
      <c r="AC62" s="52"/>
      <c r="AD62" s="52"/>
    </row>
    <row r="63" spans="1:30">
      <c r="A63" s="27" t="s">
        <v>2031</v>
      </c>
      <c r="B63" s="47"/>
      <c r="C63" s="47"/>
      <c r="D63" s="201"/>
      <c r="E63" s="201"/>
      <c r="F63" s="201"/>
      <c r="G63" s="201"/>
      <c r="H63" s="201"/>
      <c r="I63" s="201"/>
      <c r="J63" s="201"/>
      <c r="K63" s="201"/>
      <c r="L63" s="201"/>
      <c r="M63" s="201"/>
      <c r="N63" s="201"/>
      <c r="O63" s="201"/>
      <c r="P63" s="201"/>
      <c r="Q63" s="201"/>
      <c r="R63" s="52"/>
      <c r="S63" s="52"/>
      <c r="T63" s="52"/>
      <c r="U63" s="52"/>
      <c r="V63" s="52"/>
      <c r="W63" s="52"/>
      <c r="X63" s="52"/>
      <c r="Y63" s="52"/>
      <c r="Z63" s="52"/>
      <c r="AA63" s="52"/>
      <c r="AB63" s="52"/>
      <c r="AC63" s="52"/>
      <c r="AD63" s="52"/>
    </row>
    <row r="64" spans="1:30">
      <c r="A64" s="320" t="s">
        <v>2155</v>
      </c>
      <c r="B64" s="201"/>
      <c r="C64" s="201"/>
      <c r="D64" s="201"/>
      <c r="E64" s="201"/>
      <c r="F64" s="201"/>
      <c r="G64" s="201"/>
      <c r="H64" s="201"/>
      <c r="I64" s="201"/>
      <c r="J64" s="201"/>
      <c r="K64" s="201"/>
      <c r="L64" s="201"/>
      <c r="M64" s="201"/>
      <c r="N64" s="201"/>
      <c r="O64" s="201"/>
      <c r="P64" s="201"/>
      <c r="Q64" s="201"/>
      <c r="R64" s="52"/>
      <c r="S64" s="52"/>
      <c r="T64" s="52"/>
      <c r="U64" s="52"/>
      <c r="V64" s="52"/>
      <c r="W64" s="52"/>
      <c r="X64" s="52"/>
      <c r="Y64" s="52"/>
      <c r="Z64" s="52"/>
      <c r="AA64" s="52"/>
      <c r="AB64" s="52"/>
      <c r="AC64" s="52"/>
      <c r="AD64" s="52"/>
    </row>
    <row r="65" spans="1:30">
      <c r="A65" s="320" t="s">
        <v>2156</v>
      </c>
      <c r="B65" s="201"/>
      <c r="C65" s="201"/>
      <c r="D65" s="201"/>
      <c r="E65" s="201"/>
      <c r="F65" s="201"/>
      <c r="G65" s="201"/>
      <c r="H65" s="201"/>
      <c r="I65" s="201"/>
      <c r="J65" s="201"/>
      <c r="K65" s="201"/>
      <c r="L65" s="201"/>
      <c r="M65" s="201"/>
      <c r="N65" s="201"/>
      <c r="O65" s="201"/>
      <c r="P65" s="201"/>
      <c r="Q65" s="201"/>
      <c r="R65" s="52"/>
      <c r="S65" s="52"/>
      <c r="T65" s="52"/>
      <c r="U65" s="52"/>
      <c r="V65" s="52"/>
      <c r="W65" s="52"/>
      <c r="X65" s="52"/>
      <c r="Y65" s="52"/>
      <c r="Z65" s="52"/>
      <c r="AA65" s="52"/>
      <c r="AB65" s="52"/>
      <c r="AC65" s="52"/>
      <c r="AD65" s="52"/>
    </row>
    <row r="66" spans="1:30">
      <c r="A66" s="320" t="s">
        <v>2157</v>
      </c>
      <c r="B66" s="201"/>
      <c r="C66" s="201"/>
      <c r="D66" s="201"/>
      <c r="E66" s="201"/>
      <c r="F66" s="201"/>
      <c r="G66" s="201"/>
      <c r="H66" s="201"/>
      <c r="I66" s="201"/>
      <c r="J66" s="201"/>
      <c r="K66" s="201"/>
      <c r="L66" s="201"/>
      <c r="M66" s="201"/>
      <c r="N66" s="201"/>
      <c r="O66" s="201"/>
      <c r="P66" s="201"/>
      <c r="Q66" s="201"/>
      <c r="R66" s="52"/>
      <c r="S66" s="52"/>
      <c r="T66" s="52"/>
      <c r="U66" s="52"/>
      <c r="V66" s="52"/>
      <c r="W66" s="52"/>
      <c r="X66" s="52"/>
      <c r="Y66" s="52"/>
      <c r="Z66" s="52"/>
      <c r="AA66" s="52"/>
      <c r="AB66" s="52"/>
      <c r="AC66" s="52"/>
      <c r="AD66" s="52"/>
    </row>
    <row r="67" spans="1:30">
      <c r="A67" s="201"/>
      <c r="B67" s="201"/>
      <c r="C67" s="201"/>
      <c r="D67" s="201"/>
      <c r="E67" s="201"/>
      <c r="F67" s="201"/>
      <c r="G67" s="201"/>
      <c r="H67" s="201"/>
      <c r="I67" s="201"/>
      <c r="J67" s="201"/>
      <c r="K67" s="201"/>
      <c r="L67" s="201"/>
      <c r="M67" s="201"/>
      <c r="N67" s="201"/>
      <c r="O67" s="201"/>
      <c r="P67" s="201"/>
      <c r="Q67" s="201"/>
      <c r="R67" s="52"/>
      <c r="S67" s="52"/>
      <c r="T67" s="52"/>
      <c r="U67" s="52"/>
      <c r="V67" s="52"/>
      <c r="W67" s="52"/>
      <c r="X67" s="52"/>
      <c r="Y67" s="52"/>
      <c r="Z67" s="52"/>
      <c r="AA67" s="52"/>
      <c r="AB67" s="52"/>
      <c r="AC67" s="52"/>
      <c r="AD67" s="52"/>
    </row>
    <row r="68" spans="1:30">
      <c r="A68" s="27" t="s">
        <v>2035</v>
      </c>
      <c r="B68" s="201"/>
      <c r="C68" s="201"/>
      <c r="D68" s="201"/>
      <c r="E68" s="201"/>
      <c r="F68" s="201"/>
      <c r="G68" s="201"/>
      <c r="H68" s="201"/>
      <c r="I68" s="201"/>
      <c r="J68" s="201"/>
      <c r="K68" s="201"/>
      <c r="L68" s="201"/>
      <c r="M68" s="201"/>
      <c r="N68" s="201"/>
      <c r="O68" s="201"/>
      <c r="P68" s="201"/>
      <c r="Q68" s="201"/>
      <c r="R68" s="52"/>
      <c r="S68" s="52"/>
      <c r="T68" s="52"/>
      <c r="U68" s="52"/>
      <c r="V68" s="52"/>
      <c r="W68" s="52"/>
      <c r="X68" s="52"/>
      <c r="Y68" s="52"/>
      <c r="Z68" s="52"/>
      <c r="AA68" s="52"/>
      <c r="AB68" s="52"/>
      <c r="AC68" s="52"/>
      <c r="AD68" s="52"/>
    </row>
    <row r="69" spans="1:30">
      <c r="A69" s="320" t="s">
        <v>2032</v>
      </c>
      <c r="B69" s="201"/>
      <c r="C69" s="201"/>
      <c r="D69" s="201"/>
      <c r="E69" s="201"/>
      <c r="F69" s="201"/>
      <c r="G69" s="201"/>
      <c r="H69" s="201"/>
      <c r="I69" s="201"/>
      <c r="J69" s="201"/>
      <c r="K69" s="201"/>
      <c r="L69" s="201"/>
      <c r="M69" s="201"/>
      <c r="N69" s="201"/>
      <c r="O69" s="201"/>
      <c r="P69" s="201"/>
      <c r="Q69" s="201"/>
      <c r="R69" s="52"/>
      <c r="S69" s="52"/>
      <c r="T69" s="52"/>
      <c r="U69" s="52"/>
      <c r="V69" s="52"/>
      <c r="W69" s="52"/>
      <c r="X69" s="52"/>
      <c r="Y69" s="52"/>
      <c r="Z69" s="52"/>
      <c r="AA69" s="52"/>
      <c r="AB69" s="52"/>
      <c r="AC69" s="52"/>
      <c r="AD69" s="52"/>
    </row>
    <row r="70" spans="1:30">
      <c r="A70" s="320" t="s">
        <v>2033</v>
      </c>
      <c r="B70" s="201"/>
      <c r="C70" s="201"/>
      <c r="D70" s="201"/>
      <c r="E70" s="201"/>
      <c r="F70" s="201"/>
      <c r="G70" s="201"/>
      <c r="H70" s="201"/>
      <c r="I70" s="201"/>
      <c r="J70" s="201"/>
      <c r="K70" s="201"/>
      <c r="L70" s="201"/>
      <c r="M70" s="201"/>
      <c r="N70" s="201"/>
      <c r="O70" s="201"/>
      <c r="P70" s="201"/>
      <c r="Q70" s="201"/>
      <c r="R70" s="52"/>
      <c r="S70" s="52"/>
      <c r="T70" s="52"/>
      <c r="U70" s="52"/>
      <c r="V70" s="52"/>
      <c r="W70" s="52"/>
      <c r="X70" s="52"/>
      <c r="Y70" s="52"/>
      <c r="Z70" s="52"/>
      <c r="AA70" s="52"/>
      <c r="AB70" s="52"/>
      <c r="AC70" s="52"/>
      <c r="AD70" s="52"/>
    </row>
    <row r="71" spans="1:30">
      <c r="A71" s="320" t="s">
        <v>2034</v>
      </c>
      <c r="B71" s="201"/>
      <c r="C71" s="201"/>
      <c r="D71" s="201"/>
      <c r="E71" s="201"/>
      <c r="F71" s="201"/>
      <c r="G71" s="201"/>
      <c r="H71" s="201"/>
      <c r="I71" s="201"/>
      <c r="J71" s="201"/>
      <c r="K71" s="201"/>
      <c r="L71" s="201"/>
      <c r="M71" s="201"/>
      <c r="N71" s="201"/>
      <c r="O71" s="201"/>
      <c r="P71" s="201"/>
      <c r="Q71" s="201"/>
      <c r="R71" s="52"/>
      <c r="S71" s="52"/>
      <c r="T71" s="52"/>
      <c r="U71" s="52"/>
      <c r="V71" s="52"/>
      <c r="W71" s="52"/>
      <c r="X71" s="52"/>
      <c r="Y71" s="52"/>
      <c r="Z71" s="52"/>
      <c r="AA71" s="52"/>
      <c r="AB71" s="52"/>
      <c r="AC71" s="52"/>
      <c r="AD71" s="52"/>
    </row>
    <row r="72" spans="1:30">
      <c r="A72" s="201"/>
      <c r="B72" s="201"/>
      <c r="C72" s="201"/>
      <c r="D72" s="201"/>
      <c r="E72" s="201"/>
      <c r="F72" s="201"/>
      <c r="G72" s="201"/>
      <c r="H72" s="201"/>
      <c r="I72" s="201"/>
      <c r="J72" s="201"/>
      <c r="K72" s="201"/>
      <c r="L72" s="201"/>
      <c r="M72" s="201"/>
      <c r="N72" s="201"/>
      <c r="O72" s="201"/>
      <c r="P72" s="201"/>
      <c r="Q72" s="201"/>
      <c r="R72" s="52"/>
      <c r="S72" s="52"/>
      <c r="T72" s="52"/>
      <c r="U72" s="52"/>
      <c r="V72" s="52"/>
      <c r="W72" s="52"/>
      <c r="X72" s="52"/>
      <c r="Y72" s="52"/>
      <c r="Z72" s="52"/>
      <c r="AA72" s="52"/>
      <c r="AB72" s="52"/>
      <c r="AC72" s="52"/>
      <c r="AD72" s="52"/>
    </row>
    <row r="73" spans="1:30">
      <c r="A73" s="27" t="s">
        <v>2036</v>
      </c>
      <c r="B73" s="201"/>
      <c r="C73" s="201"/>
      <c r="D73" s="201"/>
      <c r="E73" s="201"/>
      <c r="F73" s="201"/>
      <c r="G73" s="201"/>
      <c r="H73" s="201"/>
      <c r="I73" s="201"/>
      <c r="J73" s="201"/>
      <c r="K73" s="201"/>
      <c r="L73" s="201"/>
      <c r="M73" s="201"/>
      <c r="N73" s="201"/>
      <c r="O73" s="201"/>
      <c r="P73" s="201"/>
      <c r="Q73" s="201"/>
      <c r="R73" s="52"/>
      <c r="S73" s="52"/>
      <c r="T73" s="52"/>
      <c r="U73" s="52"/>
      <c r="V73" s="52"/>
      <c r="W73" s="52"/>
      <c r="X73" s="52"/>
      <c r="Y73" s="52"/>
      <c r="Z73" s="52"/>
      <c r="AA73" s="52"/>
      <c r="AB73" s="52"/>
      <c r="AC73" s="52"/>
      <c r="AD73" s="52"/>
    </row>
    <row r="74" spans="1:30">
      <c r="A74" s="320" t="s">
        <v>2037</v>
      </c>
      <c r="B74" s="201"/>
      <c r="C74" s="201"/>
      <c r="D74" s="201"/>
      <c r="E74" s="201"/>
      <c r="F74" s="201"/>
      <c r="G74" s="201"/>
      <c r="H74" s="201"/>
      <c r="I74" s="201"/>
      <c r="J74" s="201"/>
      <c r="K74" s="201"/>
      <c r="L74" s="201"/>
      <c r="M74" s="201"/>
      <c r="N74" s="201"/>
      <c r="O74" s="201"/>
      <c r="P74" s="201"/>
      <c r="Q74" s="201"/>
      <c r="R74" s="52"/>
      <c r="S74" s="52"/>
      <c r="T74" s="52"/>
      <c r="U74" s="52"/>
      <c r="V74" s="52"/>
      <c r="W74" s="52"/>
      <c r="X74" s="52"/>
      <c r="Y74" s="52"/>
      <c r="Z74" s="52"/>
      <c r="AA74" s="52"/>
      <c r="AB74" s="52"/>
      <c r="AC74" s="52"/>
      <c r="AD74" s="52"/>
    </row>
    <row r="75" spans="1:30">
      <c r="A75" s="320" t="s">
        <v>2038</v>
      </c>
      <c r="B75" s="201"/>
      <c r="C75" s="201"/>
      <c r="D75" s="201"/>
      <c r="E75" s="201"/>
      <c r="F75" s="201"/>
      <c r="G75" s="201"/>
      <c r="H75" s="201"/>
      <c r="I75" s="201"/>
      <c r="J75" s="201"/>
      <c r="K75" s="201"/>
      <c r="L75" s="201"/>
      <c r="M75" s="201"/>
      <c r="N75" s="201"/>
      <c r="O75" s="201"/>
      <c r="P75" s="201"/>
      <c r="Q75" s="201"/>
      <c r="R75" s="52"/>
      <c r="S75" s="52"/>
      <c r="T75" s="52"/>
      <c r="U75" s="52"/>
      <c r="V75" s="52"/>
      <c r="W75" s="52"/>
      <c r="X75" s="52"/>
      <c r="Y75" s="52"/>
      <c r="Z75" s="52"/>
      <c r="AA75" s="52"/>
      <c r="AB75" s="52"/>
      <c r="AC75" s="52"/>
      <c r="AD75" s="52"/>
    </row>
    <row r="76" spans="1:30">
      <c r="A76" s="320" t="s">
        <v>2039</v>
      </c>
      <c r="B76" s="201"/>
      <c r="C76" s="201"/>
      <c r="D76" s="201"/>
      <c r="E76" s="201"/>
      <c r="F76" s="201"/>
      <c r="G76" s="201"/>
      <c r="H76" s="201"/>
      <c r="I76" s="201"/>
      <c r="J76" s="201"/>
      <c r="K76" s="201"/>
      <c r="L76" s="201"/>
      <c r="M76" s="201"/>
      <c r="N76" s="201"/>
      <c r="O76" s="201"/>
      <c r="P76" s="201"/>
      <c r="Q76" s="201"/>
      <c r="R76" s="52"/>
      <c r="S76" s="52"/>
      <c r="T76" s="52"/>
      <c r="U76" s="52"/>
      <c r="V76" s="52"/>
      <c r="W76" s="52"/>
      <c r="X76" s="52"/>
      <c r="Y76" s="52"/>
      <c r="Z76" s="52"/>
      <c r="AA76" s="52"/>
      <c r="AB76" s="52"/>
      <c r="AC76" s="52"/>
      <c r="AD76" s="52"/>
    </row>
    <row r="77" spans="1:30">
      <c r="A77" s="201"/>
      <c r="B77" s="201"/>
      <c r="C77" s="201"/>
      <c r="D77" s="201"/>
      <c r="E77" s="201"/>
      <c r="F77" s="201"/>
      <c r="G77" s="201"/>
      <c r="H77" s="201"/>
      <c r="I77" s="201"/>
      <c r="J77" s="201"/>
      <c r="K77" s="201"/>
      <c r="L77" s="201"/>
      <c r="M77" s="201"/>
      <c r="N77" s="201"/>
      <c r="O77" s="201"/>
      <c r="P77" s="201"/>
      <c r="Q77" s="201"/>
      <c r="R77" s="52"/>
      <c r="S77" s="52"/>
      <c r="T77" s="52"/>
      <c r="U77" s="52"/>
      <c r="V77" s="52"/>
      <c r="W77" s="52"/>
      <c r="X77" s="52"/>
      <c r="Y77" s="52"/>
      <c r="Z77" s="52"/>
      <c r="AA77" s="52"/>
      <c r="AB77" s="52"/>
      <c r="AC77" s="52"/>
      <c r="AD77" s="52"/>
    </row>
    <row r="78" spans="1:30">
      <c r="A78" s="201"/>
      <c r="B78" s="201"/>
      <c r="C78" s="201"/>
      <c r="D78" s="201"/>
      <c r="E78" s="201"/>
      <c r="F78" s="201"/>
      <c r="G78" s="201"/>
      <c r="H78" s="201"/>
      <c r="I78" s="201"/>
      <c r="J78" s="201"/>
      <c r="K78" s="201"/>
      <c r="L78" s="201"/>
      <c r="M78" s="201"/>
      <c r="N78" s="201"/>
      <c r="O78" s="201"/>
      <c r="P78" s="201"/>
      <c r="Q78" s="201"/>
      <c r="R78" s="52"/>
      <c r="S78" s="52"/>
      <c r="T78" s="52"/>
      <c r="U78" s="52"/>
      <c r="V78" s="52"/>
      <c r="W78" s="52"/>
      <c r="X78" s="52"/>
      <c r="Y78" s="52"/>
      <c r="Z78" s="52"/>
      <c r="AA78" s="52"/>
      <c r="AB78" s="52"/>
      <c r="AC78" s="52"/>
      <c r="AD78" s="52"/>
    </row>
    <row r="79" spans="1:30">
      <c r="A79" s="27" t="s">
        <v>491</v>
      </c>
      <c r="B79" s="27" t="s">
        <v>2042</v>
      </c>
      <c r="C79" s="201"/>
      <c r="D79" s="201"/>
      <c r="E79" s="201"/>
      <c r="F79" s="201"/>
      <c r="G79" s="201"/>
      <c r="H79" s="201"/>
      <c r="I79" s="201"/>
      <c r="J79" s="201"/>
      <c r="K79" s="201"/>
      <c r="L79" s="201"/>
      <c r="M79" s="201"/>
      <c r="N79" s="201"/>
      <c r="O79" s="201"/>
      <c r="P79" s="201"/>
      <c r="Q79" s="201"/>
      <c r="R79" s="52"/>
      <c r="S79" s="52"/>
      <c r="T79" s="52"/>
      <c r="U79" s="52"/>
      <c r="V79" s="52"/>
      <c r="W79" s="52"/>
      <c r="X79" s="52"/>
      <c r="Y79" s="52"/>
      <c r="Z79" s="52"/>
      <c r="AA79" s="52"/>
      <c r="AB79" s="52"/>
      <c r="AC79" s="52"/>
      <c r="AD79" s="52"/>
    </row>
    <row r="80" spans="1:30">
      <c r="A80" s="320" t="s">
        <v>865</v>
      </c>
      <c r="B80" s="429">
        <v>450</v>
      </c>
      <c r="C80" s="201"/>
      <c r="D80" s="201"/>
      <c r="E80" s="201"/>
      <c r="F80" s="201"/>
      <c r="G80" s="201"/>
      <c r="H80" s="201"/>
      <c r="I80" s="201"/>
      <c r="J80" s="201"/>
      <c r="K80" s="201"/>
      <c r="L80" s="201"/>
      <c r="M80" s="201"/>
      <c r="N80" s="201"/>
      <c r="O80" s="201"/>
      <c r="P80" s="201"/>
      <c r="Q80" s="201"/>
      <c r="R80" s="52"/>
      <c r="S80" s="52"/>
      <c r="T80" s="52"/>
      <c r="U80" s="52"/>
      <c r="V80" s="52"/>
      <c r="W80" s="52"/>
      <c r="X80" s="52"/>
      <c r="Y80" s="52"/>
      <c r="Z80" s="52"/>
      <c r="AA80" s="52"/>
      <c r="AB80" s="52"/>
      <c r="AC80" s="52"/>
      <c r="AD80" s="52"/>
    </row>
    <row r="81" spans="1:30">
      <c r="A81" s="320" t="s">
        <v>864</v>
      </c>
      <c r="B81" s="516">
        <f>B43</f>
        <v>389.90639339738749</v>
      </c>
      <c r="C81" s="201"/>
      <c r="D81" s="201"/>
      <c r="E81" s="201"/>
      <c r="F81" s="201"/>
      <c r="G81" s="201"/>
      <c r="H81" s="201"/>
      <c r="I81" s="201"/>
      <c r="J81" s="201"/>
      <c r="K81" s="201"/>
      <c r="L81" s="201"/>
      <c r="M81" s="201"/>
      <c r="N81" s="201"/>
      <c r="O81" s="201"/>
      <c r="P81" s="201"/>
      <c r="Q81" s="201"/>
      <c r="R81" s="52"/>
      <c r="S81" s="52"/>
      <c r="T81" s="52"/>
      <c r="U81" s="52"/>
      <c r="V81" s="52"/>
      <c r="W81" s="52"/>
      <c r="X81" s="52"/>
      <c r="Y81" s="52"/>
      <c r="Z81" s="52"/>
      <c r="AA81" s="52"/>
      <c r="AB81" s="52"/>
      <c r="AC81" s="52"/>
      <c r="AD81" s="52"/>
    </row>
    <row r="82" spans="1:30">
      <c r="A82" s="320" t="s">
        <v>501</v>
      </c>
      <c r="B82" s="517">
        <f>(B81-B80)/B80</f>
        <v>-0.13354134800580558</v>
      </c>
      <c r="C82" s="201"/>
      <c r="D82" s="201"/>
      <c r="E82" s="201"/>
      <c r="F82" s="201"/>
      <c r="G82" s="201"/>
      <c r="H82" s="201"/>
      <c r="I82" s="201"/>
      <c r="J82" s="201"/>
      <c r="K82" s="201"/>
      <c r="L82" s="201"/>
      <c r="M82" s="201"/>
      <c r="N82" s="201"/>
      <c r="O82" s="201"/>
      <c r="P82" s="201"/>
      <c r="Q82" s="201"/>
      <c r="R82" s="52"/>
      <c r="S82" s="52"/>
      <c r="T82" s="52"/>
      <c r="U82" s="52"/>
      <c r="V82" s="52"/>
      <c r="W82" s="52"/>
      <c r="X82" s="52"/>
      <c r="Y82" s="52"/>
      <c r="Z82" s="52"/>
      <c r="AA82" s="52"/>
      <c r="AB82" s="52"/>
      <c r="AC82" s="52"/>
      <c r="AD82" s="52"/>
    </row>
    <row r="83" spans="1:30">
      <c r="A83" s="47"/>
      <c r="B83" s="458"/>
      <c r="C83" s="201"/>
      <c r="D83" s="201"/>
      <c r="E83" s="201"/>
      <c r="F83" s="201"/>
      <c r="G83" s="201"/>
      <c r="H83" s="201"/>
      <c r="I83" s="201"/>
      <c r="J83" s="201"/>
      <c r="K83" s="201"/>
      <c r="L83" s="201"/>
      <c r="M83" s="201"/>
      <c r="N83" s="201"/>
      <c r="O83" s="201"/>
      <c r="P83" s="201"/>
      <c r="Q83" s="201"/>
      <c r="R83" s="52"/>
      <c r="S83" s="52"/>
      <c r="T83" s="52"/>
      <c r="U83" s="52"/>
      <c r="V83" s="52"/>
      <c r="W83" s="52"/>
      <c r="X83" s="52"/>
      <c r="Y83" s="52"/>
      <c r="Z83" s="52"/>
      <c r="AA83" s="52"/>
      <c r="AB83" s="52"/>
      <c r="AC83" s="52"/>
      <c r="AD83" s="52"/>
    </row>
    <row r="84" spans="1:30">
      <c r="A84" s="27" t="s">
        <v>2044</v>
      </c>
      <c r="B84" s="201"/>
      <c r="C84" s="201"/>
      <c r="D84" s="201"/>
      <c r="E84" s="201"/>
      <c r="F84" s="201"/>
      <c r="G84" s="201"/>
      <c r="H84" s="201"/>
      <c r="I84" s="201"/>
      <c r="J84" s="201"/>
      <c r="K84" s="201"/>
      <c r="L84" s="201"/>
      <c r="M84" s="201"/>
      <c r="N84" s="201"/>
      <c r="O84" s="201"/>
      <c r="P84" s="201"/>
      <c r="Q84" s="201"/>
      <c r="R84" s="52"/>
      <c r="S84" s="52"/>
      <c r="T84" s="52"/>
      <c r="U84" s="52"/>
      <c r="V84" s="52"/>
      <c r="W84" s="52"/>
      <c r="X84" s="52"/>
      <c r="Y84" s="52"/>
      <c r="Z84" s="52"/>
      <c r="AA84" s="52"/>
      <c r="AB84" s="52"/>
      <c r="AC84" s="52"/>
      <c r="AD84" s="52"/>
    </row>
    <row r="85" spans="1:30">
      <c r="A85" s="46" t="s">
        <v>2040</v>
      </c>
      <c r="B85" s="87">
        <v>0.08</v>
      </c>
      <c r="C85" s="87">
        <v>0.09</v>
      </c>
      <c r="D85" s="87">
        <v>0.1</v>
      </c>
      <c r="E85" s="201"/>
      <c r="F85" s="201"/>
      <c r="G85" s="201"/>
      <c r="H85" s="201"/>
      <c r="I85" s="201"/>
      <c r="J85" s="201"/>
      <c r="K85" s="201"/>
      <c r="L85" s="201"/>
      <c r="M85" s="201"/>
      <c r="N85" s="201"/>
      <c r="O85" s="201"/>
      <c r="P85" s="201"/>
      <c r="Q85" s="201"/>
      <c r="R85" s="52"/>
      <c r="S85" s="52"/>
      <c r="T85" s="52"/>
      <c r="U85" s="52"/>
      <c r="V85" s="52"/>
      <c r="W85" s="52"/>
      <c r="X85" s="52"/>
      <c r="Y85" s="52"/>
      <c r="Z85" s="52"/>
      <c r="AA85" s="52"/>
      <c r="AB85" s="52"/>
      <c r="AC85" s="52"/>
      <c r="AD85" s="52"/>
    </row>
    <row r="86" spans="1:30">
      <c r="A86" s="330">
        <v>0.03</v>
      </c>
      <c r="B86" s="63">
        <v>420</v>
      </c>
      <c r="C86" s="416">
        <v>390</v>
      </c>
      <c r="D86" s="416">
        <v>360</v>
      </c>
      <c r="E86" s="201"/>
      <c r="F86" s="201"/>
      <c r="G86" s="201"/>
      <c r="H86" s="201"/>
      <c r="I86" s="201"/>
      <c r="J86" s="201"/>
      <c r="K86" s="201"/>
      <c r="L86" s="201"/>
      <c r="M86" s="201"/>
      <c r="N86" s="201"/>
      <c r="O86" s="201"/>
      <c r="P86" s="201"/>
      <c r="Q86" s="201"/>
      <c r="R86" s="52"/>
      <c r="S86" s="52"/>
      <c r="T86" s="52"/>
      <c r="U86" s="52"/>
      <c r="V86" s="52"/>
      <c r="W86" s="52"/>
      <c r="X86" s="52"/>
      <c r="Y86" s="52"/>
      <c r="Z86" s="52"/>
      <c r="AA86" s="52"/>
      <c r="AB86" s="52"/>
      <c r="AC86" s="52"/>
      <c r="AD86" s="52"/>
    </row>
    <row r="87" spans="1:30">
      <c r="A87" s="330">
        <v>0.04</v>
      </c>
      <c r="B87" s="429">
        <v>450</v>
      </c>
      <c r="C87" s="63">
        <v>410</v>
      </c>
      <c r="D87" s="416">
        <v>380</v>
      </c>
      <c r="E87" s="201"/>
      <c r="F87" s="201"/>
      <c r="G87" s="201"/>
      <c r="H87" s="201"/>
      <c r="I87" s="201"/>
      <c r="J87" s="201"/>
      <c r="K87" s="201"/>
      <c r="L87" s="201"/>
      <c r="M87" s="201"/>
      <c r="N87" s="201"/>
      <c r="O87" s="201"/>
      <c r="P87" s="201"/>
      <c r="Q87" s="201"/>
      <c r="R87" s="52"/>
      <c r="S87" s="52"/>
      <c r="T87" s="52"/>
      <c r="U87" s="52"/>
      <c r="V87" s="52"/>
      <c r="W87" s="52"/>
      <c r="X87" s="52"/>
      <c r="Y87" s="52"/>
      <c r="Z87" s="52"/>
      <c r="AA87" s="52"/>
      <c r="AB87" s="52"/>
      <c r="AC87" s="52"/>
      <c r="AD87" s="52"/>
    </row>
    <row r="88" spans="1:30">
      <c r="A88" s="330">
        <v>0.05</v>
      </c>
      <c r="B88" s="429">
        <v>480</v>
      </c>
      <c r="C88" s="429">
        <v>440</v>
      </c>
      <c r="D88" s="63">
        <v>400</v>
      </c>
      <c r="E88" s="201"/>
      <c r="F88" s="201"/>
      <c r="G88" s="201"/>
      <c r="H88" s="201"/>
      <c r="I88" s="201"/>
      <c r="J88" s="201"/>
      <c r="K88" s="201"/>
      <c r="L88" s="201"/>
      <c r="M88" s="201"/>
      <c r="N88" s="201"/>
      <c r="O88" s="201"/>
      <c r="P88" s="201"/>
      <c r="Q88" s="201"/>
      <c r="R88" s="52"/>
      <c r="S88" s="52"/>
      <c r="T88" s="52"/>
      <c r="U88" s="52"/>
      <c r="V88" s="52"/>
      <c r="W88" s="52"/>
      <c r="X88" s="52"/>
      <c r="Y88" s="52"/>
      <c r="Z88" s="52"/>
      <c r="AA88" s="52"/>
      <c r="AB88" s="52"/>
      <c r="AC88" s="52"/>
      <c r="AD88" s="52"/>
    </row>
    <row r="89" spans="1:30">
      <c r="A89" s="201"/>
      <c r="B89" s="201"/>
      <c r="C89" s="201"/>
      <c r="D89" s="201"/>
      <c r="E89" s="201"/>
      <c r="F89" s="201"/>
      <c r="G89" s="201"/>
      <c r="H89" s="201"/>
      <c r="I89" s="201"/>
      <c r="J89" s="201"/>
      <c r="K89" s="201"/>
      <c r="L89" s="201"/>
      <c r="M89" s="201"/>
      <c r="N89" s="201"/>
      <c r="O89" s="201"/>
      <c r="P89" s="201"/>
      <c r="Q89" s="201"/>
      <c r="R89" s="52"/>
      <c r="S89" s="52"/>
      <c r="T89" s="52"/>
      <c r="U89" s="52"/>
      <c r="V89" s="52"/>
      <c r="W89" s="52"/>
      <c r="X89" s="52"/>
      <c r="Y89" s="52"/>
      <c r="Z89" s="52"/>
      <c r="AA89" s="52"/>
      <c r="AB89" s="52"/>
      <c r="AC89" s="52"/>
      <c r="AD89" s="52"/>
    </row>
    <row r="90" spans="1:30">
      <c r="A90" s="201"/>
      <c r="B90" s="201"/>
      <c r="C90" s="201"/>
      <c r="D90" s="201"/>
      <c r="E90" s="201"/>
      <c r="F90" s="201"/>
      <c r="G90" s="201"/>
      <c r="H90" s="201"/>
      <c r="I90" s="201"/>
      <c r="J90" s="201"/>
      <c r="K90" s="201"/>
      <c r="L90" s="201"/>
      <c r="M90" s="201"/>
      <c r="N90" s="201"/>
      <c r="O90" s="201"/>
      <c r="P90" s="201"/>
      <c r="Q90" s="201"/>
      <c r="R90" s="52"/>
      <c r="S90" s="52"/>
      <c r="T90" s="52"/>
      <c r="U90" s="52"/>
      <c r="V90" s="52"/>
      <c r="W90" s="52"/>
      <c r="X90" s="52"/>
      <c r="Y90" s="52"/>
      <c r="Z90" s="52"/>
      <c r="AA90" s="52"/>
      <c r="AB90" s="52"/>
      <c r="AC90" s="52"/>
      <c r="AD90" s="52"/>
    </row>
    <row r="91" spans="1:30">
      <c r="A91" s="46" t="s">
        <v>411</v>
      </c>
      <c r="B91" s="46" t="s">
        <v>492</v>
      </c>
      <c r="C91" s="201"/>
      <c r="D91" s="201"/>
      <c r="E91" s="201"/>
      <c r="F91" s="201"/>
      <c r="G91" s="201"/>
      <c r="H91" s="201"/>
      <c r="I91" s="201"/>
      <c r="J91" s="201"/>
      <c r="K91" s="201"/>
      <c r="L91" s="201"/>
      <c r="M91" s="201"/>
      <c r="N91" s="201"/>
      <c r="O91" s="201"/>
      <c r="P91" s="201"/>
      <c r="Q91" s="201"/>
      <c r="R91" s="52"/>
      <c r="S91" s="52"/>
      <c r="T91" s="52"/>
      <c r="U91" s="52"/>
      <c r="V91" s="52"/>
      <c r="W91" s="52"/>
      <c r="X91" s="52"/>
      <c r="Y91" s="52"/>
      <c r="Z91" s="52"/>
      <c r="AA91" s="52"/>
      <c r="AB91" s="52"/>
      <c r="AC91" s="52"/>
      <c r="AD91" s="52"/>
    </row>
    <row r="92" spans="1:30">
      <c r="A92" s="161">
        <v>2020</v>
      </c>
      <c r="B92" s="320">
        <f>'Profit Loss'!B4</f>
        <v>15301</v>
      </c>
      <c r="C92" s="201"/>
      <c r="D92" s="201"/>
      <c r="E92" s="201"/>
      <c r="F92" s="201"/>
      <c r="G92" s="201"/>
      <c r="H92" s="201"/>
      <c r="I92" s="201"/>
      <c r="J92" s="201"/>
      <c r="K92" s="201"/>
      <c r="L92" s="201"/>
      <c r="M92" s="201"/>
      <c r="N92" s="201"/>
      <c r="O92" s="201"/>
      <c r="P92" s="201"/>
      <c r="Q92" s="201"/>
      <c r="R92" s="52"/>
      <c r="S92" s="52"/>
      <c r="T92" s="52"/>
      <c r="U92" s="52"/>
      <c r="V92" s="52"/>
      <c r="W92" s="52"/>
      <c r="X92" s="52"/>
      <c r="Y92" s="52"/>
      <c r="Z92" s="52"/>
      <c r="AA92" s="52"/>
      <c r="AB92" s="52"/>
      <c r="AC92" s="52"/>
      <c r="AD92" s="52"/>
    </row>
    <row r="93" spans="1:30">
      <c r="A93" s="161">
        <v>2021</v>
      </c>
      <c r="B93" s="320">
        <f>'Profit Loss'!C4</f>
        <v>18884</v>
      </c>
      <c r="C93" s="201"/>
      <c r="D93" s="201"/>
      <c r="E93" s="201"/>
      <c r="F93" s="201"/>
      <c r="G93" s="201"/>
      <c r="H93" s="201"/>
      <c r="I93" s="201"/>
      <c r="J93" s="201"/>
      <c r="K93" s="201"/>
      <c r="L93" s="201"/>
      <c r="M93" s="201"/>
      <c r="N93" s="201"/>
      <c r="O93" s="201"/>
      <c r="P93" s="201"/>
      <c r="Q93" s="201"/>
      <c r="R93" s="52"/>
      <c r="S93" s="52"/>
      <c r="T93" s="52"/>
      <c r="U93" s="52"/>
      <c r="V93" s="52"/>
      <c r="W93" s="52"/>
      <c r="X93" s="52"/>
      <c r="Y93" s="52"/>
      <c r="Z93" s="52"/>
      <c r="AA93" s="52"/>
      <c r="AB93" s="52"/>
      <c r="AC93" s="52"/>
      <c r="AD93" s="52"/>
    </row>
    <row r="94" spans="1:30">
      <c r="A94" s="161">
        <v>2022</v>
      </c>
      <c r="B94" s="320">
        <f>'Profit Loss'!D4</f>
        <v>22237</v>
      </c>
      <c r="C94" s="201"/>
      <c r="D94" s="201"/>
      <c r="E94" s="201"/>
      <c r="F94" s="201"/>
      <c r="G94" s="201"/>
      <c r="H94" s="201"/>
      <c r="I94" s="201"/>
      <c r="J94" s="201"/>
      <c r="K94" s="201"/>
      <c r="L94" s="201"/>
      <c r="M94" s="201"/>
      <c r="N94" s="201"/>
      <c r="O94" s="201"/>
      <c r="P94" s="201"/>
      <c r="Q94" s="201"/>
      <c r="R94" s="52"/>
      <c r="S94" s="52"/>
      <c r="T94" s="52"/>
      <c r="U94" s="52"/>
      <c r="V94" s="52"/>
      <c r="W94" s="52"/>
      <c r="X94" s="52"/>
      <c r="Y94" s="52"/>
      <c r="Z94" s="52"/>
      <c r="AA94" s="52"/>
      <c r="AB94" s="52"/>
      <c r="AC94" s="52"/>
      <c r="AD94" s="52"/>
    </row>
    <row r="95" spans="1:30">
      <c r="A95" s="161">
        <v>2023</v>
      </c>
      <c r="B95" s="320">
        <f>'Profit Loss'!E4</f>
        <v>25098</v>
      </c>
      <c r="C95" s="201"/>
      <c r="D95" s="201"/>
      <c r="E95" s="201"/>
      <c r="F95" s="201"/>
      <c r="G95" s="201"/>
      <c r="H95" s="201"/>
      <c r="I95" s="201"/>
      <c r="J95" s="201"/>
      <c r="K95" s="201"/>
      <c r="L95" s="201"/>
      <c r="M95" s="201"/>
      <c r="N95" s="201"/>
      <c r="O95" s="201"/>
      <c r="P95" s="201"/>
      <c r="Q95" s="201"/>
      <c r="R95" s="52"/>
      <c r="S95" s="52"/>
      <c r="T95" s="52"/>
      <c r="U95" s="52"/>
      <c r="V95" s="52"/>
      <c r="W95" s="52"/>
      <c r="X95" s="52"/>
      <c r="Y95" s="52"/>
      <c r="Z95" s="52"/>
      <c r="AA95" s="52"/>
      <c r="AB95" s="52"/>
      <c r="AC95" s="52"/>
      <c r="AD95" s="52"/>
    </row>
    <row r="96" spans="1:30">
      <c r="A96" s="161">
        <v>2024</v>
      </c>
      <c r="B96" s="320">
        <f>'Profit Loss'!F4</f>
        <v>28167</v>
      </c>
      <c r="C96" s="201"/>
      <c r="D96" s="201"/>
      <c r="E96" s="201"/>
      <c r="F96" s="201"/>
      <c r="G96" s="201"/>
      <c r="H96" s="201"/>
      <c r="I96" s="201"/>
      <c r="J96" s="201"/>
      <c r="K96" s="201"/>
      <c r="L96" s="201"/>
      <c r="M96" s="201"/>
      <c r="N96" s="201"/>
      <c r="O96" s="201"/>
      <c r="P96" s="201"/>
      <c r="Q96" s="201"/>
      <c r="R96" s="52"/>
      <c r="S96" s="52"/>
      <c r="T96" s="52"/>
      <c r="U96" s="52"/>
      <c r="V96" s="52"/>
      <c r="W96" s="52"/>
      <c r="X96" s="52"/>
      <c r="Y96" s="52"/>
      <c r="Z96" s="52"/>
      <c r="AA96" s="52"/>
      <c r="AB96" s="52"/>
      <c r="AC96" s="52"/>
      <c r="AD96" s="52"/>
    </row>
    <row r="97" spans="1:30">
      <c r="A97" s="201"/>
      <c r="B97" s="201"/>
      <c r="C97" s="201"/>
      <c r="D97" s="201"/>
      <c r="E97" s="201"/>
      <c r="F97" s="201"/>
      <c r="G97" s="201"/>
      <c r="H97" s="201"/>
      <c r="I97" s="201"/>
      <c r="J97" s="201"/>
      <c r="K97" s="201"/>
      <c r="L97" s="201"/>
      <c r="M97" s="201"/>
      <c r="N97" s="201"/>
      <c r="O97" s="201"/>
      <c r="P97" s="201"/>
      <c r="Q97" s="201"/>
      <c r="R97" s="52"/>
      <c r="S97" s="52"/>
      <c r="T97" s="52"/>
      <c r="U97" s="52"/>
      <c r="V97" s="52"/>
      <c r="W97" s="52"/>
      <c r="X97" s="52"/>
      <c r="Y97" s="52"/>
      <c r="Z97" s="52"/>
      <c r="AA97" s="52"/>
      <c r="AB97" s="52"/>
      <c r="AC97" s="52"/>
      <c r="AD97" s="52"/>
    </row>
    <row r="98" spans="1:30">
      <c r="A98" s="201"/>
      <c r="B98" s="201"/>
      <c r="C98" s="201"/>
      <c r="D98" s="201"/>
      <c r="E98" s="201"/>
      <c r="F98" s="201"/>
      <c r="G98" s="201"/>
      <c r="H98" s="201"/>
      <c r="I98" s="201"/>
      <c r="J98" s="201"/>
      <c r="K98" s="201"/>
      <c r="L98" s="201"/>
      <c r="M98" s="201"/>
      <c r="N98" s="201"/>
      <c r="O98" s="201"/>
      <c r="P98" s="201"/>
      <c r="Q98" s="201"/>
      <c r="R98" s="52"/>
      <c r="S98" s="52"/>
      <c r="T98" s="52"/>
      <c r="U98" s="52"/>
      <c r="V98" s="52"/>
      <c r="W98" s="52"/>
      <c r="X98" s="52"/>
      <c r="Y98" s="52"/>
      <c r="Z98" s="52"/>
      <c r="AA98" s="52"/>
      <c r="AB98" s="52"/>
      <c r="AC98" s="52"/>
      <c r="AD98" s="52"/>
    </row>
    <row r="99" spans="1:30">
      <c r="A99" s="46" t="s">
        <v>442</v>
      </c>
      <c r="B99" s="46" t="s">
        <v>2043</v>
      </c>
      <c r="C99" s="201"/>
      <c r="D99" s="201"/>
      <c r="E99" s="201"/>
      <c r="F99" s="201"/>
      <c r="G99" s="201"/>
      <c r="H99" s="201"/>
      <c r="I99" s="201"/>
      <c r="J99" s="201"/>
      <c r="K99" s="201"/>
      <c r="L99" s="201"/>
      <c r="M99" s="201"/>
      <c r="N99" s="201"/>
      <c r="O99" s="201"/>
      <c r="P99" s="201"/>
      <c r="Q99" s="201"/>
      <c r="R99" s="52"/>
      <c r="S99" s="52"/>
      <c r="T99" s="52"/>
      <c r="U99" s="52"/>
      <c r="V99" s="52"/>
      <c r="W99" s="52"/>
      <c r="X99" s="52"/>
      <c r="Y99" s="52"/>
      <c r="Z99" s="52"/>
      <c r="AA99" s="52"/>
      <c r="AB99" s="52"/>
      <c r="AC99" s="52"/>
      <c r="AD99" s="52"/>
    </row>
    <row r="100" spans="1:30">
      <c r="A100" s="320" t="s">
        <v>1556</v>
      </c>
      <c r="B100" s="457">
        <f>'DDM FCFF FCFE RelativeValuation'!E37</f>
        <v>427.34756756756758</v>
      </c>
      <c r="C100" s="201"/>
      <c r="D100" s="201"/>
      <c r="E100" s="201"/>
      <c r="F100" s="201"/>
      <c r="G100" s="201"/>
      <c r="H100" s="201"/>
      <c r="I100" s="201"/>
      <c r="J100" s="201"/>
      <c r="K100" s="201"/>
      <c r="L100" s="201"/>
      <c r="M100" s="201"/>
      <c r="N100" s="201"/>
      <c r="O100" s="201"/>
      <c r="P100" s="201"/>
      <c r="Q100" s="201"/>
      <c r="R100" s="52"/>
      <c r="S100" s="52"/>
      <c r="T100" s="52"/>
      <c r="U100" s="52"/>
      <c r="V100" s="52"/>
      <c r="W100" s="52"/>
      <c r="X100" s="52"/>
      <c r="Y100" s="52"/>
      <c r="Z100" s="52"/>
      <c r="AA100" s="52"/>
      <c r="AB100" s="52"/>
      <c r="AC100" s="52"/>
      <c r="AD100" s="52"/>
    </row>
    <row r="101" spans="1:30">
      <c r="A101" s="320" t="s">
        <v>207</v>
      </c>
      <c r="B101" s="457">
        <f>'DDM FCFF FCFE RelativeValuation'!B105</f>
        <v>335.44642561631332</v>
      </c>
      <c r="C101" s="201"/>
      <c r="D101" s="201"/>
      <c r="E101" s="201"/>
      <c r="F101" s="201"/>
      <c r="G101" s="201"/>
      <c r="H101" s="201"/>
      <c r="I101" s="201"/>
      <c r="J101" s="201"/>
      <c r="K101" s="201"/>
      <c r="L101" s="201"/>
      <c r="M101" s="201"/>
      <c r="N101" s="201"/>
      <c r="O101" s="201"/>
      <c r="P101" s="201"/>
      <c r="Q101" s="201"/>
      <c r="R101" s="52"/>
      <c r="S101" s="52"/>
      <c r="T101" s="52"/>
      <c r="U101" s="52"/>
      <c r="V101" s="52"/>
      <c r="W101" s="52"/>
      <c r="X101" s="52"/>
      <c r="Y101" s="52"/>
      <c r="Z101" s="52"/>
      <c r="AA101" s="52"/>
      <c r="AB101" s="52"/>
      <c r="AC101" s="52"/>
      <c r="AD101" s="52"/>
    </row>
    <row r="102" spans="1:30">
      <c r="A102" s="320" t="s">
        <v>205</v>
      </c>
      <c r="B102" s="457">
        <f>'DDM FCFF FCFE RelativeValuation'!B144</f>
        <v>394.44479561822146</v>
      </c>
      <c r="C102" s="201"/>
      <c r="D102" s="201"/>
      <c r="E102" s="201"/>
      <c r="F102" s="201"/>
      <c r="G102" s="201"/>
      <c r="H102" s="201"/>
      <c r="I102" s="201"/>
      <c r="J102" s="201"/>
      <c r="K102" s="201"/>
      <c r="L102" s="201"/>
      <c r="M102" s="201"/>
      <c r="N102" s="201"/>
      <c r="O102" s="201"/>
      <c r="P102" s="201"/>
      <c r="Q102" s="201"/>
      <c r="R102" s="52"/>
      <c r="S102" s="52"/>
      <c r="T102" s="52"/>
      <c r="U102" s="52"/>
      <c r="V102" s="52"/>
      <c r="W102" s="52"/>
      <c r="X102" s="52"/>
      <c r="Y102" s="52"/>
      <c r="Z102" s="52"/>
      <c r="AA102" s="52"/>
      <c r="AB102" s="52"/>
      <c r="AC102" s="52"/>
      <c r="AD102" s="52"/>
    </row>
    <row r="103" spans="1:30">
      <c r="A103" s="320" t="s">
        <v>2041</v>
      </c>
      <c r="B103" s="456">
        <f>B81</f>
        <v>389.90639339738749</v>
      </c>
      <c r="C103" s="201"/>
      <c r="D103" s="201"/>
      <c r="E103" s="201"/>
      <c r="F103" s="201"/>
      <c r="G103" s="201"/>
      <c r="H103" s="201"/>
      <c r="I103" s="201"/>
      <c r="J103" s="201"/>
      <c r="K103" s="201"/>
      <c r="L103" s="201"/>
      <c r="M103" s="201"/>
      <c r="N103" s="201"/>
      <c r="O103" s="201"/>
      <c r="P103" s="201"/>
      <c r="Q103" s="201"/>
      <c r="R103" s="52"/>
      <c r="S103" s="52"/>
      <c r="T103" s="52"/>
      <c r="U103" s="52"/>
      <c r="V103" s="52"/>
      <c r="W103" s="52"/>
      <c r="X103" s="52"/>
      <c r="Y103" s="52"/>
      <c r="Z103" s="52"/>
      <c r="AA103" s="52"/>
      <c r="AB103" s="52"/>
      <c r="AC103" s="52"/>
      <c r="AD103" s="52"/>
    </row>
    <row r="104" spans="1:30">
      <c r="A104" s="201"/>
      <c r="B104" s="201"/>
      <c r="C104" s="201"/>
      <c r="D104" s="201"/>
      <c r="E104" s="201"/>
      <c r="F104" s="201"/>
      <c r="G104" s="201"/>
      <c r="H104" s="201"/>
      <c r="I104" s="201"/>
      <c r="J104" s="201"/>
      <c r="K104" s="201"/>
      <c r="L104" s="201"/>
      <c r="M104" s="201"/>
      <c r="N104" s="201"/>
      <c r="O104" s="201"/>
      <c r="P104" s="201"/>
      <c r="Q104" s="201"/>
      <c r="R104" s="52"/>
      <c r="S104" s="52"/>
      <c r="T104" s="52"/>
      <c r="U104" s="52"/>
      <c r="V104" s="52"/>
      <c r="W104" s="52"/>
      <c r="X104" s="52"/>
      <c r="Y104" s="52"/>
      <c r="Z104" s="52"/>
      <c r="AA104" s="52"/>
      <c r="AB104" s="52"/>
      <c r="AC104" s="52"/>
      <c r="AD104" s="52"/>
    </row>
    <row r="105" spans="1:30">
      <c r="A105" s="63" t="s">
        <v>2045</v>
      </c>
      <c r="B105" s="201"/>
      <c r="C105" s="201"/>
      <c r="D105" s="201"/>
      <c r="E105" s="201"/>
      <c r="F105" s="201"/>
      <c r="G105" s="201"/>
      <c r="H105" s="201"/>
      <c r="I105" s="201"/>
      <c r="J105" s="201"/>
      <c r="K105" s="201"/>
      <c r="L105" s="201"/>
      <c r="M105" s="201"/>
      <c r="N105" s="201"/>
      <c r="O105" s="201"/>
      <c r="P105" s="201"/>
      <c r="Q105" s="201"/>
      <c r="R105" s="52"/>
      <c r="S105" s="52"/>
      <c r="T105" s="52"/>
      <c r="U105" s="52"/>
      <c r="V105" s="52"/>
      <c r="W105" s="52"/>
      <c r="X105" s="52"/>
      <c r="Y105" s="52"/>
      <c r="Z105" s="52"/>
      <c r="AA105" s="52"/>
      <c r="AB105" s="52"/>
      <c r="AC105" s="52"/>
      <c r="AD105" s="52"/>
    </row>
    <row r="106" spans="1:30">
      <c r="A106" s="201"/>
      <c r="B106" s="201"/>
      <c r="C106" s="201"/>
      <c r="D106" s="201"/>
      <c r="E106" s="201"/>
      <c r="F106" s="201"/>
      <c r="G106" s="201"/>
      <c r="H106" s="201"/>
      <c r="I106" s="201"/>
      <c r="J106" s="201"/>
      <c r="K106" s="201"/>
      <c r="L106" s="201"/>
      <c r="M106" s="201"/>
      <c r="N106" s="201"/>
      <c r="O106" s="201"/>
      <c r="P106" s="201"/>
      <c r="Q106" s="201"/>
      <c r="R106" s="52"/>
      <c r="S106" s="52"/>
      <c r="T106" s="52"/>
      <c r="U106" s="52"/>
      <c r="V106" s="52"/>
      <c r="W106" s="52"/>
      <c r="X106" s="52"/>
      <c r="Y106" s="52"/>
      <c r="Z106" s="52"/>
      <c r="AA106" s="52"/>
      <c r="AB106" s="52"/>
      <c r="AC106" s="52"/>
      <c r="AD106" s="52"/>
    </row>
    <row r="107" spans="1:30">
      <c r="A107" s="63" t="s">
        <v>2046</v>
      </c>
      <c r="B107" s="63"/>
      <c r="C107" s="201"/>
      <c r="D107" s="201"/>
      <c r="E107" s="201"/>
      <c r="F107" s="201"/>
      <c r="G107" s="201"/>
      <c r="H107" s="201"/>
      <c r="I107" s="201"/>
      <c r="J107" s="201"/>
      <c r="K107" s="201"/>
      <c r="L107" s="201"/>
      <c r="M107" s="201"/>
      <c r="N107" s="201"/>
      <c r="O107" s="201"/>
      <c r="P107" s="201"/>
      <c r="Q107" s="201"/>
      <c r="R107" s="52"/>
      <c r="S107" s="52"/>
      <c r="T107" s="52"/>
      <c r="U107" s="52"/>
      <c r="V107" s="52"/>
      <c r="W107" s="52"/>
      <c r="X107" s="52"/>
      <c r="Y107" s="52"/>
      <c r="Z107" s="52"/>
      <c r="AA107" s="52"/>
      <c r="AB107" s="52"/>
      <c r="AC107" s="52"/>
      <c r="AD107" s="52"/>
    </row>
    <row r="108" spans="1:30">
      <c r="A108" s="201"/>
      <c r="B108" s="201"/>
      <c r="C108" s="201"/>
      <c r="D108" s="201"/>
      <c r="E108" s="201"/>
      <c r="F108" s="201"/>
      <c r="G108" s="201"/>
      <c r="H108" s="201"/>
      <c r="I108" s="201"/>
      <c r="J108" s="201"/>
      <c r="K108" s="201"/>
      <c r="L108" s="201"/>
      <c r="M108" s="201"/>
      <c r="N108" s="201"/>
      <c r="O108" s="201"/>
      <c r="P108" s="201"/>
      <c r="Q108" s="201"/>
      <c r="R108" s="52"/>
      <c r="S108" s="52"/>
      <c r="T108" s="52"/>
      <c r="U108" s="52"/>
      <c r="V108" s="52"/>
      <c r="W108" s="52"/>
      <c r="X108" s="52"/>
      <c r="Y108" s="52"/>
      <c r="Z108" s="52"/>
      <c r="AA108" s="52"/>
      <c r="AB108" s="52"/>
      <c r="AC108" s="52"/>
      <c r="AD108" s="52"/>
    </row>
    <row r="109" spans="1:30">
      <c r="A109" s="63" t="s">
        <v>2491</v>
      </c>
      <c r="B109" s="390"/>
      <c r="C109" s="201"/>
      <c r="D109" s="201"/>
      <c r="E109" s="201"/>
      <c r="F109" s="201"/>
      <c r="G109" s="201"/>
      <c r="H109" s="201"/>
      <c r="I109" s="201"/>
      <c r="J109" s="201"/>
      <c r="K109" s="201"/>
      <c r="L109" s="201"/>
      <c r="M109" s="201"/>
      <c r="N109" s="201"/>
      <c r="O109" s="201"/>
      <c r="P109" s="201"/>
      <c r="Q109" s="201"/>
      <c r="R109" s="52"/>
      <c r="S109" s="52"/>
      <c r="T109" s="52"/>
      <c r="U109" s="52"/>
      <c r="V109" s="52"/>
      <c r="W109" s="52"/>
      <c r="X109" s="52"/>
      <c r="Y109" s="52"/>
      <c r="Z109" s="52"/>
      <c r="AA109" s="52"/>
      <c r="AB109" s="52"/>
      <c r="AC109" s="52"/>
      <c r="AD109" s="52"/>
    </row>
    <row r="110" spans="1:30">
      <c r="A110" s="201"/>
      <c r="B110" s="201"/>
      <c r="C110" s="201"/>
      <c r="D110" s="201"/>
      <c r="E110" s="201"/>
      <c r="F110" s="201"/>
      <c r="G110" s="201"/>
      <c r="H110" s="201"/>
      <c r="I110" s="201"/>
      <c r="J110" s="201"/>
      <c r="K110" s="201"/>
      <c r="L110" s="201"/>
      <c r="M110" s="201"/>
      <c r="N110" s="201"/>
      <c r="O110" s="201"/>
      <c r="P110" s="201"/>
      <c r="Q110" s="201"/>
      <c r="R110" s="52"/>
      <c r="S110" s="52"/>
      <c r="T110" s="52"/>
      <c r="U110" s="52"/>
      <c r="V110" s="52"/>
      <c r="W110" s="52"/>
      <c r="X110" s="52"/>
      <c r="Y110" s="52"/>
      <c r="Z110" s="52"/>
      <c r="AA110" s="52"/>
      <c r="AB110" s="52"/>
      <c r="AC110" s="52"/>
      <c r="AD110" s="52"/>
    </row>
    <row r="111" spans="1:30">
      <c r="A111" s="63" t="s">
        <v>2411</v>
      </c>
      <c r="B111" s="63"/>
      <c r="C111" s="63"/>
      <c r="D111" s="201"/>
      <c r="E111" s="201"/>
      <c r="F111" s="201"/>
      <c r="G111" s="201"/>
      <c r="H111" s="201"/>
      <c r="I111" s="201"/>
      <c r="J111" s="201"/>
      <c r="K111" s="201"/>
      <c r="L111" s="201"/>
      <c r="M111" s="201"/>
      <c r="N111" s="201"/>
      <c r="O111" s="201"/>
      <c r="P111" s="201"/>
      <c r="Q111" s="201"/>
      <c r="R111" s="52"/>
      <c r="S111" s="52"/>
      <c r="T111" s="52"/>
      <c r="U111" s="52"/>
      <c r="V111" s="52"/>
      <c r="W111" s="52"/>
      <c r="X111" s="52"/>
      <c r="Y111" s="52"/>
      <c r="Z111" s="52"/>
      <c r="AA111" s="52"/>
      <c r="AB111" s="52"/>
      <c r="AC111" s="52"/>
      <c r="AD111" s="52"/>
    </row>
    <row r="112" spans="1:30">
      <c r="A112" s="46" t="s">
        <v>247</v>
      </c>
      <c r="B112" s="46" t="s">
        <v>218</v>
      </c>
      <c r="C112" s="46" t="s">
        <v>214</v>
      </c>
      <c r="D112" s="46" t="s">
        <v>1563</v>
      </c>
      <c r="E112" s="201"/>
      <c r="F112" s="201"/>
      <c r="G112" s="201"/>
      <c r="H112" s="201"/>
      <c r="I112" s="201"/>
      <c r="J112" s="201"/>
      <c r="K112" s="201"/>
      <c r="L112" s="201"/>
      <c r="M112" s="201"/>
      <c r="N112" s="201"/>
      <c r="O112" s="201"/>
      <c r="P112" s="201"/>
      <c r="Q112" s="201"/>
      <c r="R112" s="52"/>
      <c r="S112" s="52"/>
      <c r="T112" s="52"/>
      <c r="U112" s="52"/>
      <c r="V112" s="52"/>
      <c r="W112" s="52"/>
      <c r="X112" s="52"/>
      <c r="Y112" s="52"/>
      <c r="Z112" s="52"/>
      <c r="AA112" s="52"/>
      <c r="AB112" s="52"/>
      <c r="AC112" s="52"/>
      <c r="AD112" s="52"/>
    </row>
    <row r="113" spans="1:30">
      <c r="A113" s="320" t="s">
        <v>296</v>
      </c>
      <c r="B113" s="320">
        <v>30</v>
      </c>
      <c r="C113" s="320">
        <v>32</v>
      </c>
      <c r="D113" s="320" t="s">
        <v>1000</v>
      </c>
      <c r="E113" s="201"/>
      <c r="F113" s="201"/>
      <c r="G113" s="201"/>
      <c r="H113" s="201"/>
      <c r="I113" s="201"/>
      <c r="J113" s="201"/>
      <c r="K113" s="201"/>
      <c r="L113" s="201"/>
      <c r="M113" s="201"/>
      <c r="N113" s="201"/>
      <c r="O113" s="201"/>
      <c r="P113" s="201"/>
      <c r="Q113" s="201"/>
      <c r="R113" s="52"/>
      <c r="S113" s="52"/>
      <c r="T113" s="52"/>
      <c r="U113" s="52"/>
      <c r="V113" s="52"/>
      <c r="W113" s="52"/>
      <c r="X113" s="52"/>
      <c r="Y113" s="52"/>
      <c r="Z113" s="52"/>
      <c r="AA113" s="52"/>
      <c r="AB113" s="52"/>
      <c r="AC113" s="52"/>
      <c r="AD113" s="52"/>
    </row>
    <row r="114" spans="1:30">
      <c r="A114" s="320" t="s">
        <v>295</v>
      </c>
      <c r="B114" s="320">
        <v>28</v>
      </c>
      <c r="C114" s="320">
        <v>34</v>
      </c>
      <c r="D114" s="320" t="s">
        <v>1000</v>
      </c>
      <c r="E114" s="201"/>
      <c r="F114" s="201"/>
      <c r="G114" s="201"/>
      <c r="H114" s="201"/>
      <c r="I114" s="201"/>
      <c r="J114" s="201"/>
      <c r="K114" s="201"/>
      <c r="L114" s="201"/>
      <c r="M114" s="201"/>
      <c r="N114" s="201"/>
      <c r="O114" s="201"/>
      <c r="P114" s="201"/>
      <c r="Q114" s="201"/>
      <c r="R114" s="52"/>
      <c r="S114" s="52"/>
      <c r="T114" s="52"/>
      <c r="U114" s="52"/>
      <c r="V114" s="52"/>
      <c r="W114" s="52"/>
      <c r="X114" s="52"/>
      <c r="Y114" s="52"/>
      <c r="Z114" s="52"/>
      <c r="AA114" s="52"/>
      <c r="AB114" s="52"/>
      <c r="AC114" s="52"/>
      <c r="AD114" s="52"/>
    </row>
    <row r="115" spans="1:30">
      <c r="A115" s="320" t="s">
        <v>298</v>
      </c>
      <c r="B115" s="320">
        <v>18</v>
      </c>
      <c r="C115" s="320">
        <v>22</v>
      </c>
      <c r="D115" s="320" t="s">
        <v>2127</v>
      </c>
      <c r="E115" s="201"/>
      <c r="F115" s="201"/>
      <c r="G115" s="201"/>
      <c r="H115" s="201"/>
      <c r="I115" s="201"/>
      <c r="J115" s="201"/>
      <c r="K115" s="201"/>
      <c r="L115" s="201"/>
      <c r="M115" s="201"/>
      <c r="N115" s="201"/>
      <c r="O115" s="201"/>
      <c r="P115" s="201"/>
      <c r="Q115" s="201"/>
      <c r="R115" s="52"/>
      <c r="S115" s="52"/>
      <c r="T115" s="52"/>
      <c r="U115" s="52"/>
      <c r="V115" s="52"/>
      <c r="W115" s="52"/>
      <c r="X115" s="52"/>
      <c r="Y115" s="52"/>
      <c r="Z115" s="52"/>
      <c r="AA115" s="52"/>
      <c r="AB115" s="52"/>
      <c r="AC115" s="52"/>
      <c r="AD115" s="52"/>
    </row>
    <row r="116" spans="1:30">
      <c r="A116" s="201"/>
      <c r="B116" s="201"/>
      <c r="C116" s="201"/>
      <c r="D116" s="201"/>
      <c r="E116" s="201"/>
      <c r="F116" s="201"/>
      <c r="G116" s="201"/>
      <c r="H116" s="201"/>
      <c r="I116" s="201"/>
      <c r="J116" s="201"/>
      <c r="K116" s="201"/>
      <c r="L116" s="201"/>
      <c r="M116" s="201"/>
      <c r="N116" s="201"/>
      <c r="O116" s="201"/>
      <c r="P116" s="201"/>
      <c r="Q116" s="201"/>
      <c r="R116" s="52"/>
      <c r="S116" s="52"/>
      <c r="T116" s="52"/>
      <c r="U116" s="52"/>
      <c r="V116" s="52"/>
      <c r="W116" s="52"/>
      <c r="X116" s="52"/>
      <c r="Y116" s="52"/>
      <c r="Z116" s="52"/>
      <c r="AA116" s="52"/>
      <c r="AB116" s="52"/>
      <c r="AC116" s="52"/>
      <c r="AD116" s="52"/>
    </row>
    <row r="117" spans="1:30">
      <c r="A117" s="63" t="s">
        <v>2154</v>
      </c>
      <c r="B117" s="390"/>
      <c r="C117" s="201"/>
      <c r="D117" s="201"/>
      <c r="E117" s="201"/>
      <c r="F117" s="201"/>
      <c r="G117" s="201"/>
      <c r="H117" s="201"/>
      <c r="I117" s="201"/>
      <c r="J117" s="201"/>
      <c r="K117" s="201"/>
      <c r="L117" s="201"/>
      <c r="M117" s="201"/>
      <c r="N117" s="201"/>
      <c r="O117" s="201"/>
      <c r="P117" s="201"/>
      <c r="Q117" s="201"/>
      <c r="R117" s="52"/>
      <c r="S117" s="52"/>
      <c r="T117" s="52"/>
      <c r="U117" s="52"/>
      <c r="V117" s="52"/>
      <c r="W117" s="52"/>
      <c r="X117" s="52"/>
      <c r="Y117" s="52"/>
      <c r="Z117" s="52"/>
      <c r="AA117" s="52"/>
      <c r="AB117" s="52"/>
      <c r="AC117" s="52"/>
      <c r="AD117" s="52"/>
    </row>
    <row r="118" spans="1:30">
      <c r="A118" s="201"/>
      <c r="B118" s="201"/>
      <c r="C118" s="201"/>
      <c r="D118" s="201"/>
      <c r="E118" s="201"/>
      <c r="F118" s="201"/>
      <c r="G118" s="201"/>
      <c r="H118" s="201"/>
      <c r="I118" s="201"/>
      <c r="J118" s="201"/>
      <c r="K118" s="201"/>
      <c r="L118" s="201"/>
      <c r="M118" s="201"/>
      <c r="N118" s="201"/>
      <c r="O118" s="201"/>
      <c r="P118" s="201"/>
      <c r="Q118" s="201"/>
      <c r="R118" s="52"/>
      <c r="S118" s="52"/>
      <c r="T118" s="52"/>
      <c r="U118" s="52"/>
      <c r="V118" s="52"/>
      <c r="W118" s="52"/>
      <c r="X118" s="52"/>
      <c r="Y118" s="52"/>
      <c r="Z118" s="52"/>
      <c r="AA118" s="52"/>
      <c r="AB118" s="52"/>
      <c r="AC118" s="52"/>
      <c r="AD118" s="52"/>
    </row>
    <row r="119" spans="1:30">
      <c r="A119" s="63" t="s">
        <v>2158</v>
      </c>
      <c r="B119" s="201"/>
      <c r="C119" s="201"/>
      <c r="D119" s="201"/>
      <c r="E119" s="201"/>
      <c r="F119" s="201"/>
      <c r="G119" s="201"/>
      <c r="H119" s="201"/>
      <c r="I119" s="201"/>
      <c r="J119" s="201"/>
      <c r="K119" s="201"/>
      <c r="L119" s="201"/>
      <c r="M119" s="201"/>
      <c r="N119" s="201"/>
      <c r="O119" s="201"/>
      <c r="P119" s="201"/>
      <c r="Q119" s="201"/>
      <c r="R119" s="52"/>
      <c r="S119" s="52"/>
      <c r="T119" s="52"/>
      <c r="U119" s="52"/>
      <c r="V119" s="52"/>
      <c r="W119" s="52"/>
      <c r="X119" s="52"/>
      <c r="Y119" s="52"/>
      <c r="Z119" s="52"/>
      <c r="AA119" s="52"/>
      <c r="AB119" s="52"/>
      <c r="AC119" s="52"/>
      <c r="AD119" s="52"/>
    </row>
    <row r="120" spans="1:30">
      <c r="A120" s="201"/>
      <c r="B120" s="201"/>
      <c r="C120" s="201"/>
      <c r="D120" s="201"/>
      <c r="E120" s="201"/>
      <c r="F120" s="201"/>
      <c r="G120" s="201"/>
      <c r="H120" s="201"/>
      <c r="I120" s="201"/>
      <c r="J120" s="201"/>
      <c r="K120" s="201"/>
      <c r="L120" s="201"/>
      <c r="M120" s="201"/>
      <c r="N120" s="201"/>
      <c r="O120" s="201"/>
      <c r="P120" s="201"/>
      <c r="Q120" s="201"/>
      <c r="R120" s="52"/>
      <c r="S120" s="52"/>
      <c r="T120" s="52"/>
      <c r="U120" s="52"/>
      <c r="V120" s="52"/>
      <c r="W120" s="52"/>
      <c r="X120" s="52"/>
      <c r="Y120" s="52"/>
      <c r="Z120" s="52"/>
      <c r="AA120" s="52"/>
      <c r="AB120" s="52"/>
      <c r="AC120" s="52"/>
      <c r="AD120" s="52"/>
    </row>
    <row r="121" spans="1:30">
      <c r="A121" s="27" t="s">
        <v>2254</v>
      </c>
      <c r="B121" s="201"/>
      <c r="C121" s="201"/>
      <c r="D121" s="201"/>
      <c r="E121" s="201"/>
      <c r="F121" s="201"/>
      <c r="G121" s="201"/>
      <c r="H121" s="201"/>
      <c r="I121" s="201"/>
      <c r="J121" s="201"/>
      <c r="K121" s="201"/>
      <c r="L121" s="201"/>
      <c r="M121" s="201"/>
      <c r="N121" s="201"/>
      <c r="O121" s="201"/>
      <c r="P121" s="201"/>
      <c r="Q121" s="201"/>
      <c r="R121" s="52"/>
      <c r="S121" s="52"/>
      <c r="T121" s="52"/>
      <c r="U121" s="52"/>
      <c r="V121" s="52"/>
      <c r="W121" s="52"/>
      <c r="X121" s="52"/>
      <c r="Y121" s="52"/>
      <c r="Z121" s="52"/>
      <c r="AA121" s="52"/>
      <c r="AB121" s="52"/>
      <c r="AC121" s="52"/>
      <c r="AD121" s="52"/>
    </row>
    <row r="122" spans="1:30">
      <c r="A122" s="416" t="s">
        <v>1997</v>
      </c>
      <c r="B122" s="201"/>
      <c r="C122" s="201"/>
      <c r="D122" s="201"/>
      <c r="E122" s="201"/>
      <c r="F122" s="201"/>
      <c r="G122" s="201"/>
      <c r="H122" s="201"/>
      <c r="I122" s="201"/>
      <c r="J122" s="201"/>
      <c r="K122" s="201"/>
      <c r="L122" s="201"/>
      <c r="M122" s="201"/>
      <c r="N122" s="201"/>
      <c r="O122" s="201"/>
      <c r="P122" s="201"/>
      <c r="Q122" s="201"/>
      <c r="R122" s="52"/>
      <c r="S122" s="52"/>
      <c r="T122" s="52"/>
      <c r="U122" s="52"/>
      <c r="V122" s="52"/>
      <c r="W122" s="52"/>
      <c r="X122" s="52"/>
      <c r="Y122" s="52"/>
      <c r="Z122" s="52"/>
      <c r="AA122" s="52"/>
      <c r="AB122" s="52"/>
      <c r="AC122" s="52"/>
      <c r="AD122" s="52"/>
    </row>
    <row r="123" spans="1:30">
      <c r="A123" s="429" t="s">
        <v>2489</v>
      </c>
      <c r="B123" s="201"/>
      <c r="C123" s="201"/>
      <c r="D123" s="201"/>
      <c r="E123" s="201"/>
      <c r="F123" s="201"/>
      <c r="G123" s="201"/>
      <c r="H123" s="201"/>
      <c r="I123" s="201"/>
      <c r="J123" s="201"/>
      <c r="K123" s="201"/>
      <c r="L123" s="201"/>
      <c r="M123" s="201"/>
      <c r="N123" s="201"/>
      <c r="O123" s="201"/>
      <c r="P123" s="201"/>
      <c r="Q123" s="201"/>
      <c r="R123" s="52"/>
      <c r="S123" s="52"/>
      <c r="T123" s="52"/>
      <c r="U123" s="52"/>
      <c r="V123" s="52"/>
      <c r="W123" s="52"/>
      <c r="X123" s="52"/>
      <c r="Y123" s="52"/>
      <c r="Z123" s="52"/>
      <c r="AA123" s="52"/>
      <c r="AB123" s="52"/>
      <c r="AC123" s="52"/>
      <c r="AD123" s="52"/>
    </row>
    <row r="124" spans="1:30">
      <c r="A124" s="429" t="s">
        <v>2255</v>
      </c>
      <c r="B124" s="201"/>
      <c r="C124" s="201"/>
      <c r="D124" s="201"/>
      <c r="E124" s="201"/>
      <c r="F124" s="201"/>
      <c r="G124" s="201"/>
      <c r="H124" s="201"/>
      <c r="I124" s="201"/>
      <c r="J124" s="201"/>
      <c r="K124" s="201"/>
      <c r="L124" s="201"/>
      <c r="M124" s="201"/>
      <c r="N124" s="201"/>
      <c r="O124" s="201"/>
      <c r="P124" s="201"/>
      <c r="Q124" s="201"/>
      <c r="R124" s="52"/>
      <c r="S124" s="52"/>
      <c r="T124" s="52"/>
      <c r="U124" s="52"/>
      <c r="V124" s="52"/>
      <c r="W124" s="52"/>
      <c r="X124" s="52"/>
      <c r="Y124" s="52"/>
      <c r="Z124" s="52"/>
      <c r="AA124" s="52"/>
      <c r="AB124" s="52"/>
      <c r="AC124" s="52"/>
      <c r="AD124" s="52"/>
    </row>
    <row r="125" spans="1:30">
      <c r="A125" s="416" t="s">
        <v>2443</v>
      </c>
      <c r="B125" s="201"/>
      <c r="C125" s="201"/>
      <c r="D125" s="201"/>
      <c r="E125" s="201"/>
      <c r="F125" s="201"/>
      <c r="G125" s="201"/>
      <c r="H125" s="201"/>
      <c r="I125" s="201"/>
      <c r="J125" s="201"/>
      <c r="K125" s="201"/>
      <c r="L125" s="201"/>
      <c r="M125" s="201"/>
      <c r="N125" s="201"/>
      <c r="O125" s="201"/>
      <c r="P125" s="201"/>
      <c r="Q125" s="201"/>
      <c r="R125" s="52"/>
      <c r="S125" s="52"/>
      <c r="T125" s="52"/>
      <c r="U125" s="52"/>
      <c r="V125" s="52"/>
      <c r="W125" s="52"/>
      <c r="X125" s="52"/>
      <c r="Y125" s="52"/>
      <c r="Z125" s="52"/>
      <c r="AA125" s="52"/>
      <c r="AB125" s="52"/>
      <c r="AC125" s="52"/>
      <c r="AD125" s="52"/>
    </row>
    <row r="126" spans="1:30">
      <c r="A126" s="63" t="s">
        <v>2490</v>
      </c>
      <c r="B126" s="201"/>
      <c r="C126" s="201"/>
      <c r="D126" s="201"/>
      <c r="E126" s="201"/>
      <c r="F126" s="201"/>
      <c r="G126" s="201"/>
      <c r="H126" s="201"/>
      <c r="I126" s="201"/>
      <c r="J126" s="201"/>
      <c r="K126" s="201"/>
      <c r="L126" s="201"/>
      <c r="M126" s="201"/>
      <c r="N126" s="201"/>
      <c r="O126" s="201"/>
      <c r="P126" s="201"/>
      <c r="Q126" s="201"/>
      <c r="R126" s="52"/>
      <c r="S126" s="52"/>
      <c r="T126" s="52"/>
      <c r="U126" s="52"/>
      <c r="V126" s="52"/>
      <c r="W126" s="52"/>
      <c r="X126" s="52"/>
      <c r="Y126" s="52"/>
      <c r="Z126" s="52"/>
      <c r="AA126" s="52"/>
      <c r="AB126" s="52"/>
      <c r="AC126" s="52"/>
      <c r="AD126" s="52"/>
    </row>
    <row r="127" spans="1:30">
      <c r="A127" s="201"/>
      <c r="B127" s="201"/>
      <c r="C127" s="201"/>
      <c r="D127" s="201"/>
      <c r="E127" s="201"/>
      <c r="F127" s="201"/>
      <c r="G127" s="201"/>
      <c r="H127" s="201"/>
      <c r="I127" s="201"/>
      <c r="J127" s="201"/>
      <c r="K127" s="201"/>
      <c r="L127" s="201"/>
      <c r="M127" s="201"/>
      <c r="N127" s="201"/>
      <c r="O127" s="201"/>
      <c r="P127" s="201"/>
      <c r="Q127" s="201"/>
      <c r="R127" s="52"/>
      <c r="S127" s="52"/>
      <c r="T127" s="52"/>
      <c r="U127" s="52"/>
      <c r="V127" s="52"/>
      <c r="W127" s="52"/>
      <c r="X127" s="52"/>
      <c r="Y127" s="52"/>
      <c r="Z127" s="52"/>
      <c r="AA127" s="52"/>
      <c r="AB127" s="52"/>
      <c r="AC127" s="52"/>
      <c r="AD127" s="52"/>
    </row>
    <row r="128" spans="1:30">
      <c r="A128" s="63" t="s">
        <v>2412</v>
      </c>
      <c r="B128" s="63"/>
      <c r="C128" s="63"/>
      <c r="D128" s="63"/>
      <c r="E128" s="201"/>
      <c r="F128" s="201"/>
      <c r="G128" s="201"/>
      <c r="H128" s="201"/>
      <c r="I128" s="201"/>
      <c r="J128" s="201"/>
      <c r="K128" s="201"/>
      <c r="L128" s="201"/>
      <c r="M128" s="201"/>
      <c r="N128" s="201"/>
      <c r="O128" s="201"/>
      <c r="P128" s="201"/>
      <c r="Q128" s="201"/>
      <c r="R128" s="52"/>
      <c r="S128" s="52"/>
      <c r="T128" s="52"/>
      <c r="U128" s="52"/>
      <c r="V128" s="52"/>
      <c r="W128" s="52"/>
      <c r="X128" s="52"/>
      <c r="Y128" s="52"/>
      <c r="Z128" s="52"/>
      <c r="AA128" s="52"/>
      <c r="AB128" s="52"/>
      <c r="AC128" s="52"/>
      <c r="AD128" s="52"/>
    </row>
    <row r="129" spans="1:30">
      <c r="A129" s="201"/>
      <c r="B129" s="201"/>
      <c r="C129" s="201"/>
      <c r="D129" s="201"/>
      <c r="E129" s="201"/>
      <c r="F129" s="201"/>
      <c r="G129" s="201"/>
      <c r="H129" s="201"/>
      <c r="I129" s="201"/>
      <c r="J129" s="201"/>
      <c r="K129" s="201"/>
      <c r="L129" s="201"/>
      <c r="M129" s="201"/>
      <c r="N129" s="201"/>
      <c r="O129" s="201"/>
      <c r="P129" s="201"/>
      <c r="Q129" s="201"/>
      <c r="R129" s="52"/>
      <c r="S129" s="52"/>
      <c r="T129" s="52"/>
      <c r="U129" s="52"/>
      <c r="V129" s="52"/>
      <c r="W129" s="52"/>
      <c r="X129" s="52"/>
      <c r="Y129" s="52"/>
      <c r="Z129" s="52"/>
      <c r="AA129" s="52"/>
      <c r="AB129" s="52"/>
      <c r="AC129" s="52"/>
      <c r="AD129" s="52"/>
    </row>
    <row r="130" spans="1:30">
      <c r="A130" s="63" t="s">
        <v>2413</v>
      </c>
      <c r="B130" s="392"/>
      <c r="C130" s="201"/>
      <c r="D130" s="201"/>
      <c r="E130" s="201"/>
      <c r="F130" s="201"/>
      <c r="G130" s="201"/>
      <c r="H130" s="201"/>
      <c r="I130" s="201"/>
      <c r="J130" s="201"/>
      <c r="K130" s="201"/>
      <c r="L130" s="201"/>
      <c r="M130" s="201"/>
      <c r="N130" s="201"/>
      <c r="O130" s="201"/>
      <c r="P130" s="201"/>
      <c r="Q130" s="201"/>
      <c r="R130" s="52"/>
      <c r="S130" s="52"/>
      <c r="T130" s="52"/>
      <c r="U130" s="52"/>
      <c r="V130" s="52"/>
      <c r="W130" s="52"/>
      <c r="X130" s="52"/>
      <c r="Y130" s="52"/>
      <c r="Z130" s="52"/>
      <c r="AA130" s="52"/>
      <c r="AB130" s="52"/>
      <c r="AC130" s="52"/>
      <c r="AD130" s="52"/>
    </row>
    <row r="131" spans="1:30">
      <c r="A131" s="201"/>
      <c r="B131" s="201"/>
      <c r="C131" s="201"/>
      <c r="D131" s="201"/>
      <c r="E131" s="201"/>
      <c r="F131" s="201"/>
      <c r="G131" s="201"/>
      <c r="H131" s="201"/>
      <c r="I131" s="201"/>
      <c r="J131" s="201"/>
      <c r="K131" s="201"/>
      <c r="L131" s="201"/>
      <c r="M131" s="201"/>
      <c r="N131" s="201"/>
      <c r="O131" s="201"/>
      <c r="P131" s="201"/>
      <c r="Q131" s="201"/>
      <c r="R131" s="52"/>
      <c r="S131" s="52"/>
      <c r="T131" s="52"/>
      <c r="U131" s="52"/>
      <c r="V131" s="52"/>
      <c r="W131" s="52"/>
      <c r="X131" s="52"/>
      <c r="Y131" s="52"/>
      <c r="Z131" s="52"/>
      <c r="AA131" s="52"/>
      <c r="AB131" s="52"/>
      <c r="AC131" s="52"/>
      <c r="AD131" s="52"/>
    </row>
    <row r="132" spans="1:30">
      <c r="A132" s="63" t="s">
        <v>2441</v>
      </c>
      <c r="B132" s="390"/>
      <c r="C132" s="201"/>
      <c r="D132" s="201"/>
      <c r="E132" s="201"/>
      <c r="F132" s="201"/>
      <c r="G132" s="201"/>
      <c r="H132" s="201"/>
      <c r="I132" s="201"/>
      <c r="J132" s="201"/>
      <c r="K132" s="201"/>
      <c r="L132" s="201"/>
      <c r="M132" s="201"/>
      <c r="N132" s="201"/>
      <c r="O132" s="201"/>
      <c r="P132" s="201"/>
      <c r="Q132" s="201"/>
      <c r="R132" s="52"/>
      <c r="S132" s="52"/>
      <c r="T132" s="52"/>
      <c r="U132" s="52"/>
      <c r="V132" s="52"/>
      <c r="W132" s="52"/>
      <c r="X132" s="52"/>
      <c r="Y132" s="52"/>
      <c r="Z132" s="52"/>
      <c r="AA132" s="52"/>
      <c r="AB132" s="52"/>
      <c r="AC132" s="52"/>
      <c r="AD132" s="52"/>
    </row>
    <row r="133" spans="1:30">
      <c r="A133" s="201"/>
      <c r="B133" s="201"/>
      <c r="C133" s="201"/>
      <c r="D133" s="201"/>
      <c r="E133" s="201"/>
      <c r="F133" s="201"/>
      <c r="G133" s="201"/>
      <c r="H133" s="201"/>
      <c r="I133" s="201"/>
      <c r="J133" s="201"/>
      <c r="K133" s="201"/>
      <c r="L133" s="201"/>
      <c r="M133" s="201"/>
      <c r="N133" s="201"/>
      <c r="O133" s="201"/>
      <c r="P133" s="201"/>
      <c r="Q133" s="201"/>
      <c r="R133" s="52"/>
      <c r="S133" s="52"/>
      <c r="T133" s="52"/>
      <c r="U133" s="52"/>
      <c r="V133" s="52"/>
      <c r="W133" s="52"/>
      <c r="X133" s="52"/>
      <c r="Y133" s="52"/>
      <c r="Z133" s="52"/>
      <c r="AA133" s="52"/>
      <c r="AB133" s="52"/>
      <c r="AC133" s="52"/>
      <c r="AD133" s="52"/>
    </row>
    <row r="134" spans="1:30">
      <c r="A134" s="63" t="s">
        <v>2492</v>
      </c>
      <c r="B134" s="63"/>
      <c r="C134" s="47"/>
      <c r="D134" s="201"/>
      <c r="E134" s="201"/>
      <c r="F134" s="201"/>
      <c r="G134" s="201"/>
      <c r="H134" s="201"/>
      <c r="I134" s="201"/>
      <c r="J134" s="201"/>
      <c r="K134" s="201"/>
      <c r="L134" s="201"/>
      <c r="M134" s="201"/>
      <c r="N134" s="201"/>
      <c r="O134" s="201"/>
      <c r="P134" s="201"/>
      <c r="Q134" s="201"/>
      <c r="R134" s="52"/>
      <c r="S134" s="52"/>
      <c r="T134" s="52"/>
      <c r="U134" s="52"/>
      <c r="V134" s="52"/>
      <c r="W134" s="52"/>
      <c r="X134" s="52"/>
      <c r="Y134" s="52"/>
      <c r="Z134" s="52"/>
      <c r="AA134" s="52"/>
      <c r="AB134" s="52"/>
      <c r="AC134" s="52"/>
      <c r="AD134" s="52"/>
    </row>
    <row r="135" spans="1:30">
      <c r="A135" s="201"/>
      <c r="B135" s="201"/>
      <c r="C135" s="201"/>
      <c r="D135" s="201"/>
      <c r="E135" s="201"/>
      <c r="F135" s="201"/>
      <c r="G135" s="201"/>
      <c r="H135" s="201"/>
      <c r="I135" s="201"/>
      <c r="J135" s="201"/>
      <c r="K135" s="201"/>
      <c r="L135" s="201"/>
      <c r="M135" s="201"/>
      <c r="N135" s="201"/>
      <c r="O135" s="201"/>
      <c r="P135" s="201"/>
      <c r="Q135" s="201"/>
      <c r="R135" s="52"/>
      <c r="S135" s="52"/>
      <c r="T135" s="52"/>
      <c r="U135" s="52"/>
      <c r="V135" s="52"/>
      <c r="W135" s="52"/>
      <c r="X135" s="52"/>
      <c r="Y135" s="52"/>
      <c r="Z135" s="52"/>
      <c r="AA135" s="52"/>
      <c r="AB135" s="52"/>
      <c r="AC135" s="52"/>
      <c r="AD135" s="52"/>
    </row>
    <row r="136" spans="1:30">
      <c r="A136" s="63" t="s">
        <v>2502</v>
      </c>
      <c r="B136" s="63"/>
      <c r="C136" s="63"/>
      <c r="D136" s="201"/>
      <c r="E136" s="201"/>
      <c r="F136" s="201"/>
      <c r="G136" s="201"/>
      <c r="H136" s="201"/>
      <c r="I136" s="201"/>
      <c r="J136" s="201"/>
      <c r="K136" s="201"/>
      <c r="L136" s="201"/>
      <c r="M136" s="201"/>
      <c r="N136" s="201"/>
      <c r="O136" s="201"/>
      <c r="P136" s="201"/>
      <c r="Q136" s="201"/>
      <c r="R136" s="52"/>
      <c r="S136" s="52"/>
      <c r="T136" s="52"/>
      <c r="U136" s="52"/>
      <c r="V136" s="52"/>
      <c r="W136" s="52"/>
      <c r="X136" s="52"/>
      <c r="Y136" s="52"/>
      <c r="Z136" s="52"/>
      <c r="AA136" s="52"/>
      <c r="AB136" s="52"/>
      <c r="AC136" s="52"/>
      <c r="AD136" s="52"/>
    </row>
    <row r="137" spans="1:30">
      <c r="A137" s="201"/>
      <c r="B137" s="201"/>
      <c r="C137" s="201"/>
      <c r="D137" s="201"/>
      <c r="E137" s="201"/>
      <c r="F137" s="201"/>
      <c r="G137" s="201"/>
      <c r="H137" s="201"/>
      <c r="I137" s="201"/>
      <c r="J137" s="201"/>
      <c r="K137" s="201"/>
      <c r="L137" s="201"/>
      <c r="M137" s="201"/>
      <c r="N137" s="201"/>
      <c r="O137" s="201"/>
      <c r="P137" s="201"/>
      <c r="Q137" s="201"/>
      <c r="R137" s="52"/>
      <c r="S137" s="52"/>
      <c r="T137" s="52"/>
      <c r="U137" s="52"/>
      <c r="V137" s="52"/>
      <c r="W137" s="52"/>
      <c r="X137" s="52"/>
      <c r="Y137" s="52"/>
      <c r="Z137" s="52"/>
      <c r="AA137" s="52"/>
      <c r="AB137" s="52"/>
      <c r="AC137" s="52"/>
      <c r="AD137" s="52"/>
    </row>
    <row r="138" spans="1:30">
      <c r="A138" s="201"/>
      <c r="B138" s="201"/>
      <c r="C138" s="201"/>
      <c r="D138" s="201"/>
      <c r="E138" s="201"/>
      <c r="F138" s="201"/>
      <c r="G138" s="201"/>
      <c r="H138" s="201"/>
      <c r="I138" s="201"/>
      <c r="J138" s="201"/>
      <c r="K138" s="201"/>
      <c r="L138" s="201"/>
      <c r="M138" s="201"/>
      <c r="N138" s="201"/>
      <c r="O138" s="201"/>
      <c r="P138" s="201"/>
      <c r="Q138" s="201"/>
      <c r="R138" s="52"/>
      <c r="S138" s="52"/>
      <c r="T138" s="52"/>
      <c r="U138" s="52"/>
      <c r="V138" s="52"/>
      <c r="W138" s="52"/>
      <c r="X138" s="52"/>
      <c r="Y138" s="52"/>
      <c r="Z138" s="52"/>
      <c r="AA138" s="52"/>
      <c r="AB138" s="52"/>
      <c r="AC138" s="52"/>
      <c r="AD138" s="52"/>
    </row>
    <row r="139" spans="1:30">
      <c r="A139" s="201"/>
      <c r="B139" s="201"/>
      <c r="C139" s="201"/>
      <c r="D139" s="201"/>
      <c r="E139" s="201"/>
      <c r="F139" s="201"/>
      <c r="G139" s="201"/>
      <c r="H139" s="201"/>
      <c r="I139" s="201"/>
      <c r="J139" s="201"/>
      <c r="K139" s="201"/>
      <c r="L139" s="201"/>
      <c r="M139" s="201"/>
      <c r="N139" s="201"/>
      <c r="O139" s="201"/>
      <c r="P139" s="201"/>
      <c r="Q139" s="201"/>
      <c r="R139" s="52"/>
      <c r="S139" s="52"/>
      <c r="T139" s="52"/>
      <c r="U139" s="52"/>
      <c r="V139" s="52"/>
      <c r="W139" s="52"/>
      <c r="X139" s="52"/>
      <c r="Y139" s="52"/>
      <c r="Z139" s="52"/>
      <c r="AA139" s="52"/>
      <c r="AB139" s="52"/>
      <c r="AC139" s="52"/>
      <c r="AD139" s="52"/>
    </row>
    <row r="140" spans="1:30">
      <c r="A140" s="201"/>
      <c r="B140" s="201"/>
      <c r="C140" s="201"/>
      <c r="D140" s="201"/>
      <c r="E140" s="201"/>
      <c r="F140" s="201"/>
      <c r="G140" s="201"/>
      <c r="H140" s="201"/>
      <c r="I140" s="201"/>
      <c r="J140" s="201"/>
      <c r="K140" s="201"/>
      <c r="L140" s="201"/>
      <c r="M140" s="201"/>
      <c r="N140" s="201"/>
      <c r="O140" s="201"/>
      <c r="P140" s="201"/>
      <c r="Q140" s="201"/>
      <c r="R140" s="52"/>
      <c r="S140" s="52"/>
      <c r="T140" s="52"/>
      <c r="U140" s="52"/>
      <c r="V140" s="52"/>
      <c r="W140" s="52"/>
      <c r="X140" s="52"/>
      <c r="Y140" s="52"/>
      <c r="Z140" s="52"/>
      <c r="AA140" s="52"/>
      <c r="AB140" s="52"/>
      <c r="AC140" s="52"/>
      <c r="AD140" s="52"/>
    </row>
    <row r="141" spans="1:30">
      <c r="A141" s="201"/>
      <c r="B141" s="201"/>
      <c r="C141" s="201"/>
      <c r="D141" s="201"/>
      <c r="E141" s="201"/>
      <c r="F141" s="201"/>
      <c r="G141" s="201"/>
      <c r="H141" s="201"/>
      <c r="I141" s="201"/>
      <c r="J141" s="201"/>
      <c r="K141" s="201"/>
      <c r="L141" s="201"/>
      <c r="M141" s="201"/>
      <c r="N141" s="201"/>
      <c r="O141" s="201"/>
      <c r="P141" s="201"/>
      <c r="Q141" s="201"/>
      <c r="R141" s="52"/>
      <c r="S141" s="52"/>
      <c r="T141" s="52"/>
      <c r="U141" s="52"/>
      <c r="V141" s="52"/>
      <c r="W141" s="52"/>
      <c r="X141" s="52"/>
      <c r="Y141" s="52"/>
      <c r="Z141" s="52"/>
      <c r="AA141" s="52"/>
      <c r="AB141" s="52"/>
      <c r="AC141" s="52"/>
      <c r="AD141" s="52"/>
    </row>
    <row r="142" spans="1:30">
      <c r="A142" s="201"/>
      <c r="B142" s="201"/>
      <c r="C142" s="201"/>
      <c r="D142" s="201"/>
      <c r="E142" s="201"/>
      <c r="F142" s="201"/>
      <c r="G142" s="201"/>
      <c r="H142" s="201"/>
      <c r="I142" s="201"/>
      <c r="J142" s="201"/>
      <c r="K142" s="201"/>
      <c r="L142" s="201"/>
      <c r="M142" s="201"/>
      <c r="N142" s="201"/>
      <c r="O142" s="201"/>
      <c r="P142" s="201"/>
      <c r="Q142" s="201"/>
      <c r="R142" s="52"/>
      <c r="S142" s="52"/>
      <c r="T142" s="52"/>
      <c r="U142" s="52"/>
      <c r="V142" s="52"/>
      <c r="W142" s="52"/>
      <c r="X142" s="52"/>
      <c r="Y142" s="52"/>
      <c r="Z142" s="52"/>
      <c r="AA142" s="52"/>
      <c r="AB142" s="52"/>
      <c r="AC142" s="52"/>
      <c r="AD142" s="52"/>
    </row>
    <row r="143" spans="1:30">
      <c r="A143" s="201"/>
      <c r="B143" s="201"/>
      <c r="C143" s="201"/>
      <c r="D143" s="201"/>
      <c r="E143" s="201"/>
      <c r="F143" s="201"/>
      <c r="G143" s="201"/>
      <c r="H143" s="201"/>
      <c r="I143" s="201"/>
      <c r="J143" s="201"/>
      <c r="K143" s="201"/>
      <c r="L143" s="201"/>
      <c r="M143" s="201"/>
      <c r="N143" s="201"/>
      <c r="O143" s="201"/>
      <c r="P143" s="201"/>
      <c r="Q143" s="201"/>
      <c r="R143" s="52"/>
      <c r="S143" s="52"/>
      <c r="T143" s="52"/>
      <c r="U143" s="52"/>
      <c r="V143" s="52"/>
      <c r="W143" s="52"/>
      <c r="X143" s="52"/>
      <c r="Y143" s="52"/>
      <c r="Z143" s="52"/>
      <c r="AA143" s="52"/>
      <c r="AB143" s="52"/>
      <c r="AC143" s="52"/>
      <c r="AD143" s="52"/>
    </row>
    <row r="144" spans="1:30">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row>
    <row r="145" spans="1:30">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row>
    <row r="146" spans="1:30">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row>
    <row r="147" spans="1:30">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row>
    <row r="148" spans="1:30">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row>
    <row r="149" spans="1:30">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row>
    <row r="150" spans="1:3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row>
    <row r="151" spans="1:30">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row>
    <row r="152" spans="1:30">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row>
    <row r="153" spans="1:30">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row>
    <row r="154" spans="1:30">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row>
    <row r="155" spans="1:30">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row>
    <row r="156" spans="1:30">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row>
    <row r="157" spans="1:30">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row>
    <row r="158" spans="1:30">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row>
    <row r="159" spans="1:30">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row>
    <row r="160" spans="1:3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row>
    <row r="161" spans="1:30">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row>
    <row r="162" spans="1:30">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row>
    <row r="163" spans="1:30">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row>
    <row r="164" spans="1:30">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row>
  </sheetData>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0549-9101-46CB-BAF0-B06A1527F8B7}">
  <dimension ref="A1:AA137"/>
  <sheetViews>
    <sheetView workbookViewId="0"/>
  </sheetViews>
  <sheetFormatPr defaultRowHeight="14"/>
  <cols>
    <col min="1" max="1" width="54.1640625" customWidth="1"/>
    <col min="2" max="2" width="14.58203125" customWidth="1"/>
    <col min="3" max="3" width="11.75" customWidth="1"/>
    <col min="4" max="4" width="27.83203125" customWidth="1"/>
    <col min="5" max="5" width="46.25" customWidth="1"/>
    <col min="6" max="6" width="28.4140625" bestFit="1" customWidth="1"/>
    <col min="8" max="8" width="14.75" customWidth="1"/>
    <col min="9" max="9" width="18.75" customWidth="1"/>
    <col min="14" max="14" width="8.1640625" customWidth="1"/>
    <col min="15" max="15" width="7.25" customWidth="1"/>
    <col min="16" max="16" width="10.58203125" customWidth="1"/>
    <col min="17" max="17" width="10.4140625" customWidth="1"/>
  </cols>
  <sheetData>
    <row r="1" spans="1:27" ht="23">
      <c r="A1" s="27" t="s">
        <v>1194</v>
      </c>
      <c r="B1" s="27"/>
      <c r="C1" s="27"/>
      <c r="D1" s="520" t="s">
        <v>2487</v>
      </c>
      <c r="E1" s="27"/>
      <c r="F1" s="27"/>
      <c r="G1" s="47"/>
      <c r="H1" s="27" t="s">
        <v>1373</v>
      </c>
      <c r="I1" s="27" t="s">
        <v>2470</v>
      </c>
      <c r="J1" s="47"/>
      <c r="K1" s="47"/>
      <c r="L1" s="47"/>
      <c r="M1" s="47"/>
      <c r="N1" s="47"/>
      <c r="O1" s="47"/>
      <c r="P1" s="47"/>
      <c r="Q1" s="201"/>
      <c r="R1" s="201"/>
      <c r="S1" s="201"/>
      <c r="T1" s="201"/>
      <c r="U1" s="201"/>
      <c r="V1" s="201"/>
      <c r="W1" s="201"/>
      <c r="X1" s="201"/>
      <c r="Y1" s="52"/>
      <c r="Z1" s="52"/>
      <c r="AA1" s="52"/>
    </row>
    <row r="2" spans="1:27">
      <c r="A2" s="27" t="s">
        <v>1195</v>
      </c>
      <c r="B2" s="27"/>
      <c r="C2" s="27"/>
      <c r="D2" s="329" t="s">
        <v>2453</v>
      </c>
      <c r="E2" s="320"/>
      <c r="F2" s="320"/>
      <c r="G2" s="47"/>
      <c r="H2" s="320" t="s">
        <v>2473</v>
      </c>
      <c r="I2" s="320" t="s">
        <v>2474</v>
      </c>
      <c r="J2" s="47"/>
      <c r="K2" s="47"/>
      <c r="L2" s="47"/>
      <c r="M2" s="47"/>
      <c r="N2" s="47"/>
      <c r="O2" s="47"/>
      <c r="P2" s="47"/>
      <c r="Q2" s="201"/>
      <c r="R2" s="201"/>
      <c r="S2" s="201"/>
      <c r="T2" s="201"/>
      <c r="U2" s="201"/>
      <c r="V2" s="201"/>
      <c r="W2" s="201"/>
      <c r="X2" s="201"/>
      <c r="Y2" s="52"/>
      <c r="Z2" s="52"/>
      <c r="AA2" s="52"/>
    </row>
    <row r="3" spans="1:27">
      <c r="A3" s="27" t="s">
        <v>1196</v>
      </c>
      <c r="B3" s="27"/>
      <c r="C3" s="47"/>
      <c r="D3" s="329" t="s">
        <v>2454</v>
      </c>
      <c r="E3" s="320"/>
      <c r="F3" s="375"/>
      <c r="G3" s="47"/>
      <c r="H3" s="320" t="s">
        <v>2475</v>
      </c>
      <c r="I3" s="320" t="s">
        <v>2476</v>
      </c>
      <c r="J3" s="47"/>
      <c r="K3" s="47"/>
      <c r="L3" s="47"/>
      <c r="M3" s="47"/>
      <c r="N3" s="47"/>
      <c r="O3" s="47"/>
      <c r="P3" s="47"/>
      <c r="Q3" s="201"/>
      <c r="R3" s="201"/>
      <c r="S3" s="201"/>
      <c r="T3" s="201"/>
      <c r="U3" s="201"/>
      <c r="V3" s="201"/>
      <c r="W3" s="201"/>
      <c r="X3" s="201"/>
      <c r="Y3" s="52"/>
      <c r="Z3" s="52"/>
      <c r="AA3" s="52"/>
    </row>
    <row r="4" spans="1:27">
      <c r="A4" s="320" t="s">
        <v>1718</v>
      </c>
      <c r="B4" s="320"/>
      <c r="C4" s="47"/>
      <c r="D4" s="201"/>
      <c r="E4" s="201"/>
      <c r="F4" s="47"/>
      <c r="G4" s="47"/>
      <c r="H4" s="320" t="s">
        <v>2477</v>
      </c>
      <c r="I4" s="320" t="s">
        <v>2478</v>
      </c>
      <c r="J4" s="47"/>
      <c r="K4" s="47"/>
      <c r="L4" s="47"/>
      <c r="M4" s="47"/>
      <c r="N4" s="47"/>
      <c r="O4" s="47"/>
      <c r="P4" s="47"/>
      <c r="Q4" s="201"/>
      <c r="R4" s="201"/>
      <c r="S4" s="201"/>
      <c r="T4" s="201"/>
      <c r="U4" s="201"/>
      <c r="V4" s="201"/>
      <c r="W4" s="201"/>
      <c r="X4" s="201"/>
      <c r="Y4" s="52"/>
      <c r="Z4" s="52"/>
      <c r="AA4" s="52"/>
    </row>
    <row r="5" spans="1:27">
      <c r="A5" s="320" t="s">
        <v>1197</v>
      </c>
      <c r="B5" s="320"/>
      <c r="C5" s="47"/>
      <c r="D5" s="27" t="s">
        <v>2455</v>
      </c>
      <c r="E5" s="47"/>
      <c r="F5" s="47"/>
      <c r="G5" s="47"/>
      <c r="H5" s="47"/>
      <c r="I5" s="47"/>
      <c r="J5" s="47"/>
      <c r="K5" s="47"/>
      <c r="L5" s="47"/>
      <c r="M5" s="47"/>
      <c r="N5" s="47"/>
      <c r="O5" s="47"/>
      <c r="P5" s="47"/>
      <c r="Q5" s="201"/>
      <c r="R5" s="201"/>
      <c r="S5" s="201"/>
      <c r="T5" s="201"/>
      <c r="U5" s="201"/>
      <c r="V5" s="201"/>
      <c r="W5" s="201"/>
      <c r="X5" s="201"/>
      <c r="Y5" s="52"/>
      <c r="Z5" s="52"/>
      <c r="AA5" s="52"/>
    </row>
    <row r="6" spans="1:27">
      <c r="A6" s="320" t="s">
        <v>1198</v>
      </c>
      <c r="B6" s="320"/>
      <c r="C6" s="47"/>
      <c r="D6" s="320" t="s">
        <v>2456</v>
      </c>
      <c r="E6" s="320"/>
      <c r="F6" s="47"/>
      <c r="G6" s="47"/>
      <c r="H6" s="47"/>
      <c r="I6" s="47"/>
      <c r="J6" s="47"/>
      <c r="K6" s="47"/>
      <c r="L6" s="47"/>
      <c r="M6" s="47"/>
      <c r="N6" s="47"/>
      <c r="O6" s="47"/>
      <c r="P6" s="47"/>
      <c r="Q6" s="201"/>
      <c r="R6" s="201"/>
      <c r="S6" s="201"/>
      <c r="T6" s="201"/>
      <c r="U6" s="201"/>
      <c r="V6" s="201"/>
      <c r="W6" s="201"/>
      <c r="X6" s="201"/>
      <c r="Y6" s="52"/>
      <c r="Z6" s="52"/>
      <c r="AA6" s="52"/>
    </row>
    <row r="7" spans="1:27">
      <c r="A7" s="320"/>
      <c r="B7" s="320"/>
      <c r="C7" s="47"/>
      <c r="D7" s="320" t="s">
        <v>2457</v>
      </c>
      <c r="E7" s="320"/>
      <c r="F7" s="47"/>
      <c r="G7" s="47"/>
      <c r="H7" s="27" t="s">
        <v>1234</v>
      </c>
      <c r="I7" s="27" t="s">
        <v>117</v>
      </c>
      <c r="J7" s="27" t="s">
        <v>2479</v>
      </c>
      <c r="K7" s="47"/>
      <c r="L7" s="47"/>
      <c r="M7" s="47"/>
      <c r="N7" s="47"/>
      <c r="O7" s="47"/>
      <c r="P7" s="47"/>
      <c r="Q7" s="201"/>
      <c r="R7" s="201"/>
      <c r="S7" s="201"/>
      <c r="T7" s="201"/>
      <c r="U7" s="201"/>
      <c r="V7" s="201"/>
      <c r="W7" s="201"/>
      <c r="X7" s="201"/>
      <c r="Y7" s="52"/>
      <c r="Z7" s="52"/>
      <c r="AA7" s="52"/>
    </row>
    <row r="8" spans="1:27">
      <c r="A8" s="320"/>
      <c r="B8" s="320"/>
      <c r="C8" s="47"/>
      <c r="D8" s="320" t="s">
        <v>2458</v>
      </c>
      <c r="E8" s="320"/>
      <c r="F8" s="47"/>
      <c r="G8" s="47"/>
      <c r="H8" s="320" t="s">
        <v>2467</v>
      </c>
      <c r="I8" s="320" t="s">
        <v>2480</v>
      </c>
      <c r="J8" s="320" t="s">
        <v>2481</v>
      </c>
      <c r="K8" s="320"/>
      <c r="L8" s="47"/>
      <c r="M8" s="47"/>
      <c r="N8" s="47"/>
      <c r="O8" s="47"/>
      <c r="P8" s="47"/>
      <c r="Q8" s="201"/>
      <c r="R8" s="201"/>
      <c r="S8" s="201"/>
      <c r="T8" s="201"/>
      <c r="U8" s="201"/>
      <c r="V8" s="201"/>
      <c r="W8" s="201"/>
      <c r="X8" s="201"/>
      <c r="Y8" s="52"/>
      <c r="Z8" s="52"/>
      <c r="AA8" s="52"/>
    </row>
    <row r="9" spans="1:27">
      <c r="A9" s="47"/>
      <c r="B9" s="47"/>
      <c r="C9" s="47"/>
      <c r="D9" s="320" t="s">
        <v>2459</v>
      </c>
      <c r="E9" s="320"/>
      <c r="F9" s="47"/>
      <c r="G9" s="47"/>
      <c r="H9" s="320" t="s">
        <v>191</v>
      </c>
      <c r="I9" s="320" t="s">
        <v>2482</v>
      </c>
      <c r="J9" s="320" t="s">
        <v>2483</v>
      </c>
      <c r="K9" s="320"/>
      <c r="L9" s="47"/>
      <c r="M9" s="47"/>
      <c r="N9" s="47"/>
      <c r="O9" s="47"/>
      <c r="P9" s="47"/>
      <c r="Q9" s="201"/>
      <c r="R9" s="201"/>
      <c r="S9" s="201"/>
      <c r="T9" s="201"/>
      <c r="U9" s="201"/>
      <c r="V9" s="201"/>
      <c r="W9" s="201"/>
      <c r="X9" s="201"/>
      <c r="Y9" s="52"/>
      <c r="Z9" s="52"/>
      <c r="AA9" s="52"/>
    </row>
    <row r="10" spans="1:27">
      <c r="A10" s="27" t="s">
        <v>1199</v>
      </c>
      <c r="B10" s="27"/>
      <c r="C10" s="47"/>
      <c r="D10" s="201"/>
      <c r="E10" s="201"/>
      <c r="F10" s="47"/>
      <c r="G10" s="47"/>
      <c r="H10" s="320" t="s">
        <v>1599</v>
      </c>
      <c r="I10" s="320" t="s">
        <v>2480</v>
      </c>
      <c r="J10" s="320" t="s">
        <v>2484</v>
      </c>
      <c r="K10" s="320"/>
      <c r="L10" s="47"/>
      <c r="M10" s="47"/>
      <c r="N10" s="47"/>
      <c r="O10" s="47"/>
      <c r="P10" s="47"/>
      <c r="Q10" s="201"/>
      <c r="R10" s="201"/>
      <c r="S10" s="201"/>
      <c r="T10" s="201"/>
      <c r="U10" s="201"/>
      <c r="V10" s="201"/>
      <c r="W10" s="201"/>
      <c r="X10" s="201"/>
      <c r="Y10" s="52"/>
      <c r="Z10" s="52"/>
      <c r="AA10" s="52"/>
    </row>
    <row r="11" spans="1:27">
      <c r="A11" s="320" t="s">
        <v>1200</v>
      </c>
      <c r="B11" s="320"/>
      <c r="C11" s="47"/>
      <c r="D11" s="320" t="s">
        <v>2460</v>
      </c>
      <c r="E11" s="320"/>
      <c r="F11" s="320"/>
      <c r="G11" s="47"/>
      <c r="H11" s="320" t="s">
        <v>937</v>
      </c>
      <c r="I11" s="320" t="s">
        <v>2480</v>
      </c>
      <c r="J11" s="320" t="s">
        <v>2485</v>
      </c>
      <c r="K11" s="320"/>
      <c r="L11" s="47"/>
      <c r="M11" s="47"/>
      <c r="N11" s="47"/>
      <c r="O11" s="47"/>
      <c r="P11" s="47"/>
      <c r="Q11" s="201"/>
      <c r="R11" s="201"/>
      <c r="S11" s="201"/>
      <c r="T11" s="201"/>
      <c r="U11" s="201"/>
      <c r="V11" s="201"/>
      <c r="W11" s="201"/>
      <c r="X11" s="201"/>
      <c r="Y11" s="52"/>
      <c r="Z11" s="52"/>
      <c r="AA11" s="52"/>
    </row>
    <row r="12" spans="1:27">
      <c r="A12" s="320" t="s">
        <v>1201</v>
      </c>
      <c r="B12" s="320"/>
      <c r="C12" s="47"/>
      <c r="D12" s="47"/>
      <c r="E12" s="47"/>
      <c r="F12" s="47"/>
      <c r="G12" s="47"/>
      <c r="H12" s="47"/>
      <c r="I12" s="47"/>
      <c r="J12" s="47"/>
      <c r="K12" s="47"/>
      <c r="L12" s="47"/>
      <c r="M12" s="47"/>
      <c r="N12" s="47"/>
      <c r="O12" s="47"/>
      <c r="P12" s="47"/>
      <c r="Q12" s="201"/>
      <c r="R12" s="201"/>
      <c r="S12" s="201"/>
      <c r="T12" s="201"/>
      <c r="U12" s="201"/>
      <c r="V12" s="201"/>
      <c r="W12" s="201"/>
      <c r="X12" s="201"/>
      <c r="Y12" s="52"/>
      <c r="Z12" s="52"/>
      <c r="AA12" s="52"/>
    </row>
    <row r="13" spans="1:27">
      <c r="A13" s="320" t="s">
        <v>1202</v>
      </c>
      <c r="B13" s="320"/>
      <c r="C13" s="47"/>
      <c r="D13" s="27" t="s">
        <v>2462</v>
      </c>
      <c r="E13" s="27"/>
      <c r="F13" s="47"/>
      <c r="G13" s="47"/>
      <c r="H13" s="63" t="s">
        <v>2486</v>
      </c>
      <c r="I13" s="63"/>
      <c r="J13" s="63"/>
      <c r="K13" s="63"/>
      <c r="L13" s="63"/>
      <c r="M13" s="63"/>
      <c r="N13" s="63"/>
      <c r="O13" s="63"/>
      <c r="P13" s="63"/>
      <c r="Q13" s="390"/>
      <c r="R13" s="390"/>
      <c r="S13" s="390"/>
      <c r="T13" s="390"/>
      <c r="U13" s="390"/>
      <c r="V13" s="390"/>
      <c r="W13" s="390"/>
      <c r="X13" s="201"/>
      <c r="Y13" s="52"/>
      <c r="Z13" s="52"/>
      <c r="AA13" s="52"/>
    </row>
    <row r="14" spans="1:27">
      <c r="A14" s="47"/>
      <c r="B14" s="47"/>
      <c r="C14" s="47"/>
      <c r="D14" s="320" t="s">
        <v>2463</v>
      </c>
      <c r="E14" s="320"/>
      <c r="F14" s="47"/>
      <c r="G14" s="47"/>
      <c r="H14" s="47"/>
      <c r="I14" s="47"/>
      <c r="J14" s="47"/>
      <c r="K14" s="47"/>
      <c r="L14" s="47"/>
      <c r="M14" s="47"/>
      <c r="N14" s="47"/>
      <c r="O14" s="47"/>
      <c r="P14" s="47"/>
      <c r="Q14" s="201"/>
      <c r="R14" s="201"/>
      <c r="S14" s="201"/>
      <c r="T14" s="201"/>
      <c r="U14" s="201"/>
      <c r="V14" s="201"/>
      <c r="W14" s="201"/>
      <c r="X14" s="201"/>
      <c r="Y14" s="52"/>
      <c r="Z14" s="52"/>
      <c r="AA14" s="52"/>
    </row>
    <row r="15" spans="1:27">
      <c r="A15" s="27" t="s">
        <v>1203</v>
      </c>
      <c r="B15" s="27"/>
      <c r="C15" s="47"/>
      <c r="D15" s="320" t="s">
        <v>2464</v>
      </c>
      <c r="E15" s="320"/>
      <c r="F15" s="47"/>
      <c r="G15" s="47"/>
      <c r="H15" s="47"/>
      <c r="I15" s="47"/>
      <c r="J15" s="47"/>
      <c r="K15" s="47"/>
      <c r="L15" s="47"/>
      <c r="M15" s="47"/>
      <c r="N15" s="47"/>
      <c r="O15" s="47"/>
      <c r="P15" s="47"/>
      <c r="Q15" s="201"/>
      <c r="R15" s="201"/>
      <c r="S15" s="201"/>
      <c r="T15" s="201"/>
      <c r="U15" s="201"/>
      <c r="V15" s="201"/>
      <c r="W15" s="201"/>
      <c r="X15" s="201"/>
      <c r="Y15" s="52"/>
      <c r="Z15" s="52"/>
      <c r="AA15" s="52"/>
    </row>
    <row r="16" spans="1:27">
      <c r="A16" s="320" t="s">
        <v>1204</v>
      </c>
      <c r="B16" s="320"/>
      <c r="C16" s="47"/>
      <c r="D16" s="320" t="s">
        <v>2465</v>
      </c>
      <c r="E16" s="320"/>
      <c r="F16" s="47"/>
      <c r="G16" s="47"/>
      <c r="H16" s="47"/>
      <c r="I16" s="47"/>
      <c r="J16" s="47"/>
      <c r="K16" s="47"/>
      <c r="L16" s="47"/>
      <c r="M16" s="47"/>
      <c r="N16" s="47"/>
      <c r="O16" s="47"/>
      <c r="P16" s="47"/>
      <c r="Q16" s="201"/>
      <c r="R16" s="201"/>
      <c r="S16" s="201"/>
      <c r="T16" s="201"/>
      <c r="U16" s="201"/>
      <c r="V16" s="201"/>
      <c r="W16" s="201"/>
      <c r="X16" s="201"/>
      <c r="Y16" s="52"/>
      <c r="Z16" s="52"/>
      <c r="AA16" s="52"/>
    </row>
    <row r="17" spans="1:27">
      <c r="A17" s="320" t="s">
        <v>1205</v>
      </c>
      <c r="B17" s="320"/>
      <c r="C17" s="47"/>
      <c r="D17" s="201"/>
      <c r="E17" s="201"/>
      <c r="F17" s="47"/>
      <c r="G17" s="47"/>
      <c r="H17" s="47"/>
      <c r="I17" s="47"/>
      <c r="J17" s="47"/>
      <c r="K17" s="47"/>
      <c r="L17" s="47"/>
      <c r="M17" s="47"/>
      <c r="N17" s="47"/>
      <c r="O17" s="47"/>
      <c r="P17" s="47"/>
      <c r="Q17" s="201"/>
      <c r="R17" s="201"/>
      <c r="S17" s="201"/>
      <c r="T17" s="201"/>
      <c r="U17" s="201"/>
      <c r="V17" s="201"/>
      <c r="W17" s="201"/>
      <c r="X17" s="201"/>
      <c r="Y17" s="52"/>
      <c r="Z17" s="52"/>
      <c r="AA17" s="52"/>
    </row>
    <row r="18" spans="1:27">
      <c r="A18" s="320" t="s">
        <v>1206</v>
      </c>
      <c r="B18" s="320"/>
      <c r="C18" s="47"/>
      <c r="D18" s="63" t="s">
        <v>2467</v>
      </c>
      <c r="E18" s="47"/>
      <c r="F18" s="47"/>
      <c r="G18" s="47"/>
      <c r="H18" s="47"/>
      <c r="I18" s="47"/>
      <c r="J18" s="47"/>
      <c r="K18" s="47"/>
      <c r="L18" s="47"/>
      <c r="M18" s="47"/>
      <c r="N18" s="47"/>
      <c r="O18" s="47"/>
      <c r="P18" s="47"/>
      <c r="Q18" s="201"/>
      <c r="R18" s="201"/>
      <c r="S18" s="201"/>
      <c r="T18" s="201"/>
      <c r="U18" s="201"/>
      <c r="V18" s="201"/>
      <c r="W18" s="201"/>
      <c r="X18" s="201"/>
      <c r="Y18" s="52"/>
      <c r="Z18" s="52"/>
      <c r="AA18" s="52"/>
    </row>
    <row r="19" spans="1:27">
      <c r="A19" s="47"/>
      <c r="B19" s="47"/>
      <c r="C19" s="47"/>
      <c r="D19" s="63" t="s">
        <v>191</v>
      </c>
      <c r="E19" s="47"/>
      <c r="F19" s="47"/>
      <c r="G19" s="47"/>
      <c r="H19" s="47"/>
      <c r="I19" s="47"/>
      <c r="J19" s="47"/>
      <c r="K19" s="47"/>
      <c r="L19" s="47"/>
      <c r="M19" s="47"/>
      <c r="N19" s="47"/>
      <c r="O19" s="47"/>
      <c r="P19" s="47"/>
      <c r="Q19" s="201"/>
      <c r="R19" s="201"/>
      <c r="S19" s="201"/>
      <c r="T19" s="201"/>
      <c r="U19" s="201"/>
      <c r="V19" s="201"/>
      <c r="W19" s="201"/>
      <c r="X19" s="201"/>
      <c r="Y19" s="52"/>
      <c r="Z19" s="52"/>
      <c r="AA19" s="52"/>
    </row>
    <row r="20" spans="1:27">
      <c r="A20" s="27" t="s">
        <v>1207</v>
      </c>
      <c r="B20" s="27"/>
      <c r="C20" s="47"/>
      <c r="D20" s="63" t="s">
        <v>2468</v>
      </c>
      <c r="E20" s="47"/>
      <c r="F20" s="47"/>
      <c r="G20" s="47"/>
      <c r="H20" s="47"/>
      <c r="I20" s="47"/>
      <c r="J20" s="47"/>
      <c r="K20" s="47"/>
      <c r="L20" s="47"/>
      <c r="M20" s="47"/>
      <c r="N20" s="47"/>
      <c r="O20" s="47"/>
      <c r="P20" s="47"/>
      <c r="Q20" s="201"/>
      <c r="R20" s="201"/>
      <c r="S20" s="201"/>
      <c r="T20" s="201"/>
      <c r="U20" s="201"/>
      <c r="V20" s="201"/>
      <c r="W20" s="201"/>
      <c r="X20" s="201"/>
      <c r="Y20" s="52"/>
      <c r="Z20" s="52"/>
      <c r="AA20" s="52"/>
    </row>
    <row r="21" spans="1:27">
      <c r="A21" s="320" t="s">
        <v>1208</v>
      </c>
      <c r="B21" s="320"/>
      <c r="C21" s="47"/>
      <c r="D21" s="63" t="s">
        <v>2469</v>
      </c>
      <c r="E21" s="47"/>
      <c r="F21" s="47"/>
      <c r="G21" s="47"/>
      <c r="H21" s="47"/>
      <c r="I21" s="47"/>
      <c r="J21" s="47"/>
      <c r="K21" s="47"/>
      <c r="L21" s="47"/>
      <c r="M21" s="47"/>
      <c r="N21" s="47"/>
      <c r="O21" s="47"/>
      <c r="P21" s="47"/>
      <c r="Q21" s="201"/>
      <c r="R21" s="201"/>
      <c r="S21" s="201"/>
      <c r="T21" s="201"/>
      <c r="U21" s="201"/>
      <c r="V21" s="201"/>
      <c r="W21" s="201"/>
      <c r="X21" s="201"/>
      <c r="Y21" s="52"/>
      <c r="Z21" s="52"/>
      <c r="AA21" s="52"/>
    </row>
    <row r="22" spans="1:27">
      <c r="A22" s="320" t="s">
        <v>1209</v>
      </c>
      <c r="B22" s="320"/>
      <c r="C22" s="47"/>
      <c r="D22" s="47"/>
      <c r="E22" s="47"/>
      <c r="F22" s="47"/>
      <c r="G22" s="47"/>
      <c r="H22" s="47"/>
      <c r="I22" s="47"/>
      <c r="J22" s="47"/>
      <c r="K22" s="47"/>
      <c r="L22" s="47"/>
      <c r="M22" s="47"/>
      <c r="N22" s="47"/>
      <c r="O22" s="47"/>
      <c r="P22" s="47"/>
      <c r="Q22" s="201"/>
      <c r="R22" s="201"/>
      <c r="S22" s="201"/>
      <c r="T22" s="201"/>
      <c r="U22" s="201"/>
      <c r="V22" s="201"/>
      <c r="W22" s="201"/>
      <c r="X22" s="201"/>
      <c r="Y22" s="52"/>
      <c r="Z22" s="52"/>
      <c r="AA22" s="52"/>
    </row>
    <row r="23" spans="1:27">
      <c r="A23" s="320" t="s">
        <v>1717</v>
      </c>
      <c r="B23" s="320"/>
      <c r="C23" s="47"/>
      <c r="D23" s="27" t="s">
        <v>1266</v>
      </c>
      <c r="E23" s="27" t="s">
        <v>143</v>
      </c>
      <c r="F23" s="27" t="s">
        <v>1252</v>
      </c>
      <c r="G23" s="27" t="s">
        <v>198</v>
      </c>
      <c r="H23" s="27" t="s">
        <v>2470</v>
      </c>
      <c r="I23" s="47"/>
      <c r="J23" s="47"/>
      <c r="K23" s="47"/>
      <c r="L23" s="47"/>
      <c r="M23" s="47"/>
      <c r="N23" s="47"/>
      <c r="O23" s="47"/>
      <c r="P23" s="47"/>
      <c r="Q23" s="201"/>
      <c r="R23" s="201"/>
      <c r="S23" s="201"/>
      <c r="T23" s="201"/>
      <c r="U23" s="201"/>
      <c r="V23" s="201"/>
      <c r="W23" s="201"/>
      <c r="X23" s="201"/>
      <c r="Y23" s="52"/>
      <c r="Z23" s="52"/>
      <c r="AA23" s="52"/>
    </row>
    <row r="24" spans="1:27">
      <c r="A24" s="47"/>
      <c r="B24" s="47"/>
      <c r="C24" s="47"/>
      <c r="D24" s="320" t="s">
        <v>950</v>
      </c>
      <c r="E24" s="330">
        <v>0.12</v>
      </c>
      <c r="F24" s="320" t="s">
        <v>1000</v>
      </c>
      <c r="G24" s="320" t="s">
        <v>999</v>
      </c>
      <c r="H24" s="320" t="s">
        <v>981</v>
      </c>
      <c r="I24" s="320"/>
      <c r="J24" s="47"/>
      <c r="K24" s="47"/>
      <c r="L24" s="47"/>
      <c r="M24" s="47"/>
      <c r="N24" s="47"/>
      <c r="O24" s="47"/>
      <c r="P24" s="47"/>
      <c r="Q24" s="201"/>
      <c r="R24" s="201"/>
      <c r="S24" s="201"/>
      <c r="T24" s="201"/>
      <c r="U24" s="201"/>
      <c r="V24" s="201"/>
      <c r="W24" s="201"/>
      <c r="X24" s="201"/>
      <c r="Y24" s="52"/>
      <c r="Z24" s="52"/>
      <c r="AA24" s="52"/>
    </row>
    <row r="25" spans="1:27">
      <c r="A25" s="27" t="s">
        <v>1210</v>
      </c>
      <c r="B25" s="27"/>
      <c r="C25" s="47"/>
      <c r="D25" s="320" t="s">
        <v>952</v>
      </c>
      <c r="E25" s="330">
        <v>0.1</v>
      </c>
      <c r="F25" s="320" t="s">
        <v>467</v>
      </c>
      <c r="G25" s="320" t="s">
        <v>467</v>
      </c>
      <c r="H25" s="320" t="s">
        <v>1793</v>
      </c>
      <c r="I25" s="320"/>
      <c r="J25" s="47"/>
      <c r="K25" s="47"/>
      <c r="L25" s="47"/>
      <c r="M25" s="47"/>
      <c r="N25" s="47"/>
      <c r="O25" s="47"/>
      <c r="P25" s="47"/>
      <c r="Q25" s="201"/>
      <c r="R25" s="201"/>
      <c r="S25" s="201"/>
      <c r="T25" s="201"/>
      <c r="U25" s="201"/>
      <c r="V25" s="201"/>
      <c r="W25" s="201"/>
      <c r="X25" s="201"/>
      <c r="Y25" s="52"/>
      <c r="Z25" s="52"/>
      <c r="AA25" s="52"/>
    </row>
    <row r="26" spans="1:27">
      <c r="A26" s="320" t="s">
        <v>1211</v>
      </c>
      <c r="B26" s="320"/>
      <c r="C26" s="47"/>
      <c r="D26" s="320" t="s">
        <v>954</v>
      </c>
      <c r="E26" s="330">
        <v>7.0000000000000007E-2</v>
      </c>
      <c r="F26" s="320" t="s">
        <v>1145</v>
      </c>
      <c r="G26" s="320" t="s">
        <v>2471</v>
      </c>
      <c r="H26" s="320" t="s">
        <v>2472</v>
      </c>
      <c r="I26" s="320"/>
      <c r="J26" s="47"/>
      <c r="K26" s="47"/>
      <c r="L26" s="47"/>
      <c r="M26" s="47"/>
      <c r="N26" s="47"/>
      <c r="O26" s="47"/>
      <c r="P26" s="47"/>
      <c r="Q26" s="201"/>
      <c r="R26" s="201"/>
      <c r="S26" s="201"/>
      <c r="T26" s="201"/>
      <c r="U26" s="201"/>
      <c r="V26" s="201"/>
      <c r="W26" s="201"/>
      <c r="X26" s="201"/>
      <c r="Y26" s="52"/>
      <c r="Z26" s="52"/>
      <c r="AA26" s="52"/>
    </row>
    <row r="27" spans="1:27">
      <c r="A27" s="320" t="s">
        <v>2439</v>
      </c>
      <c r="B27" s="320"/>
      <c r="C27" s="47"/>
      <c r="D27" s="47"/>
      <c r="E27" s="47"/>
      <c r="F27" s="47"/>
      <c r="G27" s="47"/>
      <c r="H27" s="47"/>
      <c r="I27" s="47"/>
      <c r="J27" s="47"/>
      <c r="K27" s="47"/>
      <c r="L27" s="47"/>
      <c r="M27" s="47"/>
      <c r="N27" s="47"/>
      <c r="O27" s="47"/>
      <c r="P27" s="47"/>
      <c r="Q27" s="201"/>
      <c r="R27" s="201"/>
      <c r="S27" s="201"/>
      <c r="T27" s="201"/>
      <c r="U27" s="201"/>
      <c r="V27" s="201"/>
      <c r="W27" s="201"/>
      <c r="X27" s="201"/>
      <c r="Y27" s="52"/>
      <c r="Z27" s="52"/>
      <c r="AA27" s="52"/>
    </row>
    <row r="28" spans="1:27">
      <c r="A28" s="47"/>
      <c r="B28" s="47"/>
      <c r="C28" s="47"/>
      <c r="D28" s="201"/>
      <c r="E28" s="201"/>
      <c r="F28" s="201"/>
      <c r="G28" s="47"/>
      <c r="H28" s="47"/>
      <c r="I28" s="47"/>
      <c r="J28" s="47"/>
      <c r="K28" s="47"/>
      <c r="L28" s="47"/>
      <c r="M28" s="47"/>
      <c r="N28" s="47"/>
      <c r="O28" s="47"/>
      <c r="P28" s="47"/>
      <c r="Q28" s="201"/>
      <c r="R28" s="201"/>
      <c r="S28" s="201"/>
      <c r="T28" s="201"/>
      <c r="U28" s="201"/>
      <c r="V28" s="201"/>
      <c r="W28" s="201"/>
      <c r="X28" s="201"/>
      <c r="Y28" s="52"/>
      <c r="Z28" s="52"/>
      <c r="AA28" s="52"/>
    </row>
    <row r="29" spans="1:27" ht="18" customHeight="1">
      <c r="A29" s="27" t="s">
        <v>1839</v>
      </c>
      <c r="B29" s="27"/>
      <c r="C29" s="201"/>
      <c r="D29" s="201"/>
      <c r="E29" s="201"/>
      <c r="F29" s="201"/>
      <c r="G29" s="47"/>
      <c r="H29" s="47"/>
      <c r="I29" s="47"/>
      <c r="J29" s="47"/>
      <c r="K29" s="47"/>
      <c r="L29" s="47"/>
      <c r="M29" s="47"/>
      <c r="N29" s="47"/>
      <c r="O29" s="47"/>
      <c r="P29" s="47"/>
      <c r="Q29" s="201"/>
      <c r="R29" s="201"/>
      <c r="S29" s="201"/>
      <c r="T29" s="201"/>
      <c r="U29" s="201"/>
      <c r="V29" s="201"/>
      <c r="W29" s="201"/>
      <c r="X29" s="201"/>
      <c r="Y29" s="52"/>
      <c r="Z29" s="52"/>
      <c r="AA29" s="52"/>
    </row>
    <row r="30" spans="1:27">
      <c r="A30" s="27" t="s">
        <v>1212</v>
      </c>
      <c r="B30" s="27" t="s">
        <v>1213</v>
      </c>
      <c r="C30" s="27" t="s">
        <v>1214</v>
      </c>
      <c r="D30" s="27" t="s">
        <v>1215</v>
      </c>
      <c r="E30" s="27" t="s">
        <v>1263</v>
      </c>
      <c r="F30" s="27" t="s">
        <v>1366</v>
      </c>
      <c r="G30" s="47"/>
      <c r="H30" s="47"/>
      <c r="I30" s="47"/>
      <c r="J30" s="47"/>
      <c r="K30" s="47"/>
      <c r="L30" s="47"/>
      <c r="M30" s="47"/>
      <c r="N30" s="47"/>
      <c r="O30" s="47"/>
      <c r="P30" s="47"/>
      <c r="Q30" s="201"/>
      <c r="R30" s="201"/>
      <c r="S30" s="201"/>
      <c r="T30" s="201"/>
      <c r="U30" s="201"/>
      <c r="V30" s="201"/>
      <c r="W30" s="201"/>
      <c r="X30" s="201"/>
      <c r="Y30" s="52"/>
      <c r="Z30" s="52"/>
      <c r="AA30" s="52"/>
    </row>
    <row r="31" spans="1:27">
      <c r="A31" s="320" t="s">
        <v>1216</v>
      </c>
      <c r="B31" s="46" t="s">
        <v>1217</v>
      </c>
      <c r="C31" s="46" t="s">
        <v>1000</v>
      </c>
      <c r="D31" s="46" t="s">
        <v>1000</v>
      </c>
      <c r="E31" s="27" t="s">
        <v>1724</v>
      </c>
      <c r="F31" s="27" t="s">
        <v>1725</v>
      </c>
      <c r="G31" s="47"/>
      <c r="H31" s="47"/>
      <c r="I31" s="47"/>
      <c r="J31" s="47"/>
      <c r="K31" s="47"/>
      <c r="L31" s="47"/>
      <c r="M31" s="47"/>
      <c r="N31" s="47"/>
      <c r="O31" s="47"/>
      <c r="P31" s="47"/>
      <c r="Q31" s="201"/>
      <c r="R31" s="201"/>
      <c r="S31" s="201"/>
      <c r="T31" s="201"/>
      <c r="U31" s="201"/>
      <c r="V31" s="201"/>
      <c r="W31" s="201"/>
      <c r="X31" s="201"/>
      <c r="Y31" s="52"/>
      <c r="Z31" s="52"/>
      <c r="AA31" s="52"/>
    </row>
    <row r="32" spans="1:27">
      <c r="A32" s="320" t="s">
        <v>1218</v>
      </c>
      <c r="B32" s="46" t="s">
        <v>1000</v>
      </c>
      <c r="C32" s="46" t="s">
        <v>1217</v>
      </c>
      <c r="D32" s="46" t="s">
        <v>1000</v>
      </c>
      <c r="E32" s="27" t="s">
        <v>1726</v>
      </c>
      <c r="F32" s="27" t="s">
        <v>1727</v>
      </c>
      <c r="G32" s="47"/>
      <c r="H32" s="47"/>
      <c r="I32" s="47"/>
      <c r="J32" s="47"/>
      <c r="K32" s="47"/>
      <c r="L32" s="47"/>
      <c r="M32" s="47"/>
      <c r="N32" s="47"/>
      <c r="O32" s="47"/>
      <c r="P32" s="47"/>
      <c r="Q32" s="261"/>
      <c r="R32" s="261"/>
      <c r="S32" s="261"/>
      <c r="T32" s="261"/>
      <c r="U32" s="261"/>
      <c r="V32" s="261"/>
      <c r="W32" s="261"/>
      <c r="X32" s="261"/>
      <c r="Y32" s="51"/>
      <c r="Z32" s="52"/>
      <c r="AA32" s="52"/>
    </row>
    <row r="33" spans="1:27">
      <c r="A33" s="320" t="s">
        <v>1448</v>
      </c>
      <c r="B33" s="46" t="s">
        <v>1217</v>
      </c>
      <c r="C33" s="46" t="s">
        <v>1217</v>
      </c>
      <c r="D33" s="46" t="s">
        <v>1217</v>
      </c>
      <c r="E33" s="27" t="s">
        <v>1728</v>
      </c>
      <c r="F33" s="27" t="s">
        <v>1729</v>
      </c>
      <c r="G33" s="47"/>
      <c r="H33" s="47"/>
      <c r="I33" s="47"/>
      <c r="J33" s="47"/>
      <c r="K33" s="47"/>
      <c r="L33" s="47"/>
      <c r="M33" s="47"/>
      <c r="N33" s="47"/>
      <c r="O33" s="47"/>
      <c r="P33" s="47"/>
      <c r="Q33" s="261"/>
      <c r="R33" s="261"/>
      <c r="S33" s="261"/>
      <c r="T33" s="261"/>
      <c r="U33" s="261"/>
      <c r="V33" s="261"/>
      <c r="W33" s="261"/>
      <c r="X33" s="261"/>
      <c r="Y33" s="51"/>
      <c r="Z33" s="52"/>
      <c r="AA33" s="52"/>
    </row>
    <row r="34" spans="1:27">
      <c r="A34" s="47"/>
      <c r="B34" s="47"/>
      <c r="C34" s="47"/>
      <c r="D34" s="47"/>
      <c r="E34" s="47"/>
      <c r="F34" s="47"/>
      <c r="G34" s="47"/>
      <c r="H34" s="47"/>
      <c r="I34" s="47"/>
      <c r="J34" s="47"/>
      <c r="K34" s="47"/>
      <c r="L34" s="47"/>
      <c r="M34" s="47"/>
      <c r="N34" s="47"/>
      <c r="O34" s="47"/>
      <c r="P34" s="47"/>
      <c r="Q34" s="261"/>
      <c r="R34" s="261"/>
      <c r="S34" s="261"/>
      <c r="T34" s="261"/>
      <c r="U34" s="261"/>
      <c r="V34" s="261"/>
      <c r="W34" s="261"/>
      <c r="X34" s="261"/>
      <c r="Y34" s="51"/>
      <c r="Z34" s="52"/>
      <c r="AA34" s="52"/>
    </row>
    <row r="35" spans="1:27">
      <c r="A35" s="165" t="s">
        <v>1719</v>
      </c>
      <c r="B35" s="47"/>
      <c r="C35" s="201"/>
      <c r="D35" s="47"/>
      <c r="E35" s="47"/>
      <c r="F35" s="47"/>
      <c r="G35" s="47"/>
      <c r="H35" s="47"/>
      <c r="I35" s="47"/>
      <c r="J35" s="47"/>
      <c r="K35" s="47"/>
      <c r="L35" s="47"/>
      <c r="M35" s="47"/>
      <c r="N35" s="47"/>
      <c r="O35" s="47"/>
      <c r="P35" s="47"/>
      <c r="Q35" s="261"/>
      <c r="R35" s="261"/>
      <c r="S35" s="261"/>
      <c r="T35" s="261"/>
      <c r="U35" s="261"/>
      <c r="V35" s="261"/>
      <c r="W35" s="261"/>
      <c r="X35" s="261"/>
      <c r="Y35" s="51"/>
      <c r="Z35" s="52"/>
      <c r="AA35" s="52"/>
    </row>
    <row r="36" spans="1:27">
      <c r="A36" s="320" t="s">
        <v>1720</v>
      </c>
      <c r="B36" s="320"/>
      <c r="C36" s="320"/>
      <c r="D36" s="47"/>
      <c r="E36" s="47"/>
      <c r="F36" s="47"/>
      <c r="G36" s="47"/>
      <c r="H36" s="47"/>
      <c r="I36" s="47"/>
      <c r="J36" s="47"/>
      <c r="K36" s="47"/>
      <c r="L36" s="47"/>
      <c r="M36" s="47"/>
      <c r="N36" s="47"/>
      <c r="O36" s="47"/>
      <c r="P36" s="47"/>
      <c r="Q36" s="261"/>
      <c r="R36" s="261"/>
      <c r="S36" s="261"/>
      <c r="T36" s="261"/>
      <c r="U36" s="261"/>
      <c r="V36" s="261"/>
      <c r="W36" s="261"/>
      <c r="X36" s="261"/>
      <c r="Y36" s="51"/>
      <c r="Z36" s="52"/>
      <c r="AA36" s="52"/>
    </row>
    <row r="37" spans="1:27">
      <c r="A37" s="320" t="s">
        <v>1721</v>
      </c>
      <c r="B37" s="320"/>
      <c r="C37" s="320"/>
      <c r="D37" s="47"/>
      <c r="E37" s="47"/>
      <c r="F37" s="47"/>
      <c r="G37" s="47"/>
      <c r="H37" s="47"/>
      <c r="I37" s="47"/>
      <c r="J37" s="47"/>
      <c r="K37" s="47"/>
      <c r="L37" s="47"/>
      <c r="M37" s="47"/>
      <c r="N37" s="47"/>
      <c r="O37" s="47"/>
      <c r="P37" s="47"/>
      <c r="Q37" s="261"/>
      <c r="R37" s="261"/>
      <c r="S37" s="261"/>
      <c r="T37" s="261"/>
      <c r="U37" s="261"/>
      <c r="V37" s="261"/>
      <c r="W37" s="261"/>
      <c r="X37" s="261"/>
      <c r="Y37" s="51"/>
      <c r="Z37" s="52"/>
      <c r="AA37" s="52"/>
    </row>
    <row r="38" spans="1:27">
      <c r="A38" s="320" t="s">
        <v>1722</v>
      </c>
      <c r="B38" s="320"/>
      <c r="C38" s="320"/>
      <c r="D38" s="27"/>
      <c r="E38" s="27"/>
      <c r="F38" s="27"/>
      <c r="G38" s="47"/>
      <c r="H38" s="47"/>
      <c r="I38" s="47"/>
      <c r="J38" s="47"/>
      <c r="K38" s="47"/>
      <c r="L38" s="47"/>
      <c r="M38" s="47"/>
      <c r="N38" s="47"/>
      <c r="O38" s="47"/>
      <c r="P38" s="47"/>
      <c r="Q38" s="261"/>
      <c r="R38" s="261"/>
      <c r="S38" s="261"/>
      <c r="T38" s="261"/>
      <c r="U38" s="261"/>
      <c r="V38" s="261"/>
      <c r="W38" s="261"/>
      <c r="X38" s="261"/>
      <c r="Y38" s="51"/>
      <c r="Z38" s="52"/>
      <c r="AA38" s="52"/>
    </row>
    <row r="39" spans="1:27">
      <c r="A39" s="47"/>
      <c r="B39" s="47"/>
      <c r="C39" s="27"/>
      <c r="D39" s="201"/>
      <c r="E39" s="201"/>
      <c r="F39" s="201"/>
      <c r="G39" s="201"/>
      <c r="H39" s="201"/>
      <c r="I39" s="201"/>
      <c r="J39" s="201"/>
      <c r="K39" s="201"/>
      <c r="L39" s="201"/>
      <c r="M39" s="201"/>
      <c r="N39" s="201"/>
      <c r="O39" s="47"/>
      <c r="P39" s="47"/>
      <c r="Q39" s="261"/>
      <c r="R39" s="261"/>
      <c r="S39" s="261"/>
      <c r="T39" s="261"/>
      <c r="U39" s="261"/>
      <c r="V39" s="261"/>
      <c r="W39" s="261"/>
      <c r="X39" s="261"/>
      <c r="Y39" s="51"/>
      <c r="Z39" s="52"/>
      <c r="AA39" s="52"/>
    </row>
    <row r="40" spans="1:27">
      <c r="A40" s="27" t="s">
        <v>1723</v>
      </c>
      <c r="B40" s="27"/>
      <c r="C40" s="201"/>
      <c r="D40" s="47"/>
      <c r="E40" s="47"/>
      <c r="F40" s="47"/>
      <c r="G40" s="47"/>
      <c r="H40" s="47"/>
      <c r="I40" s="47"/>
      <c r="J40" s="47"/>
      <c r="K40" s="47"/>
      <c r="L40" s="47"/>
      <c r="M40" s="47"/>
      <c r="N40" s="47"/>
      <c r="O40" s="47"/>
      <c r="P40" s="47"/>
      <c r="Q40" s="261"/>
      <c r="R40" s="261"/>
      <c r="S40" s="261"/>
      <c r="T40" s="261"/>
      <c r="U40" s="261"/>
      <c r="V40" s="261"/>
      <c r="W40" s="261"/>
      <c r="X40" s="261"/>
      <c r="Y40" s="51"/>
      <c r="Z40" s="52"/>
      <c r="AA40" s="52"/>
    </row>
    <row r="41" spans="1:27">
      <c r="A41" s="320" t="s">
        <v>2437</v>
      </c>
      <c r="B41" s="320"/>
      <c r="C41" s="320"/>
      <c r="D41" s="320"/>
      <c r="E41" s="320"/>
      <c r="F41" s="320"/>
      <c r="G41" s="320"/>
      <c r="H41" s="320"/>
      <c r="I41" s="320"/>
      <c r="J41" s="320"/>
      <c r="K41" s="320"/>
      <c r="L41" s="320"/>
      <c r="M41" s="320"/>
      <c r="N41" s="320"/>
      <c r="O41" s="47"/>
      <c r="P41" s="47"/>
      <c r="Q41" s="261"/>
      <c r="R41" s="261"/>
      <c r="S41" s="261"/>
      <c r="T41" s="261"/>
      <c r="U41" s="261"/>
      <c r="V41" s="261"/>
      <c r="W41" s="261"/>
      <c r="X41" s="261"/>
      <c r="Y41" s="51"/>
      <c r="Z41" s="52"/>
      <c r="AA41" s="52"/>
    </row>
    <row r="42" spans="1:27">
      <c r="A42" s="47"/>
      <c r="B42" s="47"/>
      <c r="C42" s="27"/>
      <c r="D42" s="47"/>
      <c r="E42" s="47"/>
      <c r="F42" s="47"/>
      <c r="G42" s="47"/>
      <c r="H42" s="47"/>
      <c r="I42" s="47"/>
      <c r="J42" s="47"/>
      <c r="K42" s="47"/>
      <c r="L42" s="47"/>
      <c r="M42" s="47"/>
      <c r="N42" s="47"/>
      <c r="O42" s="47"/>
      <c r="P42" s="47"/>
      <c r="Q42" s="261"/>
      <c r="R42" s="261"/>
      <c r="S42" s="261"/>
      <c r="T42" s="261"/>
      <c r="U42" s="261"/>
      <c r="V42" s="261"/>
      <c r="W42" s="261"/>
      <c r="X42" s="261"/>
      <c r="Y42" s="51"/>
      <c r="Z42" s="52"/>
      <c r="AA42" s="52"/>
    </row>
    <row r="43" spans="1:27">
      <c r="A43" s="27" t="s">
        <v>1730</v>
      </c>
      <c r="B43" s="27"/>
      <c r="C43" s="47"/>
      <c r="D43" s="47"/>
      <c r="E43" s="47"/>
      <c r="F43" s="47"/>
      <c r="G43" s="47"/>
      <c r="H43" s="47"/>
      <c r="I43" s="47"/>
      <c r="J43" s="47"/>
      <c r="K43" s="47"/>
      <c r="L43" s="47"/>
      <c r="M43" s="47"/>
      <c r="N43" s="47"/>
      <c r="O43" s="47"/>
      <c r="P43" s="47"/>
      <c r="Q43" s="261"/>
      <c r="R43" s="261"/>
      <c r="S43" s="261"/>
      <c r="T43" s="261"/>
      <c r="U43" s="261"/>
      <c r="V43" s="261"/>
      <c r="W43" s="261"/>
      <c r="X43" s="261"/>
      <c r="Y43" s="51"/>
      <c r="Z43" s="52"/>
      <c r="AA43" s="52"/>
    </row>
    <row r="44" spans="1:27">
      <c r="A44" s="320" t="s">
        <v>1731</v>
      </c>
      <c r="B44" s="320"/>
      <c r="C44" s="47"/>
      <c r="D44" s="47"/>
      <c r="E44" s="47"/>
      <c r="F44" s="47"/>
      <c r="G44" s="47"/>
      <c r="H44" s="47"/>
      <c r="I44" s="47"/>
      <c r="J44" s="47"/>
      <c r="K44" s="47"/>
      <c r="L44" s="47"/>
      <c r="M44" s="47"/>
      <c r="N44" s="47"/>
      <c r="O44" s="47"/>
      <c r="P44" s="47"/>
      <c r="Q44" s="261"/>
      <c r="R44" s="261"/>
      <c r="S44" s="261"/>
      <c r="T44" s="261"/>
      <c r="U44" s="261"/>
      <c r="V44" s="261"/>
      <c r="W44" s="261"/>
      <c r="X44" s="261"/>
      <c r="Y44" s="51"/>
      <c r="Z44" s="52"/>
      <c r="AA44" s="52"/>
    </row>
    <row r="45" spans="1:27">
      <c r="A45" s="320" t="s">
        <v>1732</v>
      </c>
      <c r="B45" s="320"/>
      <c r="C45" s="47"/>
      <c r="D45" s="47"/>
      <c r="E45" s="47"/>
      <c r="F45" s="47"/>
      <c r="G45" s="47"/>
      <c r="H45" s="47"/>
      <c r="I45" s="47"/>
      <c r="J45" s="47"/>
      <c r="K45" s="47"/>
      <c r="L45" s="47"/>
      <c r="M45" s="47"/>
      <c r="N45" s="47"/>
      <c r="O45" s="47"/>
      <c r="P45" s="47"/>
      <c r="Q45" s="261"/>
      <c r="R45" s="261"/>
      <c r="S45" s="261"/>
      <c r="T45" s="261"/>
      <c r="U45" s="261"/>
      <c r="V45" s="261"/>
      <c r="W45" s="261"/>
      <c r="X45" s="261"/>
      <c r="Y45" s="51"/>
      <c r="Z45" s="52"/>
      <c r="AA45" s="52"/>
    </row>
    <row r="46" spans="1:27">
      <c r="A46" s="320" t="s">
        <v>1733</v>
      </c>
      <c r="B46" s="320"/>
      <c r="C46" s="47"/>
      <c r="D46" s="47"/>
      <c r="E46" s="47"/>
      <c r="F46" s="47"/>
      <c r="G46" s="47"/>
      <c r="H46" s="47"/>
      <c r="I46" s="47"/>
      <c r="J46" s="47"/>
      <c r="K46" s="47"/>
      <c r="L46" s="47"/>
      <c r="M46" s="47"/>
      <c r="N46" s="47"/>
      <c r="O46" s="47"/>
      <c r="P46" s="47"/>
      <c r="Q46" s="201"/>
      <c r="R46" s="201"/>
      <c r="S46" s="201"/>
      <c r="T46" s="201"/>
      <c r="U46" s="201"/>
      <c r="V46" s="201"/>
      <c r="W46" s="201"/>
      <c r="X46" s="201"/>
      <c r="Y46" s="52"/>
      <c r="Z46" s="52"/>
      <c r="AA46" s="52"/>
    </row>
    <row r="47" spans="1:27">
      <c r="A47" s="47"/>
      <c r="B47" s="47"/>
      <c r="C47" s="47"/>
      <c r="D47" s="47"/>
      <c r="E47" s="47"/>
      <c r="F47" s="47"/>
      <c r="G47" s="47"/>
      <c r="H47" s="47"/>
      <c r="I47" s="47"/>
      <c r="J47" s="47"/>
      <c r="K47" s="47"/>
      <c r="L47" s="47"/>
      <c r="M47" s="47"/>
      <c r="N47" s="47"/>
      <c r="O47" s="47"/>
      <c r="P47" s="47"/>
      <c r="Q47" s="201"/>
      <c r="R47" s="201"/>
      <c r="S47" s="201"/>
      <c r="T47" s="201"/>
      <c r="U47" s="201"/>
      <c r="V47" s="201"/>
      <c r="W47" s="201"/>
      <c r="X47" s="201"/>
      <c r="Y47" s="52"/>
      <c r="Z47" s="52"/>
      <c r="AA47" s="52"/>
    </row>
    <row r="48" spans="1:27">
      <c r="A48" s="27" t="s">
        <v>1734</v>
      </c>
      <c r="B48" s="47"/>
      <c r="C48" s="47"/>
      <c r="D48" s="47"/>
      <c r="E48" s="47"/>
      <c r="F48" s="47"/>
      <c r="G48" s="47"/>
      <c r="H48" s="47"/>
      <c r="I48" s="47"/>
      <c r="J48" s="47"/>
      <c r="K48" s="47"/>
      <c r="L48" s="47"/>
      <c r="M48" s="47"/>
      <c r="N48" s="47"/>
      <c r="O48" s="47"/>
      <c r="P48" s="47"/>
      <c r="Q48" s="201"/>
      <c r="R48" s="201"/>
      <c r="S48" s="201"/>
      <c r="T48" s="201"/>
      <c r="U48" s="201"/>
      <c r="V48" s="201"/>
      <c r="W48" s="201"/>
      <c r="X48" s="201"/>
      <c r="Y48" s="52"/>
      <c r="Z48" s="52"/>
      <c r="AA48" s="52"/>
    </row>
    <row r="49" spans="1:27">
      <c r="A49" s="320" t="s">
        <v>2452</v>
      </c>
      <c r="B49" s="320"/>
      <c r="C49" s="320"/>
      <c r="D49" s="201"/>
      <c r="E49" s="47"/>
      <c r="F49" s="47"/>
      <c r="G49" s="47"/>
      <c r="H49" s="47"/>
      <c r="I49" s="47"/>
      <c r="J49" s="47"/>
      <c r="K49" s="47"/>
      <c r="L49" s="47"/>
      <c r="M49" s="47"/>
      <c r="N49" s="47"/>
      <c r="O49" s="47"/>
      <c r="P49" s="47"/>
      <c r="Q49" s="201"/>
      <c r="R49" s="201"/>
      <c r="S49" s="201"/>
      <c r="T49" s="201"/>
      <c r="U49" s="201"/>
      <c r="V49" s="201"/>
      <c r="W49" s="201"/>
      <c r="X49" s="201"/>
      <c r="Y49" s="52"/>
      <c r="Z49" s="52"/>
      <c r="AA49" s="52"/>
    </row>
    <row r="50" spans="1:27">
      <c r="A50" s="47"/>
      <c r="B50" s="47"/>
      <c r="C50" s="201"/>
      <c r="D50" s="201"/>
      <c r="E50" s="47"/>
      <c r="F50" s="47"/>
      <c r="G50" s="47"/>
      <c r="H50" s="47"/>
      <c r="I50" s="47"/>
      <c r="J50" s="47"/>
      <c r="K50" s="47"/>
      <c r="L50" s="47"/>
      <c r="M50" s="47"/>
      <c r="N50" s="47"/>
      <c r="O50" s="47"/>
      <c r="P50" s="47"/>
      <c r="Q50" s="201"/>
      <c r="R50" s="201"/>
      <c r="S50" s="201"/>
      <c r="T50" s="201"/>
      <c r="U50" s="201"/>
      <c r="V50" s="201"/>
      <c r="W50" s="201"/>
      <c r="X50" s="201"/>
      <c r="Y50" s="52"/>
      <c r="Z50" s="52"/>
      <c r="AA50" s="52"/>
    </row>
    <row r="51" spans="1:27">
      <c r="A51" s="27" t="s">
        <v>1212</v>
      </c>
      <c r="B51" s="27" t="s">
        <v>1214</v>
      </c>
      <c r="C51" s="27" t="s">
        <v>1213</v>
      </c>
      <c r="D51" s="27" t="s">
        <v>2112</v>
      </c>
      <c r="E51" s="47"/>
      <c r="F51" s="47"/>
      <c r="G51" s="47"/>
      <c r="H51" s="47"/>
      <c r="I51" s="47"/>
      <c r="J51" s="47"/>
      <c r="K51" s="47"/>
      <c r="L51" s="47"/>
      <c r="M51" s="47"/>
      <c r="N51" s="47"/>
      <c r="O51" s="47"/>
      <c r="P51" s="47"/>
      <c r="Q51" s="201"/>
      <c r="R51" s="201"/>
      <c r="S51" s="201"/>
      <c r="T51" s="201"/>
      <c r="U51" s="201"/>
      <c r="V51" s="201"/>
      <c r="W51" s="201"/>
      <c r="X51" s="201"/>
      <c r="Y51" s="52"/>
      <c r="Z51" s="52"/>
      <c r="AA51" s="52"/>
    </row>
    <row r="52" spans="1:27">
      <c r="A52" s="320" t="s">
        <v>2113</v>
      </c>
      <c r="B52" s="320" t="s">
        <v>1000</v>
      </c>
      <c r="C52" s="320" t="s">
        <v>1217</v>
      </c>
      <c r="D52" s="320" t="s">
        <v>2114</v>
      </c>
      <c r="E52" s="47"/>
      <c r="F52" s="47"/>
      <c r="G52" s="47"/>
      <c r="H52" s="47"/>
      <c r="I52" s="47"/>
      <c r="J52" s="47"/>
      <c r="K52" s="47"/>
      <c r="L52" s="47"/>
      <c r="M52" s="47"/>
      <c r="N52" s="47"/>
      <c r="O52" s="47"/>
      <c r="P52" s="47"/>
      <c r="Q52" s="201"/>
      <c r="R52" s="201"/>
      <c r="S52" s="201"/>
      <c r="T52" s="201"/>
      <c r="U52" s="201"/>
      <c r="V52" s="201"/>
      <c r="W52" s="201"/>
      <c r="X52" s="201"/>
      <c r="Y52" s="52"/>
      <c r="Z52" s="52"/>
      <c r="AA52" s="52"/>
    </row>
    <row r="53" spans="1:27">
      <c r="A53" s="320" t="s">
        <v>2115</v>
      </c>
      <c r="B53" s="320" t="s">
        <v>1000</v>
      </c>
      <c r="C53" s="320" t="s">
        <v>1000</v>
      </c>
      <c r="D53" s="320" t="s">
        <v>2116</v>
      </c>
      <c r="E53" s="47"/>
      <c r="F53" s="47"/>
      <c r="G53" s="47"/>
      <c r="H53" s="47"/>
      <c r="I53" s="47"/>
      <c r="J53" s="47"/>
      <c r="K53" s="47"/>
      <c r="L53" s="47"/>
      <c r="M53" s="47"/>
      <c r="N53" s="47"/>
      <c r="O53" s="47"/>
      <c r="P53" s="47"/>
      <c r="Q53" s="201"/>
      <c r="R53" s="201"/>
      <c r="S53" s="201"/>
      <c r="T53" s="201"/>
      <c r="U53" s="201"/>
      <c r="V53" s="201"/>
      <c r="W53" s="201"/>
      <c r="X53" s="201"/>
      <c r="Y53" s="52"/>
      <c r="Z53" s="52"/>
      <c r="AA53" s="52"/>
    </row>
    <row r="54" spans="1:27">
      <c r="A54" s="320" t="s">
        <v>2117</v>
      </c>
      <c r="B54" s="320" t="s">
        <v>1217</v>
      </c>
      <c r="C54" s="320" t="s">
        <v>999</v>
      </c>
      <c r="D54" s="320" t="s">
        <v>2118</v>
      </c>
      <c r="E54" s="201"/>
      <c r="F54" s="201"/>
      <c r="G54" s="47"/>
      <c r="H54" s="47"/>
      <c r="I54" s="47"/>
      <c r="J54" s="47"/>
      <c r="K54" s="47"/>
      <c r="L54" s="47"/>
      <c r="M54" s="47"/>
      <c r="N54" s="47"/>
      <c r="O54" s="47"/>
      <c r="P54" s="47"/>
      <c r="Q54" s="201"/>
      <c r="R54" s="201"/>
      <c r="S54" s="201"/>
      <c r="T54" s="201"/>
      <c r="U54" s="201"/>
      <c r="V54" s="201"/>
      <c r="W54" s="201"/>
      <c r="X54" s="201"/>
      <c r="Y54" s="52"/>
      <c r="Z54" s="52"/>
      <c r="AA54" s="52"/>
    </row>
    <row r="55" spans="1:27">
      <c r="A55" s="320" t="s">
        <v>2119</v>
      </c>
      <c r="B55" s="320" t="s">
        <v>1000</v>
      </c>
      <c r="C55" s="320" t="s">
        <v>1217</v>
      </c>
      <c r="D55" s="320" t="s">
        <v>2120</v>
      </c>
      <c r="E55" s="201"/>
      <c r="F55" s="201"/>
      <c r="G55" s="47"/>
      <c r="H55" s="47"/>
      <c r="I55" s="47"/>
      <c r="J55" s="47"/>
      <c r="K55" s="47"/>
      <c r="L55" s="47"/>
      <c r="M55" s="47"/>
      <c r="N55" s="47"/>
      <c r="O55" s="47"/>
      <c r="P55" s="47"/>
      <c r="Q55" s="201"/>
      <c r="R55" s="201"/>
      <c r="S55" s="201"/>
      <c r="T55" s="201"/>
      <c r="U55" s="201"/>
      <c r="V55" s="201"/>
      <c r="W55" s="201"/>
      <c r="X55" s="201"/>
      <c r="Y55" s="52"/>
      <c r="Z55" s="52"/>
      <c r="AA55" s="52"/>
    </row>
    <row r="56" spans="1:27">
      <c r="A56" s="320" t="s">
        <v>2448</v>
      </c>
      <c r="B56" s="320" t="s">
        <v>1000</v>
      </c>
      <c r="C56" s="320" t="s">
        <v>1217</v>
      </c>
      <c r="D56" s="320" t="s">
        <v>1000</v>
      </c>
      <c r="E56" s="47"/>
      <c r="F56" s="47"/>
      <c r="G56" s="47"/>
      <c r="H56" s="47"/>
      <c r="I56" s="47"/>
      <c r="J56" s="47"/>
      <c r="K56" s="47"/>
      <c r="L56" s="47"/>
      <c r="M56" s="47"/>
      <c r="N56" s="47"/>
      <c r="O56" s="47"/>
      <c r="P56" s="47"/>
      <c r="Q56" s="201"/>
      <c r="R56" s="201"/>
      <c r="S56" s="201"/>
      <c r="T56" s="201"/>
      <c r="U56" s="201"/>
      <c r="V56" s="201"/>
      <c r="W56" s="201"/>
      <c r="X56" s="201"/>
      <c r="Y56" s="52"/>
      <c r="Z56" s="52"/>
      <c r="AA56" s="52"/>
    </row>
    <row r="57" spans="1:27">
      <c r="A57" s="320" t="s">
        <v>2449</v>
      </c>
      <c r="B57" s="320" t="s">
        <v>1217</v>
      </c>
      <c r="C57" s="320" t="s">
        <v>1000</v>
      </c>
      <c r="D57" s="320" t="s">
        <v>1000</v>
      </c>
      <c r="E57" s="47"/>
      <c r="F57" s="47"/>
      <c r="G57" s="47"/>
      <c r="H57" s="47"/>
      <c r="I57" s="47"/>
      <c r="J57" s="47"/>
      <c r="K57" s="47"/>
      <c r="L57" s="47"/>
      <c r="M57" s="47"/>
      <c r="N57" s="47"/>
      <c r="O57" s="47"/>
      <c r="P57" s="47"/>
      <c r="Q57" s="201"/>
      <c r="R57" s="201"/>
      <c r="S57" s="201"/>
      <c r="T57" s="201"/>
      <c r="U57" s="201"/>
      <c r="V57" s="201"/>
      <c r="W57" s="201"/>
      <c r="X57" s="201"/>
      <c r="Y57" s="52"/>
      <c r="Z57" s="52"/>
      <c r="AA57" s="52"/>
    </row>
    <row r="58" spans="1:27">
      <c r="A58" s="27" t="s">
        <v>2414</v>
      </c>
      <c r="B58" s="47"/>
      <c r="C58" s="47"/>
      <c r="D58" s="47"/>
      <c r="E58" s="47"/>
      <c r="F58" s="47"/>
      <c r="G58" s="47"/>
      <c r="H58" s="47"/>
      <c r="I58" s="47"/>
      <c r="J58" s="47"/>
      <c r="K58" s="47"/>
      <c r="L58" s="47"/>
      <c r="M58" s="47"/>
      <c r="N58" s="47"/>
      <c r="O58" s="47"/>
      <c r="P58" s="47"/>
      <c r="Q58" s="201"/>
      <c r="R58" s="201"/>
      <c r="S58" s="201"/>
      <c r="T58" s="201"/>
      <c r="U58" s="201"/>
      <c r="V58" s="201"/>
      <c r="W58" s="201"/>
      <c r="X58" s="201"/>
      <c r="Y58" s="52"/>
      <c r="Z58" s="52"/>
      <c r="AA58" s="52"/>
    </row>
    <row r="59" spans="1:27">
      <c r="A59" s="320" t="s">
        <v>2444</v>
      </c>
      <c r="B59" s="47"/>
      <c r="C59" s="47"/>
      <c r="D59" s="47"/>
      <c r="E59" s="47"/>
      <c r="F59" s="47"/>
      <c r="G59" s="47"/>
      <c r="H59" s="47"/>
      <c r="I59" s="47"/>
      <c r="J59" s="47"/>
      <c r="K59" s="47"/>
      <c r="L59" s="47"/>
      <c r="M59" s="47"/>
      <c r="N59" s="47"/>
      <c r="O59" s="47"/>
      <c r="P59" s="47"/>
      <c r="Q59" s="201"/>
      <c r="R59" s="201"/>
      <c r="S59" s="201"/>
      <c r="T59" s="201"/>
      <c r="U59" s="201"/>
      <c r="V59" s="201"/>
      <c r="W59" s="201"/>
      <c r="X59" s="201"/>
      <c r="Y59" s="52"/>
      <c r="Z59" s="52"/>
      <c r="AA59" s="52"/>
    </row>
    <row r="60" spans="1:27">
      <c r="A60" s="320" t="s">
        <v>2113</v>
      </c>
      <c r="B60" s="47"/>
      <c r="C60" s="47"/>
      <c r="D60" s="47"/>
      <c r="E60" s="47"/>
      <c r="F60" s="47"/>
      <c r="G60" s="47"/>
      <c r="H60" s="47"/>
      <c r="I60" s="47"/>
      <c r="J60" s="47"/>
      <c r="K60" s="47"/>
      <c r="L60" s="47"/>
      <c r="M60" s="47"/>
      <c r="N60" s="47"/>
      <c r="O60" s="47"/>
      <c r="P60" s="47"/>
      <c r="Q60" s="201"/>
      <c r="R60" s="201"/>
      <c r="S60" s="201"/>
      <c r="T60" s="201"/>
      <c r="U60" s="201"/>
      <c r="V60" s="201"/>
      <c r="W60" s="201"/>
      <c r="X60" s="201"/>
      <c r="Y60" s="52"/>
      <c r="Z60" s="52"/>
      <c r="AA60" s="52"/>
    </row>
    <row r="61" spans="1:27">
      <c r="A61" s="320" t="s">
        <v>2445</v>
      </c>
      <c r="B61" s="47"/>
      <c r="C61" s="47"/>
      <c r="D61" s="47"/>
      <c r="E61" s="47"/>
      <c r="F61" s="47"/>
      <c r="G61" s="47"/>
      <c r="H61" s="47"/>
      <c r="I61" s="47"/>
      <c r="J61" s="47"/>
      <c r="K61" s="47"/>
      <c r="L61" s="47"/>
      <c r="M61" s="47"/>
      <c r="N61" s="47"/>
      <c r="O61" s="47"/>
      <c r="P61" s="47"/>
      <c r="Q61" s="201"/>
      <c r="R61" s="201"/>
      <c r="S61" s="201"/>
      <c r="T61" s="201"/>
      <c r="U61" s="201"/>
      <c r="V61" s="201"/>
      <c r="W61" s="201"/>
      <c r="X61" s="201"/>
      <c r="Y61" s="52"/>
      <c r="Z61" s="52"/>
      <c r="AA61" s="52"/>
    </row>
    <row r="62" spans="1:27">
      <c r="A62" s="320" t="s">
        <v>2446</v>
      </c>
      <c r="B62" s="47"/>
      <c r="C62" s="47"/>
      <c r="D62" s="47"/>
      <c r="E62" s="47"/>
      <c r="F62" s="47"/>
      <c r="G62" s="47"/>
      <c r="H62" s="47"/>
      <c r="I62" s="47"/>
      <c r="J62" s="47"/>
      <c r="K62" s="47"/>
      <c r="L62" s="47"/>
      <c r="M62" s="47"/>
      <c r="N62" s="47"/>
      <c r="O62" s="47"/>
      <c r="P62" s="47"/>
      <c r="Q62" s="201"/>
      <c r="R62" s="201"/>
      <c r="S62" s="201"/>
      <c r="T62" s="201"/>
      <c r="U62" s="201"/>
      <c r="V62" s="201"/>
      <c r="W62" s="201"/>
      <c r="X62" s="201"/>
      <c r="Y62" s="52"/>
      <c r="Z62" s="52"/>
      <c r="AA62" s="52"/>
    </row>
    <row r="63" spans="1:27">
      <c r="A63" s="320" t="s">
        <v>2447</v>
      </c>
      <c r="B63" s="47"/>
      <c r="C63" s="47"/>
      <c r="D63" s="47"/>
      <c r="E63" s="47"/>
      <c r="F63" s="47"/>
      <c r="G63" s="47"/>
      <c r="H63" s="47"/>
      <c r="I63" s="47"/>
      <c r="J63" s="47"/>
      <c r="K63" s="47"/>
      <c r="L63" s="47"/>
      <c r="M63" s="47"/>
      <c r="N63" s="47"/>
      <c r="O63" s="47"/>
      <c r="P63" s="47"/>
      <c r="Q63" s="201"/>
      <c r="R63" s="201"/>
      <c r="S63" s="201"/>
      <c r="T63" s="201"/>
      <c r="U63" s="201"/>
      <c r="V63" s="201"/>
      <c r="W63" s="201"/>
      <c r="X63" s="201"/>
      <c r="Y63" s="52"/>
      <c r="Z63" s="52"/>
      <c r="AA63" s="52"/>
    </row>
    <row r="64" spans="1:27">
      <c r="A64" s="47"/>
      <c r="B64" s="47"/>
      <c r="C64" s="47"/>
      <c r="D64" s="47"/>
      <c r="E64" s="47"/>
      <c r="F64" s="47"/>
      <c r="G64" s="47"/>
      <c r="H64" s="47"/>
      <c r="I64" s="47"/>
      <c r="J64" s="47"/>
      <c r="K64" s="47"/>
      <c r="L64" s="47"/>
      <c r="M64" s="47"/>
      <c r="N64" s="47"/>
      <c r="O64" s="47"/>
      <c r="P64" s="47"/>
      <c r="Q64" s="201"/>
      <c r="R64" s="201"/>
      <c r="S64" s="201"/>
      <c r="T64" s="201"/>
      <c r="U64" s="201"/>
      <c r="V64" s="201"/>
      <c r="W64" s="201"/>
      <c r="X64" s="201"/>
      <c r="Y64" s="52"/>
      <c r="Z64" s="52"/>
      <c r="AA64" s="52"/>
    </row>
    <row r="65" spans="1:27">
      <c r="A65" s="27" t="s">
        <v>2176</v>
      </c>
      <c r="B65" s="47"/>
      <c r="C65" s="47"/>
      <c r="D65" s="47"/>
      <c r="E65" s="47"/>
      <c r="F65" s="47"/>
      <c r="G65" s="47"/>
      <c r="H65" s="47"/>
      <c r="I65" s="47"/>
      <c r="J65" s="47"/>
      <c r="K65" s="47"/>
      <c r="L65" s="47"/>
      <c r="M65" s="47"/>
      <c r="N65" s="47"/>
      <c r="O65" s="47"/>
      <c r="P65" s="47"/>
      <c r="Q65" s="201"/>
      <c r="R65" s="201"/>
      <c r="S65" s="201"/>
      <c r="T65" s="201"/>
      <c r="U65" s="201"/>
      <c r="V65" s="201"/>
      <c r="W65" s="201"/>
      <c r="X65" s="201"/>
      <c r="Y65" s="52"/>
      <c r="Z65" s="52"/>
      <c r="AA65" s="52"/>
    </row>
    <row r="66" spans="1:27">
      <c r="A66" s="320" t="s">
        <v>2172</v>
      </c>
      <c r="B66" s="47"/>
      <c r="C66" s="47"/>
      <c r="D66" s="47"/>
      <c r="E66" s="47"/>
      <c r="F66" s="47"/>
      <c r="G66" s="47"/>
      <c r="H66" s="47"/>
      <c r="I66" s="47"/>
      <c r="J66" s="47"/>
      <c r="K66" s="47"/>
      <c r="L66" s="47"/>
      <c r="M66" s="47"/>
      <c r="N66" s="47"/>
      <c r="O66" s="47"/>
      <c r="P66" s="47"/>
      <c r="Q66" s="201"/>
      <c r="R66" s="201"/>
      <c r="S66" s="201"/>
      <c r="T66" s="201"/>
      <c r="U66" s="201"/>
      <c r="V66" s="201"/>
      <c r="W66" s="201"/>
      <c r="X66" s="201"/>
      <c r="Y66" s="52"/>
      <c r="Z66" s="52"/>
      <c r="AA66" s="52"/>
    </row>
    <row r="67" spans="1:27">
      <c r="A67" s="320" t="s">
        <v>2173</v>
      </c>
      <c r="B67" s="47"/>
      <c r="C67" s="47"/>
      <c r="D67" s="47"/>
      <c r="E67" s="47"/>
      <c r="F67" s="47"/>
      <c r="G67" s="47"/>
      <c r="H67" s="47"/>
      <c r="I67" s="47"/>
      <c r="J67" s="47"/>
      <c r="K67" s="47"/>
      <c r="L67" s="47"/>
      <c r="M67" s="47"/>
      <c r="N67" s="47"/>
      <c r="O67" s="47"/>
      <c r="P67" s="47"/>
      <c r="Q67" s="201"/>
      <c r="R67" s="201"/>
      <c r="S67" s="201"/>
      <c r="T67" s="201"/>
      <c r="U67" s="201"/>
      <c r="V67" s="201"/>
      <c r="W67" s="201"/>
      <c r="X67" s="201"/>
      <c r="Y67" s="52"/>
      <c r="Z67" s="52"/>
      <c r="AA67" s="52"/>
    </row>
    <row r="68" spans="1:27">
      <c r="A68" s="320" t="s">
        <v>2174</v>
      </c>
      <c r="B68" s="47"/>
      <c r="C68" s="47"/>
      <c r="D68" s="47"/>
      <c r="E68" s="47"/>
      <c r="F68" s="47"/>
      <c r="G68" s="47"/>
      <c r="H68" s="47"/>
      <c r="I68" s="47"/>
      <c r="J68" s="47"/>
      <c r="K68" s="47"/>
      <c r="L68" s="47"/>
      <c r="M68" s="47"/>
      <c r="N68" s="47"/>
      <c r="O68" s="47"/>
      <c r="P68" s="47"/>
      <c r="Q68" s="201"/>
      <c r="R68" s="201"/>
      <c r="S68" s="201"/>
      <c r="T68" s="201"/>
      <c r="U68" s="201"/>
      <c r="V68" s="201"/>
      <c r="W68" s="201"/>
      <c r="X68" s="201"/>
      <c r="Y68" s="52"/>
      <c r="Z68" s="52"/>
      <c r="AA68" s="52"/>
    </row>
    <row r="69" spans="1:27">
      <c r="A69" s="320" t="s">
        <v>2175</v>
      </c>
      <c r="B69" s="47"/>
      <c r="C69" s="47"/>
      <c r="D69" s="47"/>
      <c r="E69" s="47"/>
      <c r="F69" s="47"/>
      <c r="G69" s="47"/>
      <c r="H69" s="47"/>
      <c r="I69" s="47"/>
      <c r="J69" s="47"/>
      <c r="K69" s="47"/>
      <c r="L69" s="47"/>
      <c r="M69" s="47"/>
      <c r="N69" s="47"/>
      <c r="O69" s="47"/>
      <c r="P69" s="47"/>
      <c r="Q69" s="201"/>
      <c r="R69" s="201"/>
      <c r="S69" s="201"/>
      <c r="T69" s="201"/>
      <c r="U69" s="201"/>
      <c r="V69" s="201"/>
      <c r="W69" s="201"/>
      <c r="X69" s="201"/>
      <c r="Y69" s="52"/>
      <c r="Z69" s="52"/>
      <c r="AA69" s="52"/>
    </row>
    <row r="70" spans="1:27">
      <c r="A70" s="47"/>
      <c r="B70" s="47"/>
      <c r="C70" s="47"/>
      <c r="D70" s="47"/>
      <c r="E70" s="47"/>
      <c r="F70" s="47"/>
      <c r="G70" s="47"/>
      <c r="H70" s="47"/>
      <c r="I70" s="47"/>
      <c r="J70" s="47"/>
      <c r="K70" s="47"/>
      <c r="L70" s="47"/>
      <c r="M70" s="47"/>
      <c r="N70" s="47"/>
      <c r="O70" s="47"/>
      <c r="P70" s="47"/>
      <c r="Q70" s="201"/>
      <c r="R70" s="201"/>
      <c r="S70" s="201"/>
      <c r="T70" s="201"/>
      <c r="U70" s="201"/>
      <c r="V70" s="201"/>
      <c r="W70" s="201"/>
      <c r="X70" s="201"/>
      <c r="Y70" s="52"/>
      <c r="Z70" s="52"/>
      <c r="AA70" s="52"/>
    </row>
    <row r="71" spans="1:27">
      <c r="A71" s="27" t="s">
        <v>2415</v>
      </c>
      <c r="B71" s="47"/>
      <c r="C71" s="47"/>
      <c r="D71" s="47"/>
      <c r="E71" s="47"/>
      <c r="F71" s="47"/>
      <c r="G71" s="47"/>
      <c r="H71" s="47"/>
      <c r="I71" s="47"/>
      <c r="J71" s="47"/>
      <c r="K71" s="47"/>
      <c r="L71" s="47"/>
      <c r="M71" s="47"/>
      <c r="N71" s="47"/>
      <c r="O71" s="47"/>
      <c r="P71" s="47"/>
      <c r="Q71" s="201"/>
      <c r="R71" s="201"/>
      <c r="S71" s="201"/>
      <c r="T71" s="201"/>
      <c r="U71" s="201"/>
      <c r="V71" s="201"/>
      <c r="W71" s="201"/>
      <c r="X71" s="201"/>
      <c r="Y71" s="52"/>
      <c r="Z71" s="52"/>
      <c r="AA71" s="52"/>
    </row>
    <row r="72" spans="1:27">
      <c r="A72" s="320" t="s">
        <v>2450</v>
      </c>
      <c r="B72" s="320"/>
      <c r="C72" s="47"/>
      <c r="D72" s="47"/>
      <c r="E72" s="47"/>
      <c r="F72" s="201"/>
      <c r="G72" s="201"/>
      <c r="H72" s="201"/>
      <c r="I72" s="201"/>
      <c r="J72" s="201"/>
      <c r="K72" s="201"/>
      <c r="L72" s="201"/>
      <c r="M72" s="201"/>
      <c r="N72" s="201"/>
      <c r="O72" s="201"/>
      <c r="P72" s="201"/>
      <c r="Q72" s="201"/>
      <c r="R72" s="201"/>
      <c r="S72" s="201"/>
      <c r="T72" s="201"/>
      <c r="U72" s="201"/>
      <c r="V72" s="201"/>
      <c r="W72" s="201"/>
      <c r="X72" s="201"/>
      <c r="Y72" s="52"/>
      <c r="Z72" s="52"/>
      <c r="AA72" s="52"/>
    </row>
    <row r="73" spans="1:27">
      <c r="A73" s="320" t="s">
        <v>2451</v>
      </c>
      <c r="B73" s="320"/>
      <c r="C73" s="320"/>
      <c r="D73" s="320"/>
      <c r="E73" s="320"/>
      <c r="F73" s="201"/>
      <c r="G73" s="201"/>
      <c r="H73" s="201"/>
      <c r="I73" s="201"/>
      <c r="J73" s="201"/>
      <c r="K73" s="201"/>
      <c r="L73" s="201"/>
      <c r="M73" s="201"/>
      <c r="N73" s="201"/>
      <c r="O73" s="201"/>
      <c r="P73" s="201"/>
      <c r="Q73" s="201"/>
      <c r="R73" s="201"/>
      <c r="S73" s="201"/>
      <c r="T73" s="201"/>
      <c r="U73" s="201"/>
      <c r="V73" s="201"/>
      <c r="W73" s="201"/>
      <c r="X73" s="201"/>
      <c r="Y73" s="52"/>
      <c r="Z73" s="52"/>
      <c r="AA73" s="52"/>
    </row>
    <row r="74" spans="1:27">
      <c r="A74" s="320" t="s">
        <v>2461</v>
      </c>
      <c r="B74" s="320"/>
      <c r="C74" s="320"/>
      <c r="D74" s="201"/>
      <c r="E74" s="201"/>
      <c r="F74" s="201"/>
      <c r="G74" s="201"/>
      <c r="H74" s="201"/>
      <c r="I74" s="201"/>
      <c r="J74" s="201"/>
      <c r="K74" s="201"/>
      <c r="L74" s="201"/>
      <c r="M74" s="201"/>
      <c r="N74" s="201"/>
      <c r="O74" s="201"/>
      <c r="P74" s="201"/>
      <c r="Q74" s="201"/>
      <c r="R74" s="201"/>
      <c r="S74" s="201"/>
      <c r="T74" s="201"/>
      <c r="U74" s="201"/>
      <c r="V74" s="201"/>
      <c r="W74" s="201"/>
      <c r="X74" s="201"/>
      <c r="Y74" s="52"/>
      <c r="Z74" s="52"/>
      <c r="AA74" s="52"/>
    </row>
    <row r="75" spans="1:27">
      <c r="A75" s="320" t="s">
        <v>2416</v>
      </c>
      <c r="B75" s="320"/>
      <c r="C75" s="375"/>
      <c r="D75" s="320"/>
      <c r="E75" s="320"/>
      <c r="F75" s="201"/>
      <c r="G75" s="201"/>
      <c r="H75" s="201"/>
      <c r="I75" s="201"/>
      <c r="J75" s="201"/>
      <c r="K75" s="201"/>
      <c r="L75" s="201"/>
      <c r="M75" s="201"/>
      <c r="N75" s="201"/>
      <c r="O75" s="201"/>
      <c r="P75" s="201"/>
      <c r="Q75" s="201"/>
      <c r="R75" s="201"/>
      <c r="S75" s="201"/>
      <c r="T75" s="201"/>
      <c r="U75" s="201"/>
      <c r="V75" s="201"/>
      <c r="W75" s="201"/>
      <c r="X75" s="201"/>
      <c r="Y75" s="52"/>
      <c r="Z75" s="52"/>
      <c r="AA75" s="52"/>
    </row>
    <row r="76" spans="1:27">
      <c r="A76" s="201"/>
      <c r="B76" s="201"/>
      <c r="C76" s="47"/>
      <c r="D76" s="201"/>
      <c r="E76" s="201"/>
      <c r="F76" s="201"/>
      <c r="G76" s="201"/>
      <c r="H76" s="201"/>
      <c r="I76" s="201"/>
      <c r="J76" s="201"/>
      <c r="K76" s="201"/>
      <c r="L76" s="201"/>
      <c r="M76" s="201"/>
      <c r="N76" s="201"/>
      <c r="O76" s="201"/>
      <c r="P76" s="201"/>
      <c r="Q76" s="201"/>
      <c r="R76" s="201"/>
      <c r="S76" s="201"/>
      <c r="T76" s="201"/>
      <c r="U76" s="201"/>
      <c r="V76" s="201"/>
      <c r="W76" s="201"/>
      <c r="X76" s="201"/>
      <c r="Y76" s="52"/>
      <c r="Z76" s="52"/>
      <c r="AA76" s="52"/>
    </row>
    <row r="77" spans="1:27">
      <c r="A77" s="63" t="s">
        <v>2436</v>
      </c>
      <c r="B77" s="63"/>
      <c r="C77" s="390"/>
      <c r="D77" s="63"/>
      <c r="E77" s="390"/>
      <c r="F77" s="201"/>
      <c r="G77" s="201"/>
      <c r="H77" s="201"/>
      <c r="I77" s="201"/>
      <c r="J77" s="201"/>
      <c r="K77" s="201"/>
      <c r="L77" s="201"/>
      <c r="M77" s="201"/>
      <c r="N77" s="201"/>
      <c r="O77" s="201"/>
      <c r="P77" s="201"/>
      <c r="Q77" s="201"/>
      <c r="R77" s="201"/>
      <c r="S77" s="201"/>
      <c r="T77" s="201"/>
      <c r="U77" s="201"/>
      <c r="V77" s="201"/>
      <c r="W77" s="201"/>
      <c r="X77" s="201"/>
      <c r="Y77" s="52"/>
      <c r="Z77" s="52"/>
      <c r="AA77" s="52"/>
    </row>
    <row r="78" spans="1:27">
      <c r="A78" s="201"/>
      <c r="B78" s="201"/>
      <c r="C78" s="47"/>
      <c r="D78" s="201"/>
      <c r="E78" s="201"/>
      <c r="F78" s="201"/>
      <c r="G78" s="201"/>
      <c r="H78" s="201"/>
      <c r="I78" s="201"/>
      <c r="J78" s="201"/>
      <c r="K78" s="201"/>
      <c r="L78" s="201"/>
      <c r="M78" s="201"/>
      <c r="N78" s="201"/>
      <c r="O78" s="201"/>
      <c r="P78" s="201"/>
      <c r="Q78" s="201"/>
      <c r="R78" s="201"/>
      <c r="S78" s="201"/>
      <c r="T78" s="201"/>
      <c r="U78" s="201"/>
      <c r="V78" s="201"/>
      <c r="W78" s="201"/>
      <c r="X78" s="201"/>
      <c r="Y78" s="52"/>
      <c r="Z78" s="52"/>
      <c r="AA78" s="52"/>
    </row>
    <row r="79" spans="1:27">
      <c r="A79" s="63" t="s">
        <v>2438</v>
      </c>
      <c r="B79" s="63"/>
      <c r="C79" s="390"/>
      <c r="D79" s="390"/>
      <c r="E79" s="201"/>
      <c r="F79" s="201"/>
      <c r="G79" s="201"/>
      <c r="H79" s="201"/>
      <c r="I79" s="201"/>
      <c r="J79" s="201"/>
      <c r="K79" s="201"/>
      <c r="L79" s="201"/>
      <c r="M79" s="201"/>
      <c r="N79" s="201"/>
      <c r="O79" s="201"/>
      <c r="P79" s="201"/>
      <c r="Q79" s="201"/>
      <c r="R79" s="201"/>
      <c r="S79" s="201"/>
      <c r="T79" s="201"/>
      <c r="U79" s="201"/>
      <c r="V79" s="201"/>
      <c r="W79" s="201"/>
      <c r="X79" s="201"/>
      <c r="Y79" s="52"/>
      <c r="Z79" s="52"/>
      <c r="AA79" s="52"/>
    </row>
    <row r="80" spans="1:27">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52"/>
      <c r="Z80" s="52"/>
      <c r="AA80" s="52"/>
    </row>
    <row r="81" spans="1:27">
      <c r="A81" s="63" t="s">
        <v>2440</v>
      </c>
      <c r="B81" s="63"/>
      <c r="C81" s="63"/>
      <c r="D81" s="63"/>
      <c r="E81" s="201"/>
      <c r="F81" s="201"/>
      <c r="G81" s="201"/>
      <c r="H81" s="201"/>
      <c r="I81" s="201"/>
      <c r="J81" s="201"/>
      <c r="K81" s="201"/>
      <c r="L81" s="201"/>
      <c r="M81" s="201"/>
      <c r="N81" s="201"/>
      <c r="O81" s="201"/>
      <c r="P81" s="201"/>
      <c r="Q81" s="201"/>
      <c r="R81" s="201"/>
      <c r="S81" s="201"/>
      <c r="T81" s="201"/>
      <c r="U81" s="201"/>
      <c r="V81" s="201"/>
      <c r="W81" s="201"/>
      <c r="X81" s="201"/>
      <c r="Y81" s="52"/>
      <c r="Z81" s="52"/>
      <c r="AA81" s="52"/>
    </row>
    <row r="82" spans="1:27">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52"/>
      <c r="Z82" s="52"/>
      <c r="AA82" s="52"/>
    </row>
    <row r="83" spans="1:27">
      <c r="A83" s="63" t="s">
        <v>2466</v>
      </c>
      <c r="B83" s="63"/>
      <c r="C83" s="63"/>
      <c r="D83" s="63"/>
      <c r="E83" s="63"/>
      <c r="F83" s="201"/>
      <c r="G83" s="201"/>
      <c r="H83" s="201"/>
      <c r="I83" s="201"/>
      <c r="J83" s="201"/>
      <c r="K83" s="201"/>
      <c r="L83" s="201"/>
      <c r="M83" s="201"/>
      <c r="N83" s="201"/>
      <c r="O83" s="201"/>
      <c r="P83" s="201"/>
      <c r="Q83" s="201"/>
      <c r="R83" s="201"/>
      <c r="S83" s="201"/>
      <c r="T83" s="201"/>
      <c r="U83" s="201"/>
      <c r="V83" s="201"/>
      <c r="W83" s="201"/>
      <c r="X83" s="201"/>
      <c r="Y83" s="52"/>
      <c r="Z83" s="52"/>
      <c r="AA83" s="52"/>
    </row>
    <row r="84" spans="1:27">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52"/>
      <c r="Z84" s="52"/>
      <c r="AA84" s="52"/>
    </row>
    <row r="85" spans="1:27">
      <c r="A85" s="63" t="s">
        <v>2488</v>
      </c>
      <c r="B85" s="63"/>
      <c r="C85" s="63"/>
      <c r="D85" s="63"/>
      <c r="E85" s="63"/>
      <c r="F85" s="63"/>
      <c r="G85" s="63"/>
      <c r="H85" s="63"/>
      <c r="I85" s="63"/>
      <c r="J85" s="390"/>
      <c r="K85" s="201"/>
      <c r="L85" s="201"/>
      <c r="M85" s="201"/>
      <c r="N85" s="201"/>
      <c r="O85" s="201"/>
      <c r="P85" s="201"/>
      <c r="Q85" s="201"/>
      <c r="R85" s="201"/>
      <c r="S85" s="201"/>
      <c r="T85" s="201"/>
      <c r="U85" s="201"/>
      <c r="V85" s="201"/>
      <c r="W85" s="201"/>
      <c r="X85" s="201"/>
      <c r="Y85" s="52"/>
      <c r="Z85" s="52"/>
      <c r="AA85" s="52"/>
    </row>
    <row r="86" spans="1:27">
      <c r="A86" s="27" t="s">
        <v>1006</v>
      </c>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52"/>
      <c r="Z86" s="52"/>
      <c r="AA86" s="52"/>
    </row>
    <row r="87" spans="1:27">
      <c r="A87" s="320" t="s">
        <v>2509</v>
      </c>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52"/>
      <c r="Z87" s="52"/>
      <c r="AA87" s="52"/>
    </row>
    <row r="88" spans="1:27">
      <c r="A88" s="320" t="s">
        <v>2510</v>
      </c>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52"/>
      <c r="Z88" s="52"/>
      <c r="AA88" s="52"/>
    </row>
    <row r="89" spans="1:27">
      <c r="A89" s="320" t="s">
        <v>2511</v>
      </c>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52"/>
      <c r="Z89" s="52"/>
      <c r="AA89" s="52"/>
    </row>
    <row r="90" spans="1:27">
      <c r="A90" s="320" t="s">
        <v>2512</v>
      </c>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52"/>
      <c r="Z90" s="52"/>
      <c r="AA90" s="52"/>
    </row>
    <row r="91" spans="1:27">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52"/>
      <c r="Z91" s="52"/>
      <c r="AA91" s="52"/>
    </row>
    <row r="92" spans="1:27">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52"/>
      <c r="Z92" s="52"/>
      <c r="AA92" s="52"/>
    </row>
    <row r="93" spans="1:27">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52"/>
      <c r="Z93" s="52"/>
      <c r="AA93" s="52"/>
    </row>
    <row r="94" spans="1:27">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52"/>
      <c r="Z94" s="52"/>
      <c r="AA94" s="52"/>
    </row>
    <row r="95" spans="1:27">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52"/>
      <c r="Z95" s="52"/>
      <c r="AA95" s="52"/>
    </row>
    <row r="96" spans="1:27">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spans="1:2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spans="1:27">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spans="1:27">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spans="1:27">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spans="1:27">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spans="1:27">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spans="1:27">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spans="1:27">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spans="1:27">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spans="1:27">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spans="1:2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spans="1:27">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spans="1:27">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spans="1:27">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spans="1:27">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spans="1:27">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spans="1:27">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spans="1:27">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spans="1:27">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spans="1:27">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spans="1:2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spans="1:27">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spans="1:27">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spans="1:27">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spans="1:27">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spans="1:27">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spans="1:27">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spans="1:27">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spans="1:27">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spans="1:27">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spans="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spans="1:27">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spans="1:27">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spans="1:27">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spans="1:27">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spans="1:27">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spans="1:27">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spans="1:27">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spans="1:27">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spans="1:27">
      <c r="A136" s="52"/>
      <c r="B136" s="52"/>
      <c r="C136" s="52"/>
    </row>
    <row r="137" spans="1:27">
      <c r="A137" s="52"/>
      <c r="B137" s="52"/>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BFF5-0CFC-41C4-A02A-08B9AB775D8F}">
  <dimension ref="A1:AJ142"/>
  <sheetViews>
    <sheetView showGridLines="0" zoomScale="81" zoomScaleNormal="60" workbookViewId="0"/>
  </sheetViews>
  <sheetFormatPr defaultColWidth="152.75" defaultRowHeight="14"/>
  <cols>
    <col min="1" max="1" width="102" customWidth="1"/>
    <col min="2" max="2" width="34.75" customWidth="1"/>
    <col min="3" max="3" width="20.4140625" customWidth="1"/>
    <col min="4" max="4" width="16.4140625" customWidth="1"/>
    <col min="5" max="5" width="18.4140625" customWidth="1"/>
    <col min="6" max="6" width="18.58203125" customWidth="1"/>
    <col min="7" max="7" width="33.75" customWidth="1"/>
    <col min="8" max="8" width="32.83203125" customWidth="1"/>
    <col min="9" max="9" width="29.1640625" customWidth="1"/>
    <col min="10" max="10" width="24.1640625" customWidth="1"/>
    <col min="11" max="11" width="25.83203125" customWidth="1"/>
    <col min="12" max="12" width="19.58203125" customWidth="1"/>
    <col min="13" max="13" width="16.58203125" customWidth="1"/>
    <col min="14" max="14" width="18.4140625" customWidth="1"/>
    <col min="15" max="15" width="18.83203125" customWidth="1"/>
    <col min="16" max="16" width="22.1640625" customWidth="1"/>
    <col min="17" max="17" width="20.4140625" customWidth="1"/>
    <col min="18" max="18" width="21" customWidth="1"/>
  </cols>
  <sheetData>
    <row r="1" spans="1:36">
      <c r="A1" s="46" t="s">
        <v>1321</v>
      </c>
      <c r="B1" s="47"/>
      <c r="C1" s="46"/>
      <c r="D1" s="46"/>
      <c r="E1" s="46"/>
      <c r="F1" s="47"/>
      <c r="G1" s="47"/>
      <c r="H1" s="47"/>
      <c r="I1" s="47"/>
      <c r="J1" s="47"/>
      <c r="K1" s="47"/>
      <c r="L1" s="47"/>
      <c r="M1" s="47"/>
      <c r="N1" s="198"/>
      <c r="O1" s="57"/>
      <c r="P1" s="52"/>
      <c r="Q1" s="52"/>
      <c r="R1" s="52"/>
      <c r="S1" s="52"/>
      <c r="T1" s="360"/>
      <c r="U1" s="360"/>
      <c r="V1" s="360"/>
      <c r="W1" s="360"/>
      <c r="X1" s="360"/>
      <c r="Y1" s="360"/>
      <c r="Z1" s="360"/>
      <c r="AA1" s="360"/>
      <c r="AB1" s="360"/>
      <c r="AC1" s="360"/>
      <c r="AD1" s="360"/>
      <c r="AE1" s="360"/>
      <c r="AF1" s="360"/>
      <c r="AG1" s="360"/>
      <c r="AH1" s="360"/>
      <c r="AI1" s="360"/>
      <c r="AJ1" s="360"/>
    </row>
    <row r="2" spans="1:36" ht="23">
      <c r="A2" s="199" t="s">
        <v>1401</v>
      </c>
      <c r="B2" s="46"/>
      <c r="C2" s="518"/>
      <c r="D2" s="317"/>
      <c r="E2" s="47"/>
      <c r="F2" s="47"/>
      <c r="G2" s="47"/>
      <c r="H2" s="47"/>
      <c r="I2" s="47"/>
      <c r="J2" s="47"/>
      <c r="K2" s="47"/>
      <c r="L2" s="47"/>
      <c r="M2" s="47"/>
      <c r="N2" s="198"/>
      <c r="O2" s="57"/>
      <c r="P2" s="52"/>
      <c r="Q2" s="52"/>
      <c r="R2" s="52"/>
      <c r="S2" s="52"/>
      <c r="T2" s="360"/>
      <c r="U2" s="360"/>
      <c r="V2" s="360"/>
      <c r="W2" s="360"/>
      <c r="X2" s="360"/>
      <c r="Y2" s="360"/>
      <c r="Z2" s="360"/>
      <c r="AA2" s="360"/>
      <c r="AB2" s="360"/>
      <c r="AC2" s="360"/>
      <c r="AD2" s="360"/>
      <c r="AE2" s="360"/>
      <c r="AF2" s="360"/>
      <c r="AG2" s="360"/>
      <c r="AH2" s="360"/>
      <c r="AI2" s="360"/>
      <c r="AJ2" s="360"/>
    </row>
    <row r="3" spans="1:36" ht="15.5">
      <c r="A3" s="320" t="s">
        <v>1402</v>
      </c>
      <c r="B3" s="47"/>
      <c r="C3" s="47"/>
      <c r="D3" s="318"/>
      <c r="E3" s="47"/>
      <c r="F3" s="47"/>
      <c r="G3" s="47"/>
      <c r="H3" s="47"/>
      <c r="I3" s="47"/>
      <c r="J3" s="47"/>
      <c r="K3" s="47"/>
      <c r="L3" s="47"/>
      <c r="M3" s="47"/>
      <c r="N3" s="198"/>
      <c r="O3" s="57"/>
      <c r="P3" s="52"/>
      <c r="Q3" s="52"/>
      <c r="R3" s="52"/>
      <c r="S3" s="52"/>
      <c r="T3" s="360"/>
      <c r="U3" s="360"/>
      <c r="V3" s="360"/>
      <c r="W3" s="360"/>
      <c r="X3" s="360"/>
      <c r="Y3" s="360"/>
      <c r="Z3" s="360"/>
      <c r="AA3" s="360"/>
      <c r="AB3" s="360"/>
      <c r="AC3" s="360"/>
      <c r="AD3" s="360"/>
      <c r="AE3" s="360"/>
      <c r="AF3" s="360"/>
      <c r="AG3" s="360"/>
      <c r="AH3" s="360"/>
      <c r="AI3" s="360"/>
      <c r="AJ3" s="360"/>
    </row>
    <row r="4" spans="1:36" ht="15.5">
      <c r="A4" s="320" t="s">
        <v>1895</v>
      </c>
      <c r="B4" s="47"/>
      <c r="C4" s="47"/>
      <c r="D4" s="318"/>
      <c r="E4" s="47"/>
      <c r="F4" s="47"/>
      <c r="G4" s="47"/>
      <c r="H4" s="47"/>
      <c r="I4" s="47"/>
      <c r="J4" s="47"/>
      <c r="K4" s="47"/>
      <c r="L4" s="47"/>
      <c r="M4" s="47"/>
      <c r="N4" s="198"/>
      <c r="O4" s="57"/>
      <c r="P4" s="52"/>
      <c r="Q4" s="52"/>
      <c r="R4" s="52"/>
      <c r="S4" s="52"/>
      <c r="T4" s="360"/>
      <c r="U4" s="360"/>
      <c r="V4" s="360"/>
      <c r="W4" s="360"/>
      <c r="X4" s="360"/>
      <c r="Y4" s="360"/>
      <c r="Z4" s="360"/>
      <c r="AA4" s="360"/>
      <c r="AB4" s="360"/>
      <c r="AC4" s="360"/>
      <c r="AD4" s="360"/>
      <c r="AE4" s="360"/>
      <c r="AF4" s="360"/>
      <c r="AG4" s="360"/>
      <c r="AH4" s="360"/>
      <c r="AI4" s="360"/>
      <c r="AJ4" s="360"/>
    </row>
    <row r="5" spans="1:36" ht="15.5">
      <c r="A5" s="320" t="s">
        <v>1896</v>
      </c>
      <c r="B5" s="47"/>
      <c r="C5" s="47"/>
      <c r="D5" s="381"/>
      <c r="E5" s="47"/>
      <c r="F5" s="47"/>
      <c r="G5" s="47"/>
      <c r="H5" s="47"/>
      <c r="I5" s="47"/>
      <c r="J5" s="47"/>
      <c r="K5" s="47"/>
      <c r="L5" s="47"/>
      <c r="M5" s="47"/>
      <c r="N5" s="198"/>
      <c r="O5" s="57"/>
      <c r="P5" s="52"/>
      <c r="Q5" s="52"/>
      <c r="R5" s="52"/>
      <c r="S5" s="52"/>
      <c r="T5" s="360"/>
      <c r="U5" s="360"/>
      <c r="V5" s="360"/>
      <c r="W5" s="360"/>
      <c r="X5" s="360"/>
      <c r="Y5" s="360"/>
      <c r="Z5" s="360"/>
      <c r="AA5" s="360"/>
      <c r="AB5" s="360"/>
      <c r="AC5" s="360"/>
      <c r="AD5" s="360"/>
      <c r="AE5" s="360"/>
      <c r="AF5" s="360"/>
      <c r="AG5" s="360"/>
      <c r="AH5" s="360"/>
      <c r="AI5" s="360"/>
      <c r="AJ5" s="360"/>
    </row>
    <row r="6" spans="1:36" ht="15.5">
      <c r="A6" s="320" t="s">
        <v>1897</v>
      </c>
      <c r="B6" s="47"/>
      <c r="C6" s="47"/>
      <c r="D6" s="318"/>
      <c r="E6" s="47"/>
      <c r="F6" s="47"/>
      <c r="G6" s="47"/>
      <c r="H6" s="47"/>
      <c r="I6" s="47"/>
      <c r="J6" s="47"/>
      <c r="K6" s="47"/>
      <c r="L6" s="47"/>
      <c r="M6" s="47"/>
      <c r="N6" s="198"/>
      <c r="O6" s="57"/>
      <c r="P6" s="52"/>
      <c r="Q6" s="52"/>
      <c r="R6" s="52"/>
      <c r="S6" s="52"/>
      <c r="T6" s="360"/>
      <c r="U6" s="360"/>
      <c r="V6" s="360"/>
      <c r="W6" s="360"/>
      <c r="X6" s="360"/>
      <c r="Y6" s="360"/>
      <c r="Z6" s="360"/>
      <c r="AA6" s="360"/>
      <c r="AB6" s="360"/>
      <c r="AC6" s="360"/>
      <c r="AD6" s="360"/>
      <c r="AE6" s="360"/>
      <c r="AF6" s="360"/>
      <c r="AG6" s="360"/>
      <c r="AH6" s="360"/>
      <c r="AI6" s="360"/>
      <c r="AJ6" s="360"/>
    </row>
    <row r="7" spans="1:36" ht="15.5">
      <c r="A7" s="47"/>
      <c r="B7" s="47"/>
      <c r="C7" s="47"/>
      <c r="D7" s="318"/>
      <c r="E7" s="47"/>
      <c r="F7" s="47"/>
      <c r="G7" s="47"/>
      <c r="H7" s="47"/>
      <c r="I7" s="47"/>
      <c r="J7" s="47"/>
      <c r="K7" s="47"/>
      <c r="L7" s="47"/>
      <c r="M7" s="47"/>
      <c r="N7" s="198"/>
      <c r="O7" s="57"/>
      <c r="P7" s="52"/>
      <c r="Q7" s="52"/>
      <c r="R7" s="52"/>
      <c r="S7" s="52"/>
      <c r="T7" s="360"/>
      <c r="U7" s="360"/>
      <c r="V7" s="360"/>
      <c r="W7" s="360"/>
      <c r="X7" s="360"/>
      <c r="Y7" s="360"/>
      <c r="Z7" s="360"/>
      <c r="AA7" s="360"/>
      <c r="AB7" s="360"/>
      <c r="AC7" s="360"/>
      <c r="AD7" s="360"/>
      <c r="AE7" s="360"/>
      <c r="AF7" s="360"/>
      <c r="AG7" s="360"/>
      <c r="AH7" s="360"/>
      <c r="AI7" s="360"/>
      <c r="AJ7" s="360"/>
    </row>
    <row r="8" spans="1:36">
      <c r="A8" s="46" t="s">
        <v>1403</v>
      </c>
      <c r="B8" s="46"/>
      <c r="C8" s="47"/>
      <c r="D8" s="286"/>
      <c r="E8" s="47"/>
      <c r="F8" s="47"/>
      <c r="G8" s="47"/>
      <c r="H8" s="47"/>
      <c r="I8" s="47"/>
      <c r="J8" s="47"/>
      <c r="K8" s="47"/>
      <c r="L8" s="47"/>
      <c r="M8" s="47"/>
      <c r="N8" s="198"/>
      <c r="O8" s="57"/>
      <c r="P8" s="52"/>
      <c r="Q8" s="52"/>
      <c r="R8" s="52"/>
      <c r="S8" s="52"/>
      <c r="T8" s="360"/>
      <c r="U8" s="360"/>
      <c r="V8" s="360"/>
      <c r="W8" s="360"/>
      <c r="X8" s="360"/>
      <c r="Y8" s="360"/>
      <c r="Z8" s="360"/>
      <c r="AA8" s="360"/>
      <c r="AB8" s="360"/>
      <c r="AC8" s="360"/>
      <c r="AD8" s="360"/>
      <c r="AE8" s="360"/>
      <c r="AF8" s="360"/>
      <c r="AG8" s="360"/>
      <c r="AH8" s="360"/>
      <c r="AI8" s="360"/>
      <c r="AJ8" s="360"/>
    </row>
    <row r="9" spans="1:36" ht="15.5">
      <c r="A9" s="320" t="s">
        <v>1898</v>
      </c>
      <c r="B9" s="47"/>
      <c r="C9" s="47"/>
      <c r="D9" s="381"/>
      <c r="E9" s="47"/>
      <c r="F9" s="47"/>
      <c r="G9" s="47"/>
      <c r="H9" s="47"/>
      <c r="I9" s="47"/>
      <c r="J9" s="47"/>
      <c r="K9" s="47"/>
      <c r="L9" s="47"/>
      <c r="M9" s="47"/>
      <c r="N9" s="198"/>
      <c r="O9" s="57"/>
      <c r="P9" s="52"/>
      <c r="Q9" s="52"/>
      <c r="R9" s="52"/>
      <c r="S9" s="52"/>
      <c r="T9" s="360"/>
      <c r="U9" s="360"/>
      <c r="V9" s="360"/>
      <c r="W9" s="360"/>
      <c r="X9" s="360"/>
      <c r="Y9" s="360"/>
      <c r="Z9" s="360"/>
      <c r="AA9" s="360"/>
      <c r="AB9" s="360"/>
      <c r="AC9" s="360"/>
      <c r="AD9" s="360"/>
      <c r="AE9" s="360"/>
      <c r="AF9" s="360"/>
      <c r="AG9" s="360"/>
      <c r="AH9" s="360"/>
      <c r="AI9" s="360"/>
      <c r="AJ9" s="360"/>
    </row>
    <row r="10" spans="1:36" ht="15.5">
      <c r="A10" s="320" t="s">
        <v>1899</v>
      </c>
      <c r="B10" s="47"/>
      <c r="C10" s="47"/>
      <c r="D10" s="318"/>
      <c r="E10" s="47"/>
      <c r="F10" s="47"/>
      <c r="G10" s="47"/>
      <c r="H10" s="47"/>
      <c r="I10" s="47"/>
      <c r="J10" s="47"/>
      <c r="K10" s="47"/>
      <c r="L10" s="47"/>
      <c r="M10" s="47"/>
      <c r="N10" s="198"/>
      <c r="O10" s="57"/>
      <c r="P10" s="52"/>
      <c r="Q10" s="52"/>
      <c r="R10" s="52"/>
      <c r="S10" s="52"/>
      <c r="T10" s="360"/>
      <c r="U10" s="360"/>
      <c r="V10" s="360"/>
      <c r="W10" s="360"/>
      <c r="X10" s="360"/>
      <c r="Y10" s="360"/>
      <c r="Z10" s="360"/>
      <c r="AA10" s="360"/>
      <c r="AB10" s="360"/>
      <c r="AC10" s="360"/>
      <c r="AD10" s="360"/>
      <c r="AE10" s="360"/>
      <c r="AF10" s="360"/>
      <c r="AG10" s="360"/>
      <c r="AH10" s="360"/>
      <c r="AI10" s="360"/>
      <c r="AJ10" s="360"/>
    </row>
    <row r="11" spans="1:36" ht="15.65" customHeight="1">
      <c r="A11" s="320" t="s">
        <v>1900</v>
      </c>
      <c r="B11" s="47"/>
      <c r="C11" s="47"/>
      <c r="D11" s="286"/>
      <c r="E11" s="47"/>
      <c r="F11" s="47"/>
      <c r="G11" s="47"/>
      <c r="H11" s="47"/>
      <c r="I11" s="47"/>
      <c r="J11" s="47"/>
      <c r="K11" s="47"/>
      <c r="L11" s="47"/>
      <c r="M11" s="47"/>
      <c r="N11" s="198"/>
      <c r="O11" s="57"/>
      <c r="P11" s="52"/>
      <c r="Q11" s="52"/>
      <c r="R11" s="52"/>
      <c r="S11" s="52"/>
      <c r="T11" s="360"/>
      <c r="U11" s="360"/>
      <c r="V11" s="360"/>
      <c r="W11" s="360"/>
      <c r="X11" s="360"/>
      <c r="Y11" s="360"/>
      <c r="Z11" s="360"/>
      <c r="AA11" s="360"/>
      <c r="AB11" s="360"/>
      <c r="AC11" s="360"/>
      <c r="AD11" s="360"/>
      <c r="AE11" s="360"/>
      <c r="AF11" s="360"/>
      <c r="AG11" s="360"/>
      <c r="AH11" s="360"/>
      <c r="AI11" s="360"/>
      <c r="AJ11" s="360"/>
    </row>
    <row r="12" spans="1:36" ht="15.5">
      <c r="A12" s="47"/>
      <c r="B12" s="47"/>
      <c r="C12" s="47"/>
      <c r="D12" s="381"/>
      <c r="E12" s="47"/>
      <c r="F12" s="47"/>
      <c r="G12" s="47"/>
      <c r="H12" s="47"/>
      <c r="I12" s="47"/>
      <c r="J12" s="47"/>
      <c r="K12" s="47"/>
      <c r="L12" s="47"/>
      <c r="M12" s="47"/>
      <c r="N12" s="198"/>
      <c r="O12" s="57"/>
      <c r="P12" s="52"/>
      <c r="Q12" s="52"/>
      <c r="R12" s="52"/>
      <c r="S12" s="52"/>
      <c r="T12" s="360"/>
      <c r="U12" s="360"/>
      <c r="V12" s="360"/>
      <c r="W12" s="360"/>
      <c r="X12" s="360"/>
      <c r="Y12" s="360"/>
      <c r="Z12" s="360"/>
      <c r="AA12" s="360"/>
      <c r="AB12" s="360"/>
      <c r="AC12" s="360"/>
      <c r="AD12" s="360"/>
      <c r="AE12" s="360"/>
      <c r="AF12" s="360"/>
      <c r="AG12" s="360"/>
      <c r="AH12" s="360"/>
      <c r="AI12" s="360"/>
      <c r="AJ12" s="360"/>
    </row>
    <row r="13" spans="1:36" ht="15.5">
      <c r="A13" s="46" t="s">
        <v>1404</v>
      </c>
      <c r="B13" s="47"/>
      <c r="C13" s="47"/>
      <c r="D13" s="318"/>
      <c r="E13" s="47"/>
      <c r="F13" s="47"/>
      <c r="G13" s="47"/>
      <c r="H13" s="47"/>
      <c r="I13" s="47"/>
      <c r="J13" s="47"/>
      <c r="K13" s="47"/>
      <c r="L13" s="47"/>
      <c r="M13" s="47"/>
      <c r="N13" s="198"/>
      <c r="O13" s="57"/>
      <c r="P13" s="52"/>
      <c r="Q13" s="52"/>
      <c r="R13" s="52"/>
      <c r="S13" s="52"/>
      <c r="T13" s="360"/>
      <c r="U13" s="360"/>
      <c r="V13" s="360"/>
      <c r="W13" s="360"/>
      <c r="X13" s="360"/>
      <c r="Y13" s="360"/>
      <c r="Z13" s="360"/>
      <c r="AA13" s="360"/>
      <c r="AB13" s="360"/>
      <c r="AC13" s="360"/>
      <c r="AD13" s="360"/>
      <c r="AE13" s="360"/>
      <c r="AF13" s="360"/>
      <c r="AG13" s="360"/>
      <c r="AH13" s="360"/>
      <c r="AI13" s="360"/>
      <c r="AJ13" s="360"/>
    </row>
    <row r="14" spans="1:36" ht="15.5">
      <c r="A14" s="320" t="s">
        <v>1901</v>
      </c>
      <c r="B14" s="47"/>
      <c r="C14" s="47"/>
      <c r="D14" s="381"/>
      <c r="E14" s="47"/>
      <c r="F14" s="47"/>
      <c r="G14" s="47"/>
      <c r="H14" s="47"/>
      <c r="I14" s="47"/>
      <c r="J14" s="47"/>
      <c r="K14" s="47"/>
      <c r="L14" s="47"/>
      <c r="M14" s="47"/>
      <c r="N14" s="198"/>
      <c r="O14" s="57"/>
      <c r="P14" s="52"/>
      <c r="Q14" s="52"/>
      <c r="R14" s="52"/>
      <c r="S14" s="52"/>
      <c r="T14" s="360"/>
      <c r="U14" s="360"/>
      <c r="V14" s="360"/>
      <c r="W14" s="360"/>
      <c r="X14" s="360"/>
      <c r="Y14" s="360"/>
      <c r="Z14" s="360"/>
      <c r="AA14" s="360"/>
      <c r="AB14" s="360"/>
      <c r="AC14" s="360"/>
      <c r="AD14" s="360"/>
      <c r="AE14" s="360"/>
      <c r="AF14" s="360"/>
      <c r="AG14" s="360"/>
      <c r="AH14" s="360"/>
      <c r="AI14" s="360"/>
      <c r="AJ14" s="360"/>
    </row>
    <row r="15" spans="1:36" ht="15.5">
      <c r="A15" s="320" t="s">
        <v>1902</v>
      </c>
      <c r="B15" s="47"/>
      <c r="C15" s="519"/>
      <c r="D15" s="382"/>
      <c r="E15" s="47"/>
      <c r="F15" s="47"/>
      <c r="G15" s="47"/>
      <c r="H15" s="47"/>
      <c r="I15" s="47"/>
      <c r="J15" s="47"/>
      <c r="K15" s="47"/>
      <c r="L15" s="47"/>
      <c r="M15" s="47"/>
      <c r="N15" s="198"/>
      <c r="O15" s="57"/>
      <c r="P15" s="52"/>
      <c r="Q15" s="52"/>
      <c r="R15" s="52"/>
      <c r="S15" s="52"/>
      <c r="T15" s="360"/>
      <c r="U15" s="360"/>
      <c r="V15" s="360"/>
      <c r="W15" s="360"/>
      <c r="X15" s="360"/>
      <c r="Y15" s="360"/>
      <c r="Z15" s="360"/>
      <c r="AA15" s="360"/>
      <c r="AB15" s="360"/>
      <c r="AC15" s="360"/>
      <c r="AD15" s="360"/>
      <c r="AE15" s="360"/>
      <c r="AF15" s="360"/>
      <c r="AG15" s="360"/>
      <c r="AH15" s="360"/>
      <c r="AI15" s="360"/>
      <c r="AJ15" s="360"/>
    </row>
    <row r="16" spans="1:36" ht="15.5">
      <c r="A16" s="320" t="s">
        <v>1903</v>
      </c>
      <c r="B16" s="47"/>
      <c r="C16" s="519"/>
      <c r="D16" s="382"/>
      <c r="E16" s="47"/>
      <c r="F16" s="47"/>
      <c r="G16" s="47"/>
      <c r="H16" s="47"/>
      <c r="I16" s="47"/>
      <c r="J16" s="47"/>
      <c r="K16" s="47"/>
      <c r="L16" s="47"/>
      <c r="M16" s="47"/>
      <c r="N16" s="198"/>
      <c r="O16" s="57"/>
      <c r="P16" s="52"/>
      <c r="Q16" s="52"/>
      <c r="R16" s="52"/>
      <c r="S16" s="52"/>
      <c r="T16" s="360"/>
      <c r="U16" s="360"/>
      <c r="V16" s="360"/>
      <c r="W16" s="360"/>
      <c r="X16" s="360"/>
      <c r="Y16" s="360"/>
      <c r="Z16" s="360"/>
      <c r="AA16" s="360"/>
      <c r="AB16" s="360"/>
      <c r="AC16" s="360"/>
      <c r="AD16" s="360"/>
      <c r="AE16" s="360"/>
      <c r="AF16" s="360"/>
      <c r="AG16" s="360"/>
      <c r="AH16" s="360"/>
      <c r="AI16" s="360"/>
      <c r="AJ16" s="360"/>
    </row>
    <row r="17" spans="1:36" ht="15.5">
      <c r="A17" s="47"/>
      <c r="B17" s="47"/>
      <c r="C17" s="519"/>
      <c r="D17" s="382"/>
      <c r="E17" s="47"/>
      <c r="F17" s="47"/>
      <c r="G17" s="47"/>
      <c r="H17" s="47"/>
      <c r="I17" s="47"/>
      <c r="J17" s="47"/>
      <c r="K17" s="47"/>
      <c r="L17" s="47"/>
      <c r="M17" s="47"/>
      <c r="N17" s="198"/>
      <c r="O17" s="57"/>
      <c r="P17" s="52"/>
      <c r="Q17" s="52"/>
      <c r="R17" s="52"/>
      <c r="S17" s="52"/>
      <c r="T17" s="360"/>
      <c r="U17" s="360"/>
      <c r="V17" s="360"/>
      <c r="W17" s="360"/>
      <c r="X17" s="360"/>
      <c r="Y17" s="360"/>
      <c r="Z17" s="360"/>
      <c r="AA17" s="360"/>
      <c r="AB17" s="360"/>
      <c r="AC17" s="360"/>
      <c r="AD17" s="360"/>
      <c r="AE17" s="360"/>
      <c r="AF17" s="360"/>
      <c r="AG17" s="360"/>
      <c r="AH17" s="360"/>
      <c r="AI17" s="360"/>
      <c r="AJ17" s="360"/>
    </row>
    <row r="18" spans="1:36" ht="15.5">
      <c r="A18" s="46" t="s">
        <v>1405</v>
      </c>
      <c r="B18" s="46"/>
      <c r="C18" s="519"/>
      <c r="D18" s="382"/>
      <c r="E18" s="47"/>
      <c r="F18" s="47"/>
      <c r="G18" s="47"/>
      <c r="H18" s="47"/>
      <c r="I18" s="47"/>
      <c r="J18" s="47"/>
      <c r="K18" s="47"/>
      <c r="L18" s="47"/>
      <c r="M18" s="47"/>
      <c r="N18" s="198"/>
      <c r="O18" s="57"/>
      <c r="P18" s="52"/>
      <c r="Q18" s="52"/>
      <c r="R18" s="52"/>
      <c r="S18" s="52"/>
      <c r="T18" s="360"/>
      <c r="U18" s="360"/>
      <c r="V18" s="360"/>
      <c r="W18" s="360"/>
      <c r="X18" s="360"/>
      <c r="Y18" s="360"/>
      <c r="Z18" s="360"/>
      <c r="AA18" s="360"/>
      <c r="AB18" s="360"/>
      <c r="AC18" s="360"/>
      <c r="AD18" s="360"/>
      <c r="AE18" s="360"/>
      <c r="AF18" s="360"/>
      <c r="AG18" s="360"/>
      <c r="AH18" s="360"/>
      <c r="AI18" s="360"/>
      <c r="AJ18" s="360"/>
    </row>
    <row r="19" spans="1:36" ht="15.5">
      <c r="A19" s="320" t="s">
        <v>1904</v>
      </c>
      <c r="B19" s="47"/>
      <c r="C19" s="519"/>
      <c r="D19" s="382"/>
      <c r="E19" s="47"/>
      <c r="F19" s="47"/>
      <c r="G19" s="47"/>
      <c r="H19" s="47"/>
      <c r="I19" s="47"/>
      <c r="J19" s="47"/>
      <c r="K19" s="47"/>
      <c r="L19" s="47"/>
      <c r="M19" s="47"/>
      <c r="N19" s="198"/>
      <c r="O19" s="57"/>
      <c r="P19" s="52"/>
      <c r="Q19" s="52"/>
      <c r="R19" s="52"/>
      <c r="S19" s="52"/>
      <c r="T19" s="360"/>
      <c r="U19" s="360"/>
      <c r="V19" s="360"/>
      <c r="W19" s="360"/>
      <c r="X19" s="360"/>
      <c r="Y19" s="360"/>
      <c r="Z19" s="360"/>
      <c r="AA19" s="360"/>
      <c r="AB19" s="360"/>
      <c r="AC19" s="360"/>
      <c r="AD19" s="360"/>
      <c r="AE19" s="360"/>
      <c r="AF19" s="360"/>
      <c r="AG19" s="360"/>
      <c r="AH19" s="360"/>
      <c r="AI19" s="360"/>
      <c r="AJ19" s="360"/>
    </row>
    <row r="20" spans="1:36" ht="15.5">
      <c r="A20" s="320" t="s">
        <v>1905</v>
      </c>
      <c r="B20" s="47"/>
      <c r="C20" s="519"/>
      <c r="D20" s="382"/>
      <c r="E20" s="47"/>
      <c r="F20" s="47"/>
      <c r="G20" s="47"/>
      <c r="H20" s="47"/>
      <c r="I20" s="47"/>
      <c r="J20" s="47"/>
      <c r="K20" s="47"/>
      <c r="L20" s="47"/>
      <c r="M20" s="47"/>
      <c r="N20" s="198"/>
      <c r="O20" s="57"/>
      <c r="P20" s="52"/>
      <c r="Q20" s="52"/>
      <c r="R20" s="52"/>
      <c r="S20" s="52"/>
      <c r="T20" s="360"/>
      <c r="U20" s="360"/>
      <c r="V20" s="360"/>
      <c r="W20" s="360"/>
      <c r="X20" s="360"/>
      <c r="Y20" s="360"/>
      <c r="Z20" s="360"/>
      <c r="AA20" s="360"/>
      <c r="AB20" s="360"/>
      <c r="AC20" s="360"/>
      <c r="AD20" s="360"/>
      <c r="AE20" s="360"/>
      <c r="AF20" s="360"/>
      <c r="AG20" s="360"/>
      <c r="AH20" s="360"/>
      <c r="AI20" s="360"/>
      <c r="AJ20" s="360"/>
    </row>
    <row r="21" spans="1:36" ht="15.5">
      <c r="A21" s="320" t="s">
        <v>1906</v>
      </c>
      <c r="B21" s="47"/>
      <c r="C21" s="519"/>
      <c r="D21" s="382"/>
      <c r="E21" s="47"/>
      <c r="F21" s="47"/>
      <c r="G21" s="47"/>
      <c r="H21" s="47"/>
      <c r="I21" s="47"/>
      <c r="J21" s="47"/>
      <c r="K21" s="47"/>
      <c r="L21" s="47"/>
      <c r="M21" s="47"/>
      <c r="N21" s="198"/>
      <c r="O21" s="57"/>
      <c r="P21" s="52"/>
      <c r="Q21" s="52"/>
      <c r="R21" s="52"/>
      <c r="S21" s="52"/>
      <c r="T21" s="360"/>
      <c r="U21" s="360"/>
      <c r="V21" s="360"/>
      <c r="W21" s="360"/>
      <c r="X21" s="360"/>
      <c r="Y21" s="360"/>
      <c r="Z21" s="360"/>
      <c r="AA21" s="360"/>
      <c r="AB21" s="360"/>
      <c r="AC21" s="360"/>
      <c r="AD21" s="360"/>
      <c r="AE21" s="360"/>
      <c r="AF21" s="360"/>
      <c r="AG21" s="360"/>
      <c r="AH21" s="360"/>
      <c r="AI21" s="360"/>
      <c r="AJ21" s="360"/>
    </row>
    <row r="22" spans="1:36" ht="15.5">
      <c r="A22" s="47"/>
      <c r="B22" s="47"/>
      <c r="C22" s="519"/>
      <c r="D22" s="382"/>
      <c r="E22" s="47"/>
      <c r="F22" s="47"/>
      <c r="G22" s="47"/>
      <c r="H22" s="47"/>
      <c r="I22" s="47"/>
      <c r="J22" s="47"/>
      <c r="K22" s="47"/>
      <c r="L22" s="47"/>
      <c r="M22" s="47"/>
      <c r="N22" s="198"/>
      <c r="O22" s="57"/>
      <c r="P22" s="52"/>
      <c r="Q22" s="52"/>
      <c r="R22" s="52"/>
      <c r="S22" s="52"/>
      <c r="T22" s="360"/>
      <c r="U22" s="360"/>
      <c r="V22" s="360"/>
      <c r="W22" s="360"/>
      <c r="X22" s="360"/>
      <c r="Y22" s="360"/>
      <c r="Z22" s="360"/>
      <c r="AA22" s="360"/>
      <c r="AB22" s="360"/>
      <c r="AC22" s="360"/>
      <c r="AD22" s="360"/>
      <c r="AE22" s="360"/>
      <c r="AF22" s="360"/>
      <c r="AG22" s="360"/>
      <c r="AH22" s="360"/>
      <c r="AI22" s="360"/>
      <c r="AJ22" s="360"/>
    </row>
    <row r="23" spans="1:36" ht="15.5">
      <c r="A23" s="46" t="s">
        <v>1406</v>
      </c>
      <c r="B23" s="46"/>
      <c r="C23" s="519"/>
      <c r="D23" s="382"/>
      <c r="E23" s="47"/>
      <c r="F23" s="47"/>
      <c r="G23" s="47"/>
      <c r="H23" s="47"/>
      <c r="I23" s="47"/>
      <c r="J23" s="47"/>
      <c r="K23" s="47"/>
      <c r="L23" s="47"/>
      <c r="M23" s="47"/>
      <c r="N23" s="198"/>
      <c r="O23" s="57"/>
      <c r="P23" s="52"/>
      <c r="Q23" s="52"/>
      <c r="R23" s="52"/>
      <c r="S23" s="52"/>
      <c r="T23" s="360"/>
      <c r="U23" s="360"/>
      <c r="V23" s="360"/>
      <c r="W23" s="360"/>
      <c r="X23" s="360"/>
      <c r="Y23" s="360"/>
      <c r="Z23" s="360"/>
      <c r="AA23" s="360"/>
      <c r="AB23" s="360"/>
      <c r="AC23" s="360"/>
      <c r="AD23" s="360"/>
      <c r="AE23" s="360"/>
      <c r="AF23" s="360"/>
      <c r="AG23" s="360"/>
      <c r="AH23" s="360"/>
      <c r="AI23" s="360"/>
      <c r="AJ23" s="360"/>
    </row>
    <row r="24" spans="1:36" ht="15.5">
      <c r="A24" s="320" t="s">
        <v>1907</v>
      </c>
      <c r="B24" s="47"/>
      <c r="C24" s="519"/>
      <c r="D24" s="382"/>
      <c r="E24" s="47"/>
      <c r="F24" s="47"/>
      <c r="G24" s="47"/>
      <c r="H24" s="47"/>
      <c r="I24" s="47"/>
      <c r="J24" s="47"/>
      <c r="K24" s="47"/>
      <c r="L24" s="47"/>
      <c r="M24" s="47"/>
      <c r="N24" s="198"/>
      <c r="O24" s="57"/>
      <c r="P24" s="52"/>
      <c r="Q24" s="52"/>
      <c r="R24" s="52"/>
      <c r="S24" s="52"/>
      <c r="T24" s="360"/>
      <c r="U24" s="360"/>
      <c r="V24" s="360"/>
      <c r="W24" s="360"/>
      <c r="X24" s="360"/>
      <c r="Y24" s="360"/>
      <c r="Z24" s="360"/>
      <c r="AA24" s="360"/>
      <c r="AB24" s="360"/>
      <c r="AC24" s="360"/>
      <c r="AD24" s="360"/>
      <c r="AE24" s="360"/>
      <c r="AF24" s="360"/>
      <c r="AG24" s="360"/>
      <c r="AH24" s="360"/>
      <c r="AI24" s="360"/>
      <c r="AJ24" s="360"/>
    </row>
    <row r="25" spans="1:36" ht="15.5">
      <c r="A25" s="320" t="s">
        <v>1908</v>
      </c>
      <c r="B25" s="47"/>
      <c r="C25" s="519"/>
      <c r="D25" s="382"/>
      <c r="E25" s="47"/>
      <c r="F25" s="47"/>
      <c r="G25" s="47"/>
      <c r="H25" s="47"/>
      <c r="I25" s="47"/>
      <c r="J25" s="47"/>
      <c r="K25" s="47"/>
      <c r="L25" s="47"/>
      <c r="M25" s="47"/>
      <c r="N25" s="198"/>
      <c r="O25" s="57"/>
      <c r="P25" s="52"/>
      <c r="Q25" s="52"/>
      <c r="R25" s="52"/>
      <c r="S25" s="52"/>
      <c r="T25" s="360"/>
      <c r="U25" s="360"/>
      <c r="V25" s="360"/>
      <c r="W25" s="360"/>
      <c r="X25" s="360"/>
      <c r="Y25" s="360"/>
      <c r="Z25" s="360"/>
      <c r="AA25" s="360"/>
      <c r="AB25" s="360"/>
      <c r="AC25" s="360"/>
      <c r="AD25" s="360"/>
      <c r="AE25" s="360"/>
      <c r="AF25" s="360"/>
      <c r="AG25" s="360"/>
      <c r="AH25" s="360"/>
      <c r="AI25" s="360"/>
      <c r="AJ25" s="360"/>
    </row>
    <row r="26" spans="1:36" ht="15.5">
      <c r="A26" s="47"/>
      <c r="B26" s="47"/>
      <c r="C26" s="519"/>
      <c r="D26" s="382"/>
      <c r="E26" s="47"/>
      <c r="F26" s="47"/>
      <c r="G26" s="47"/>
      <c r="H26" s="47"/>
      <c r="I26" s="47"/>
      <c r="J26" s="47"/>
      <c r="K26" s="47"/>
      <c r="L26" s="47"/>
      <c r="M26" s="47"/>
      <c r="N26" s="198"/>
      <c r="O26" s="57"/>
      <c r="P26" s="52"/>
      <c r="Q26" s="52"/>
      <c r="R26" s="52"/>
      <c r="S26" s="52"/>
      <c r="T26" s="360"/>
      <c r="U26" s="360"/>
      <c r="V26" s="360"/>
      <c r="W26" s="360"/>
      <c r="X26" s="360"/>
      <c r="Y26" s="360"/>
      <c r="Z26" s="360"/>
      <c r="AA26" s="360"/>
      <c r="AB26" s="360"/>
      <c r="AC26" s="360"/>
      <c r="AD26" s="360"/>
      <c r="AE26" s="360"/>
      <c r="AF26" s="360"/>
      <c r="AG26" s="360"/>
      <c r="AH26" s="360"/>
      <c r="AI26" s="360"/>
      <c r="AJ26" s="360"/>
    </row>
    <row r="27" spans="1:36" ht="15.5">
      <c r="A27" s="46" t="s">
        <v>1407</v>
      </c>
      <c r="B27" s="47"/>
      <c r="C27" s="519"/>
      <c r="D27" s="382"/>
      <c r="E27" s="47"/>
      <c r="F27" s="47"/>
      <c r="G27" s="47"/>
      <c r="H27" s="47"/>
      <c r="I27" s="47"/>
      <c r="J27" s="47"/>
      <c r="K27" s="47"/>
      <c r="L27" s="47"/>
      <c r="M27" s="47"/>
      <c r="N27" s="198"/>
      <c r="O27" s="57"/>
      <c r="P27" s="52"/>
      <c r="Q27" s="52"/>
      <c r="R27" s="52"/>
      <c r="S27" s="52"/>
      <c r="T27" s="360"/>
      <c r="U27" s="360"/>
      <c r="V27" s="360"/>
      <c r="W27" s="360"/>
      <c r="X27" s="360"/>
      <c r="Y27" s="360"/>
      <c r="Z27" s="360"/>
      <c r="AA27" s="360"/>
      <c r="AB27" s="360"/>
      <c r="AC27" s="360"/>
      <c r="AD27" s="360"/>
      <c r="AE27" s="360"/>
      <c r="AF27" s="360"/>
      <c r="AG27" s="360"/>
      <c r="AH27" s="360"/>
      <c r="AI27" s="360"/>
      <c r="AJ27" s="360"/>
    </row>
    <row r="28" spans="1:36" ht="15.5">
      <c r="A28" s="320" t="s">
        <v>1924</v>
      </c>
      <c r="B28" s="47"/>
      <c r="C28" s="519"/>
      <c r="D28" s="382"/>
      <c r="E28" s="47"/>
      <c r="F28" s="47"/>
      <c r="G28" s="47"/>
      <c r="H28" s="47"/>
      <c r="I28" s="47"/>
      <c r="J28" s="47"/>
      <c r="K28" s="47"/>
      <c r="L28" s="47"/>
      <c r="M28" s="47"/>
      <c r="N28" s="198"/>
      <c r="O28" s="57"/>
      <c r="P28" s="52"/>
      <c r="Q28" s="52"/>
      <c r="R28" s="52"/>
      <c r="S28" s="52"/>
      <c r="T28" s="360"/>
      <c r="U28" s="360"/>
      <c r="V28" s="360"/>
      <c r="W28" s="360"/>
      <c r="X28" s="360"/>
      <c r="Y28" s="360"/>
      <c r="Z28" s="360"/>
      <c r="AA28" s="360"/>
      <c r="AB28" s="360"/>
      <c r="AC28" s="360"/>
      <c r="AD28" s="360"/>
      <c r="AE28" s="360"/>
      <c r="AF28" s="360"/>
      <c r="AG28" s="360"/>
      <c r="AH28" s="360"/>
      <c r="AI28" s="360"/>
      <c r="AJ28" s="360"/>
    </row>
    <row r="29" spans="1:36" ht="15.5">
      <c r="A29" s="47"/>
      <c r="B29" s="47"/>
      <c r="C29" s="519"/>
      <c r="D29" s="382"/>
      <c r="E29" s="47"/>
      <c r="F29" s="47"/>
      <c r="G29" s="47"/>
      <c r="H29" s="47"/>
      <c r="I29" s="47"/>
      <c r="J29" s="47"/>
      <c r="K29" s="47"/>
      <c r="L29" s="47"/>
      <c r="M29" s="47"/>
      <c r="N29" s="198"/>
      <c r="O29" s="57"/>
      <c r="P29" s="52"/>
      <c r="Q29" s="52"/>
      <c r="R29" s="52"/>
      <c r="S29" s="52"/>
      <c r="T29" s="360"/>
      <c r="U29" s="360"/>
      <c r="V29" s="360"/>
      <c r="W29" s="360"/>
      <c r="X29" s="360"/>
      <c r="Y29" s="360"/>
      <c r="Z29" s="360"/>
      <c r="AA29" s="360"/>
      <c r="AB29" s="360"/>
      <c r="AC29" s="360"/>
      <c r="AD29" s="360"/>
      <c r="AE29" s="360"/>
      <c r="AF29" s="360"/>
      <c r="AG29" s="360"/>
      <c r="AH29" s="360"/>
      <c r="AI29" s="360"/>
      <c r="AJ29" s="360"/>
    </row>
    <row r="30" spans="1:36" ht="15.5">
      <c r="A30" s="46" t="s">
        <v>1408</v>
      </c>
      <c r="B30" s="46"/>
      <c r="C30" s="519"/>
      <c r="D30" s="382"/>
      <c r="E30" s="47"/>
      <c r="F30" s="47"/>
      <c r="G30" s="47"/>
      <c r="H30" s="47"/>
      <c r="I30" s="47"/>
      <c r="J30" s="47"/>
      <c r="K30" s="47"/>
      <c r="L30" s="47"/>
      <c r="M30" s="47"/>
      <c r="N30" s="198"/>
      <c r="O30" s="57"/>
      <c r="P30" s="52"/>
      <c r="Q30" s="52"/>
      <c r="R30" s="52"/>
      <c r="S30" s="52"/>
      <c r="T30" s="360"/>
      <c r="U30" s="360"/>
      <c r="V30" s="360"/>
      <c r="W30" s="360"/>
      <c r="X30" s="360"/>
      <c r="Y30" s="360"/>
      <c r="Z30" s="360"/>
      <c r="AA30" s="360"/>
      <c r="AB30" s="360"/>
      <c r="AC30" s="360"/>
      <c r="AD30" s="360"/>
      <c r="AE30" s="360"/>
      <c r="AF30" s="360"/>
      <c r="AG30" s="360"/>
      <c r="AH30" s="360"/>
      <c r="AI30" s="360"/>
      <c r="AJ30" s="360"/>
    </row>
    <row r="31" spans="1:36" ht="15.5">
      <c r="A31" s="320" t="s">
        <v>1909</v>
      </c>
      <c r="B31" s="47"/>
      <c r="C31" s="519"/>
      <c r="D31" s="382"/>
      <c r="E31" s="47"/>
      <c r="F31" s="47"/>
      <c r="G31" s="47"/>
      <c r="H31" s="47"/>
      <c r="I31" s="47"/>
      <c r="J31" s="47"/>
      <c r="K31" s="47"/>
      <c r="L31" s="47"/>
      <c r="M31" s="47"/>
      <c r="N31" s="198"/>
      <c r="O31" s="52"/>
      <c r="P31" s="52"/>
      <c r="Q31" s="52"/>
      <c r="R31" s="52"/>
      <c r="S31" s="52"/>
      <c r="T31" s="360"/>
      <c r="U31" s="360"/>
      <c r="V31" s="360"/>
      <c r="W31" s="360"/>
      <c r="X31" s="360"/>
      <c r="Y31" s="360"/>
      <c r="Z31" s="360"/>
      <c r="AA31" s="360"/>
      <c r="AB31" s="360"/>
      <c r="AC31" s="360"/>
      <c r="AD31" s="360"/>
      <c r="AE31" s="360"/>
      <c r="AF31" s="360"/>
      <c r="AG31" s="360"/>
      <c r="AH31" s="360"/>
      <c r="AI31" s="360"/>
      <c r="AJ31" s="360"/>
    </row>
    <row r="32" spans="1:36" ht="15.5">
      <c r="A32" s="47"/>
      <c r="B32" s="47"/>
      <c r="C32" s="47"/>
      <c r="D32" s="318"/>
      <c r="E32" s="47"/>
      <c r="F32" s="47"/>
      <c r="G32" s="47"/>
      <c r="H32" s="47"/>
      <c r="I32" s="47"/>
      <c r="J32" s="47"/>
      <c r="K32" s="47"/>
      <c r="L32" s="47"/>
      <c r="M32" s="47"/>
      <c r="N32" s="198"/>
      <c r="O32" s="52"/>
      <c r="P32" s="52"/>
      <c r="Q32" s="52"/>
      <c r="R32" s="52"/>
      <c r="S32" s="52"/>
      <c r="T32" s="360"/>
      <c r="U32" s="360"/>
      <c r="V32" s="360"/>
      <c r="W32" s="360"/>
      <c r="X32" s="360"/>
      <c r="Y32" s="360"/>
      <c r="Z32" s="360"/>
      <c r="AA32" s="360"/>
      <c r="AB32" s="360"/>
      <c r="AC32" s="360"/>
      <c r="AD32" s="360"/>
      <c r="AE32" s="360"/>
      <c r="AF32" s="360"/>
      <c r="AG32" s="360"/>
      <c r="AH32" s="360"/>
      <c r="AI32" s="360"/>
      <c r="AJ32" s="360"/>
    </row>
    <row r="33" spans="1:36">
      <c r="A33" s="46" t="s">
        <v>1409</v>
      </c>
      <c r="B33" s="47"/>
      <c r="C33" s="47"/>
      <c r="D33" s="286"/>
      <c r="E33" s="47"/>
      <c r="F33" s="47"/>
      <c r="G33" s="47"/>
      <c r="H33" s="47"/>
      <c r="I33" s="47"/>
      <c r="J33" s="47"/>
      <c r="K33" s="47"/>
      <c r="L33" s="47"/>
      <c r="M33" s="47"/>
      <c r="N33" s="198"/>
      <c r="O33" s="52"/>
      <c r="P33" s="52"/>
      <c r="Q33" s="52"/>
      <c r="R33" s="52"/>
      <c r="S33" s="52"/>
      <c r="T33" s="360"/>
      <c r="U33" s="360"/>
      <c r="V33" s="360"/>
      <c r="W33" s="360"/>
      <c r="X33" s="360"/>
      <c r="Y33" s="360"/>
      <c r="Z33" s="360"/>
      <c r="AA33" s="360"/>
      <c r="AB33" s="360"/>
      <c r="AC33" s="360"/>
      <c r="AD33" s="360"/>
      <c r="AE33" s="360"/>
      <c r="AF33" s="360"/>
      <c r="AG33" s="360"/>
      <c r="AH33" s="360"/>
      <c r="AI33" s="360"/>
      <c r="AJ33" s="360"/>
    </row>
    <row r="34" spans="1:36" ht="15.5">
      <c r="A34" s="46" t="s">
        <v>1410</v>
      </c>
      <c r="B34" s="46"/>
      <c r="C34" s="47"/>
      <c r="D34" s="381"/>
      <c r="E34" s="47"/>
      <c r="F34" s="47"/>
      <c r="G34" s="47"/>
      <c r="H34" s="47"/>
      <c r="I34" s="47"/>
      <c r="J34" s="47"/>
      <c r="K34" s="47"/>
      <c r="L34" s="47"/>
      <c r="M34" s="47"/>
      <c r="N34" s="198"/>
      <c r="O34" s="52"/>
      <c r="P34" s="52"/>
      <c r="Q34" s="52"/>
      <c r="R34" s="52"/>
      <c r="S34" s="52"/>
      <c r="T34" s="360"/>
      <c r="U34" s="360"/>
      <c r="V34" s="360"/>
      <c r="W34" s="360"/>
      <c r="X34" s="360"/>
      <c r="Y34" s="360"/>
      <c r="Z34" s="360"/>
      <c r="AA34" s="360"/>
      <c r="AB34" s="360"/>
      <c r="AC34" s="360"/>
      <c r="AD34" s="360"/>
      <c r="AE34" s="360"/>
      <c r="AF34" s="360"/>
      <c r="AG34" s="360"/>
      <c r="AH34" s="360"/>
      <c r="AI34" s="360"/>
      <c r="AJ34" s="360"/>
    </row>
    <row r="35" spans="1:36" ht="15.5">
      <c r="A35" s="320" t="s">
        <v>1910</v>
      </c>
      <c r="B35" s="320"/>
      <c r="C35" s="47"/>
      <c r="D35" s="318"/>
      <c r="E35" s="47"/>
      <c r="F35" s="47"/>
      <c r="G35" s="47"/>
      <c r="H35" s="47"/>
      <c r="I35" s="47"/>
      <c r="J35" s="47"/>
      <c r="K35" s="47"/>
      <c r="L35" s="47"/>
      <c r="M35" s="47"/>
      <c r="N35" s="198"/>
      <c r="O35" s="52"/>
      <c r="P35" s="52"/>
      <c r="Q35" s="52"/>
      <c r="R35" s="52"/>
      <c r="S35" s="52"/>
      <c r="T35" s="360"/>
      <c r="U35" s="360"/>
      <c r="V35" s="360"/>
      <c r="W35" s="360"/>
      <c r="X35" s="360"/>
      <c r="Y35" s="360"/>
      <c r="Z35" s="360"/>
      <c r="AA35" s="360"/>
      <c r="AB35" s="360"/>
      <c r="AC35" s="360"/>
      <c r="AD35" s="360"/>
      <c r="AE35" s="360"/>
      <c r="AF35" s="360"/>
      <c r="AG35" s="360"/>
      <c r="AH35" s="360"/>
      <c r="AI35" s="360"/>
      <c r="AJ35" s="360"/>
    </row>
    <row r="36" spans="1:36" ht="15.5">
      <c r="A36" s="47"/>
      <c r="B36" s="47"/>
      <c r="C36" s="47"/>
      <c r="D36" s="381"/>
      <c r="E36" s="47"/>
      <c r="F36" s="47"/>
      <c r="G36" s="47"/>
      <c r="H36" s="47"/>
      <c r="I36" s="47"/>
      <c r="J36" s="47"/>
      <c r="K36" s="47"/>
      <c r="L36" s="47"/>
      <c r="M36" s="47"/>
      <c r="N36" s="198"/>
      <c r="O36" s="52"/>
      <c r="P36" s="52"/>
      <c r="Q36" s="52"/>
      <c r="R36" s="52"/>
      <c r="S36" s="52"/>
      <c r="T36" s="360"/>
      <c r="U36" s="360"/>
      <c r="V36" s="360"/>
      <c r="W36" s="360"/>
      <c r="X36" s="360"/>
      <c r="Y36" s="360"/>
      <c r="Z36" s="360"/>
      <c r="AA36" s="360"/>
      <c r="AB36" s="360"/>
      <c r="AC36" s="360"/>
      <c r="AD36" s="360"/>
      <c r="AE36" s="360"/>
      <c r="AF36" s="360"/>
      <c r="AG36" s="360"/>
      <c r="AH36" s="360"/>
      <c r="AI36" s="360"/>
      <c r="AJ36" s="360"/>
    </row>
    <row r="37" spans="1:36" ht="15.5">
      <c r="A37" s="27" t="s">
        <v>1411</v>
      </c>
      <c r="B37" s="27"/>
      <c r="C37" s="47"/>
      <c r="D37" s="381"/>
      <c r="E37" s="47"/>
      <c r="F37" s="47"/>
      <c r="G37" s="47"/>
      <c r="H37" s="47"/>
      <c r="I37" s="47"/>
      <c r="J37" s="47"/>
      <c r="K37" s="47"/>
      <c r="L37" s="47"/>
      <c r="M37" s="47"/>
      <c r="N37" s="198"/>
      <c r="O37" s="52"/>
      <c r="P37" s="52"/>
      <c r="Q37" s="52"/>
      <c r="R37" s="52"/>
      <c r="S37" s="52"/>
      <c r="T37" s="360"/>
      <c r="U37" s="360"/>
      <c r="V37" s="360"/>
      <c r="W37" s="360"/>
      <c r="X37" s="360"/>
      <c r="Y37" s="360"/>
      <c r="Z37" s="360"/>
      <c r="AA37" s="360"/>
      <c r="AB37" s="360"/>
      <c r="AC37" s="360"/>
      <c r="AD37" s="360"/>
      <c r="AE37" s="360"/>
      <c r="AF37" s="360"/>
      <c r="AG37" s="360"/>
      <c r="AH37" s="360"/>
      <c r="AI37" s="360"/>
      <c r="AJ37" s="360"/>
    </row>
    <row r="38" spans="1:36" ht="15.5">
      <c r="A38" s="320" t="s">
        <v>1911</v>
      </c>
      <c r="B38" s="47"/>
      <c r="C38" s="47"/>
      <c r="D38" s="318"/>
      <c r="E38" s="47"/>
      <c r="F38" s="47"/>
      <c r="G38" s="47"/>
      <c r="H38" s="47"/>
      <c r="I38" s="47"/>
      <c r="J38" s="47"/>
      <c r="K38" s="47"/>
      <c r="L38" s="47"/>
      <c r="M38" s="47"/>
      <c r="N38" s="198"/>
      <c r="O38" s="52"/>
      <c r="P38" s="52"/>
      <c r="Q38" s="52"/>
      <c r="R38" s="52"/>
      <c r="S38" s="52"/>
      <c r="T38" s="360"/>
      <c r="U38" s="360"/>
      <c r="V38" s="360"/>
      <c r="W38" s="360"/>
      <c r="X38" s="360"/>
      <c r="Y38" s="360"/>
      <c r="Z38" s="360"/>
      <c r="AA38" s="360"/>
      <c r="AB38" s="360"/>
      <c r="AC38" s="360"/>
      <c r="AD38" s="360"/>
      <c r="AE38" s="360"/>
      <c r="AF38" s="360"/>
      <c r="AG38" s="360"/>
      <c r="AH38" s="360"/>
      <c r="AI38" s="360"/>
      <c r="AJ38" s="360"/>
    </row>
    <row r="39" spans="1:36" ht="15.5">
      <c r="A39" s="47"/>
      <c r="B39" s="47"/>
      <c r="C39" s="47"/>
      <c r="D39" s="381"/>
      <c r="E39" s="47"/>
      <c r="F39" s="47"/>
      <c r="G39" s="47"/>
      <c r="H39" s="47"/>
      <c r="I39" s="47"/>
      <c r="J39" s="47"/>
      <c r="K39" s="47"/>
      <c r="L39" s="47"/>
      <c r="M39" s="47"/>
      <c r="N39" s="198"/>
      <c r="O39" s="52"/>
      <c r="P39" s="52"/>
      <c r="Q39" s="52"/>
      <c r="R39" s="52"/>
      <c r="S39" s="52"/>
      <c r="T39" s="360"/>
      <c r="U39" s="360"/>
      <c r="V39" s="360"/>
      <c r="W39" s="360"/>
      <c r="X39" s="360"/>
      <c r="Y39" s="360"/>
      <c r="Z39" s="360"/>
      <c r="AA39" s="360"/>
      <c r="AB39" s="360"/>
      <c r="AC39" s="360"/>
      <c r="AD39" s="360"/>
      <c r="AE39" s="360"/>
      <c r="AF39" s="360"/>
      <c r="AG39" s="360"/>
      <c r="AH39" s="360"/>
      <c r="AI39" s="360"/>
      <c r="AJ39" s="360"/>
    </row>
    <row r="40" spans="1:36">
      <c r="A40" s="27" t="s">
        <v>1412</v>
      </c>
      <c r="B40" s="27"/>
      <c r="C40" s="47"/>
      <c r="D40" s="47"/>
      <c r="E40" s="47"/>
      <c r="F40" s="47"/>
      <c r="G40" s="47"/>
      <c r="H40" s="47"/>
      <c r="I40" s="47"/>
      <c r="J40" s="47"/>
      <c r="K40" s="47"/>
      <c r="L40" s="47"/>
      <c r="M40" s="47"/>
      <c r="N40" s="198"/>
      <c r="O40" s="52"/>
      <c r="P40" s="52"/>
      <c r="Q40" s="52"/>
      <c r="R40" s="52"/>
      <c r="S40" s="52"/>
      <c r="T40" s="360"/>
      <c r="U40" s="360"/>
      <c r="V40" s="360"/>
      <c r="W40" s="360"/>
      <c r="X40" s="360"/>
      <c r="Y40" s="360"/>
      <c r="Z40" s="360"/>
      <c r="AA40" s="360"/>
      <c r="AB40" s="360"/>
      <c r="AC40" s="360"/>
      <c r="AD40" s="360"/>
      <c r="AE40" s="360"/>
      <c r="AF40" s="360"/>
      <c r="AG40" s="360"/>
      <c r="AH40" s="360"/>
      <c r="AI40" s="360"/>
      <c r="AJ40" s="360"/>
    </row>
    <row r="41" spans="1:36">
      <c r="A41" s="320" t="s">
        <v>1912</v>
      </c>
      <c r="B41" s="47"/>
      <c r="C41" s="47"/>
      <c r="D41" s="47"/>
      <c r="E41" s="47"/>
      <c r="F41" s="47"/>
      <c r="G41" s="47"/>
      <c r="H41" s="47"/>
      <c r="I41" s="47"/>
      <c r="J41" s="47"/>
      <c r="K41" s="47"/>
      <c r="L41" s="47"/>
      <c r="M41" s="47"/>
      <c r="N41" s="198"/>
      <c r="O41" s="52"/>
      <c r="P41" s="52"/>
      <c r="Q41" s="52"/>
      <c r="R41" s="52"/>
      <c r="S41" s="52"/>
      <c r="T41" s="360"/>
      <c r="U41" s="360"/>
      <c r="V41" s="360"/>
      <c r="W41" s="360"/>
      <c r="X41" s="360"/>
      <c r="Y41" s="360"/>
      <c r="Z41" s="360"/>
      <c r="AA41" s="360"/>
      <c r="AB41" s="360"/>
      <c r="AC41" s="360"/>
      <c r="AD41" s="360"/>
      <c r="AE41" s="360"/>
      <c r="AF41" s="360"/>
      <c r="AG41" s="360"/>
      <c r="AH41" s="360"/>
      <c r="AI41" s="360"/>
      <c r="AJ41" s="360"/>
    </row>
    <row r="42" spans="1:36">
      <c r="A42" s="47"/>
      <c r="B42" s="47"/>
      <c r="C42" s="47"/>
      <c r="D42" s="47"/>
      <c r="E42" s="47"/>
      <c r="F42" s="47"/>
      <c r="G42" s="47"/>
      <c r="H42" s="47"/>
      <c r="I42" s="47"/>
      <c r="J42" s="47"/>
      <c r="K42" s="47"/>
      <c r="L42" s="47"/>
      <c r="M42" s="47"/>
      <c r="N42" s="198"/>
      <c r="O42" s="52"/>
      <c r="P42" s="52"/>
      <c r="Q42" s="52"/>
      <c r="R42" s="52"/>
      <c r="S42" s="52"/>
      <c r="T42" s="360"/>
      <c r="U42" s="360"/>
      <c r="V42" s="360"/>
      <c r="W42" s="360"/>
      <c r="X42" s="360"/>
      <c r="Y42" s="360"/>
      <c r="Z42" s="360"/>
      <c r="AA42" s="360"/>
      <c r="AB42" s="360"/>
      <c r="AC42" s="360"/>
      <c r="AD42" s="360"/>
      <c r="AE42" s="360"/>
      <c r="AF42" s="360"/>
      <c r="AG42" s="360"/>
      <c r="AH42" s="360"/>
      <c r="AI42" s="360"/>
      <c r="AJ42" s="360"/>
    </row>
    <row r="43" spans="1:36">
      <c r="A43" s="27" t="s">
        <v>1413</v>
      </c>
      <c r="B43" s="27"/>
      <c r="C43" s="47"/>
      <c r="D43" s="47"/>
      <c r="E43" s="47"/>
      <c r="F43" s="47"/>
      <c r="G43" s="47"/>
      <c r="H43" s="47"/>
      <c r="I43" s="47"/>
      <c r="J43" s="47"/>
      <c r="K43" s="47"/>
      <c r="L43" s="47"/>
      <c r="M43" s="47"/>
      <c r="N43" s="198"/>
      <c r="O43" s="52"/>
      <c r="P43" s="52"/>
      <c r="Q43" s="52"/>
      <c r="R43" s="52"/>
      <c r="S43" s="52"/>
      <c r="T43" s="360"/>
      <c r="U43" s="360"/>
      <c r="V43" s="360"/>
      <c r="W43" s="360"/>
      <c r="X43" s="360"/>
      <c r="Y43" s="360"/>
      <c r="Z43" s="360"/>
      <c r="AA43" s="360"/>
      <c r="AB43" s="360"/>
      <c r="AC43" s="360"/>
      <c r="AD43" s="360"/>
      <c r="AE43" s="360"/>
      <c r="AF43" s="360"/>
      <c r="AG43" s="360"/>
      <c r="AH43" s="360"/>
      <c r="AI43" s="360"/>
      <c r="AJ43" s="360"/>
    </row>
    <row r="44" spans="1:36">
      <c r="A44" s="320" t="s">
        <v>1913</v>
      </c>
      <c r="B44" s="47"/>
      <c r="C44" s="47"/>
      <c r="D44" s="47"/>
      <c r="E44" s="47"/>
      <c r="F44" s="47"/>
      <c r="G44" s="47"/>
      <c r="H44" s="47"/>
      <c r="I44" s="47"/>
      <c r="J44" s="47"/>
      <c r="K44" s="47"/>
      <c r="L44" s="47"/>
      <c r="M44" s="47"/>
      <c r="N44" s="198"/>
      <c r="O44" s="52"/>
      <c r="P44" s="52"/>
      <c r="Q44" s="52"/>
      <c r="R44" s="52"/>
      <c r="S44" s="52"/>
      <c r="T44" s="360"/>
      <c r="U44" s="360"/>
      <c r="V44" s="360"/>
      <c r="W44" s="360"/>
      <c r="X44" s="360"/>
      <c r="Y44" s="360"/>
      <c r="Z44" s="360"/>
      <c r="AA44" s="360"/>
      <c r="AB44" s="360"/>
      <c r="AC44" s="360"/>
      <c r="AD44" s="360"/>
      <c r="AE44" s="360"/>
      <c r="AF44" s="360"/>
      <c r="AG44" s="360"/>
      <c r="AH44" s="360"/>
      <c r="AI44" s="360"/>
      <c r="AJ44" s="360"/>
    </row>
    <row r="45" spans="1:36">
      <c r="A45" s="47"/>
      <c r="B45" s="47"/>
      <c r="C45" s="47"/>
      <c r="D45" s="47"/>
      <c r="E45" s="47"/>
      <c r="F45" s="47"/>
      <c r="G45" s="47"/>
      <c r="H45" s="47"/>
      <c r="I45" s="47"/>
      <c r="J45" s="47"/>
      <c r="K45" s="47"/>
      <c r="L45" s="47"/>
      <c r="M45" s="47"/>
      <c r="N45" s="198"/>
      <c r="O45" s="52"/>
      <c r="P45" s="52"/>
      <c r="Q45" s="52"/>
      <c r="R45" s="52"/>
      <c r="S45" s="52"/>
      <c r="T45" s="360"/>
      <c r="U45" s="360"/>
      <c r="V45" s="360"/>
      <c r="W45" s="360"/>
      <c r="X45" s="360"/>
      <c r="Y45" s="360"/>
      <c r="Z45" s="360"/>
      <c r="AA45" s="360"/>
      <c r="AB45" s="360"/>
      <c r="AC45" s="360"/>
      <c r="AD45" s="360"/>
      <c r="AE45" s="360"/>
      <c r="AF45" s="360"/>
      <c r="AG45" s="360"/>
      <c r="AH45" s="360"/>
      <c r="AI45" s="360"/>
      <c r="AJ45" s="360"/>
    </row>
    <row r="46" spans="1:36">
      <c r="A46" s="27" t="s">
        <v>1414</v>
      </c>
      <c r="B46" s="27"/>
      <c r="C46" s="47"/>
      <c r="D46" s="47"/>
      <c r="E46" s="47"/>
      <c r="F46" s="47"/>
      <c r="G46" s="47"/>
      <c r="H46" s="47"/>
      <c r="I46" s="47"/>
      <c r="J46" s="47"/>
      <c r="K46" s="47"/>
      <c r="L46" s="47"/>
      <c r="M46" s="47"/>
      <c r="N46" s="198"/>
      <c r="O46" s="52"/>
      <c r="P46" s="52"/>
      <c r="Q46" s="52"/>
      <c r="R46" s="52"/>
      <c r="S46" s="52"/>
      <c r="T46" s="360"/>
      <c r="U46" s="360"/>
      <c r="V46" s="360"/>
      <c r="W46" s="360"/>
      <c r="X46" s="360"/>
      <c r="Y46" s="360"/>
      <c r="Z46" s="360"/>
      <c r="AA46" s="360"/>
      <c r="AB46" s="360"/>
      <c r="AC46" s="360"/>
      <c r="AD46" s="360"/>
      <c r="AE46" s="360"/>
      <c r="AF46" s="360"/>
      <c r="AG46" s="360"/>
      <c r="AH46" s="360"/>
      <c r="AI46" s="360"/>
      <c r="AJ46" s="360"/>
    </row>
    <row r="47" spans="1:36">
      <c r="A47" s="320" t="s">
        <v>1914</v>
      </c>
      <c r="B47" s="47"/>
      <c r="C47" s="47"/>
      <c r="D47" s="47"/>
      <c r="E47" s="47"/>
      <c r="F47" s="47"/>
      <c r="G47" s="47"/>
      <c r="H47" s="47"/>
      <c r="I47" s="47"/>
      <c r="J47" s="47"/>
      <c r="K47" s="47"/>
      <c r="L47" s="47"/>
      <c r="M47" s="47"/>
      <c r="N47" s="198"/>
      <c r="O47" s="52"/>
      <c r="P47" s="52"/>
      <c r="Q47" s="52"/>
      <c r="R47" s="52"/>
      <c r="S47" s="52"/>
      <c r="T47" s="360"/>
      <c r="U47" s="360"/>
      <c r="V47" s="360"/>
      <c r="W47" s="360"/>
      <c r="X47" s="360"/>
      <c r="Y47" s="360"/>
      <c r="Z47" s="360"/>
      <c r="AA47" s="360"/>
      <c r="AB47" s="360"/>
      <c r="AC47" s="360"/>
      <c r="AD47" s="360"/>
      <c r="AE47" s="360"/>
      <c r="AF47" s="360"/>
      <c r="AG47" s="360"/>
      <c r="AH47" s="360"/>
      <c r="AI47" s="360"/>
      <c r="AJ47" s="360"/>
    </row>
    <row r="48" spans="1:36">
      <c r="A48" s="47"/>
      <c r="B48" s="47"/>
      <c r="C48" s="47"/>
      <c r="D48" s="47"/>
      <c r="E48" s="47"/>
      <c r="F48" s="47"/>
      <c r="G48" s="47"/>
      <c r="H48" s="47"/>
      <c r="I48" s="47"/>
      <c r="J48" s="47"/>
      <c r="K48" s="47"/>
      <c r="L48" s="47"/>
      <c r="M48" s="47"/>
      <c r="N48" s="198"/>
      <c r="O48" s="52"/>
      <c r="P48" s="52"/>
      <c r="Q48" s="52"/>
      <c r="R48" s="52"/>
      <c r="S48" s="52"/>
      <c r="T48" s="360"/>
      <c r="U48" s="360"/>
      <c r="V48" s="360"/>
      <c r="W48" s="360"/>
      <c r="X48" s="360"/>
      <c r="Y48" s="360"/>
      <c r="Z48" s="360"/>
      <c r="AA48" s="360"/>
      <c r="AB48" s="360"/>
      <c r="AC48" s="360"/>
      <c r="AD48" s="360"/>
      <c r="AE48" s="360"/>
      <c r="AF48" s="360"/>
      <c r="AG48" s="360"/>
      <c r="AH48" s="360"/>
      <c r="AI48" s="360"/>
      <c r="AJ48" s="360"/>
    </row>
    <row r="49" spans="1:36">
      <c r="A49" s="27" t="s">
        <v>1415</v>
      </c>
      <c r="B49" s="27"/>
      <c r="C49" s="47"/>
      <c r="D49" s="47"/>
      <c r="E49" s="47"/>
      <c r="F49" s="47"/>
      <c r="G49" s="47"/>
      <c r="H49" s="47"/>
      <c r="I49" s="47"/>
      <c r="J49" s="47"/>
      <c r="K49" s="47"/>
      <c r="L49" s="47"/>
      <c r="M49" s="47"/>
      <c r="N49" s="201"/>
      <c r="O49" s="52"/>
      <c r="P49" s="52"/>
      <c r="Q49" s="52"/>
      <c r="R49" s="52"/>
      <c r="S49" s="52"/>
      <c r="T49" s="360"/>
      <c r="U49" s="360"/>
      <c r="V49" s="360"/>
      <c r="W49" s="360"/>
      <c r="X49" s="360"/>
      <c r="Y49" s="360"/>
      <c r="Z49" s="360"/>
      <c r="AA49" s="360"/>
      <c r="AB49" s="360"/>
      <c r="AC49" s="360"/>
      <c r="AD49" s="360"/>
      <c r="AE49" s="360"/>
      <c r="AF49" s="360"/>
      <c r="AG49" s="360"/>
      <c r="AH49" s="360"/>
      <c r="AI49" s="360"/>
      <c r="AJ49" s="360"/>
    </row>
    <row r="50" spans="1:36">
      <c r="A50" s="320" t="s">
        <v>1915</v>
      </c>
      <c r="B50" s="47"/>
      <c r="C50" s="47"/>
      <c r="D50" s="47"/>
      <c r="E50" s="47"/>
      <c r="F50" s="47"/>
      <c r="G50" s="47"/>
      <c r="H50" s="47"/>
      <c r="I50" s="47"/>
      <c r="J50" s="47"/>
      <c r="K50" s="47"/>
      <c r="L50" s="47"/>
      <c r="M50" s="47"/>
      <c r="N50" s="201"/>
      <c r="O50" s="52"/>
      <c r="P50" s="52"/>
      <c r="Q50" s="52"/>
      <c r="R50" s="52"/>
      <c r="S50" s="52"/>
      <c r="T50" s="360"/>
      <c r="U50" s="360"/>
      <c r="V50" s="360"/>
      <c r="W50" s="360"/>
      <c r="X50" s="360"/>
      <c r="Y50" s="360"/>
      <c r="Z50" s="360"/>
      <c r="AA50" s="360"/>
      <c r="AB50" s="360"/>
      <c r="AC50" s="360"/>
      <c r="AD50" s="360"/>
      <c r="AE50" s="360"/>
      <c r="AF50" s="360"/>
      <c r="AG50" s="360"/>
      <c r="AH50" s="360"/>
      <c r="AI50" s="360"/>
      <c r="AJ50" s="360"/>
    </row>
    <row r="51" spans="1:36">
      <c r="A51" s="47"/>
      <c r="B51" s="47"/>
      <c r="C51" s="47"/>
      <c r="D51" s="47"/>
      <c r="E51" s="47"/>
      <c r="F51" s="47"/>
      <c r="G51" s="47"/>
      <c r="H51" s="47"/>
      <c r="I51" s="47"/>
      <c r="J51" s="47"/>
      <c r="K51" s="47"/>
      <c r="L51" s="47"/>
      <c r="M51" s="47"/>
      <c r="N51" s="201"/>
      <c r="O51" s="52"/>
      <c r="P51" s="52"/>
      <c r="Q51" s="52"/>
      <c r="R51" s="52"/>
      <c r="S51" s="52"/>
      <c r="T51" s="360"/>
      <c r="U51" s="360"/>
      <c r="V51" s="360"/>
      <c r="W51" s="360"/>
      <c r="X51" s="360"/>
      <c r="Y51" s="360"/>
      <c r="Z51" s="360"/>
      <c r="AA51" s="360"/>
      <c r="AB51" s="360"/>
      <c r="AC51" s="360"/>
      <c r="AD51" s="360"/>
      <c r="AE51" s="360"/>
      <c r="AF51" s="360"/>
      <c r="AG51" s="360"/>
      <c r="AH51" s="360"/>
      <c r="AI51" s="360"/>
      <c r="AJ51" s="360"/>
    </row>
    <row r="52" spans="1:36">
      <c r="A52" s="27" t="s">
        <v>1416</v>
      </c>
      <c r="B52" s="47"/>
      <c r="C52" s="47"/>
      <c r="D52" s="47"/>
      <c r="E52" s="47"/>
      <c r="F52" s="47"/>
      <c r="G52" s="47"/>
      <c r="H52" s="47"/>
      <c r="I52" s="47"/>
      <c r="J52" s="47"/>
      <c r="K52" s="47"/>
      <c r="L52" s="47"/>
      <c r="M52" s="47"/>
      <c r="N52" s="201"/>
      <c r="O52" s="52"/>
      <c r="P52" s="52"/>
      <c r="Q52" s="52"/>
      <c r="R52" s="52"/>
      <c r="S52" s="52"/>
      <c r="T52" s="360"/>
      <c r="U52" s="360"/>
      <c r="V52" s="360"/>
      <c r="W52" s="360"/>
      <c r="X52" s="360"/>
      <c r="Y52" s="360"/>
      <c r="Z52" s="360"/>
      <c r="AA52" s="360"/>
      <c r="AB52" s="360"/>
      <c r="AC52" s="360"/>
      <c r="AD52" s="360"/>
      <c r="AE52" s="360"/>
      <c r="AF52" s="360"/>
      <c r="AG52" s="360"/>
      <c r="AH52" s="360"/>
      <c r="AI52" s="360"/>
      <c r="AJ52" s="360"/>
    </row>
    <row r="53" spans="1:36">
      <c r="A53" s="320" t="s">
        <v>2420</v>
      </c>
      <c r="B53" s="320"/>
      <c r="C53" s="320"/>
      <c r="D53" s="320"/>
      <c r="E53" s="320"/>
      <c r="F53" s="320"/>
      <c r="G53" s="320"/>
      <c r="H53" s="320"/>
      <c r="I53" s="47"/>
      <c r="J53" s="47"/>
      <c r="K53" s="47"/>
      <c r="L53" s="47"/>
      <c r="M53" s="47"/>
      <c r="N53" s="201"/>
      <c r="O53" s="52"/>
      <c r="P53" s="52"/>
      <c r="Q53" s="52"/>
      <c r="R53" s="52"/>
      <c r="S53" s="52"/>
      <c r="T53" s="360"/>
      <c r="U53" s="360"/>
      <c r="V53" s="360"/>
      <c r="W53" s="360"/>
      <c r="X53" s="360"/>
      <c r="Y53" s="360"/>
      <c r="Z53" s="360"/>
      <c r="AA53" s="360"/>
      <c r="AB53" s="360"/>
      <c r="AC53" s="360"/>
      <c r="AD53" s="360"/>
      <c r="AE53" s="360"/>
      <c r="AF53" s="360"/>
      <c r="AG53" s="360"/>
      <c r="AH53" s="360"/>
      <c r="AI53" s="360"/>
      <c r="AJ53" s="360"/>
    </row>
    <row r="54" spans="1:36">
      <c r="A54" s="47"/>
      <c r="B54" s="47"/>
      <c r="C54" s="47"/>
      <c r="D54" s="47"/>
      <c r="E54" s="47"/>
      <c r="F54" s="47"/>
      <c r="G54" s="47"/>
      <c r="H54" s="47"/>
      <c r="I54" s="47"/>
      <c r="J54" s="47"/>
      <c r="K54" s="47"/>
      <c r="L54" s="47"/>
      <c r="M54" s="47"/>
      <c r="N54" s="201"/>
      <c r="O54" s="52"/>
      <c r="P54" s="52"/>
      <c r="Q54" s="52"/>
      <c r="R54" s="52"/>
      <c r="S54" s="52"/>
      <c r="T54" s="360"/>
      <c r="U54" s="360"/>
      <c r="V54" s="360"/>
      <c r="W54" s="360"/>
      <c r="X54" s="360"/>
      <c r="Y54" s="360"/>
      <c r="Z54" s="360"/>
      <c r="AA54" s="360"/>
      <c r="AB54" s="360"/>
      <c r="AC54" s="360"/>
      <c r="AD54" s="360"/>
      <c r="AE54" s="360"/>
      <c r="AF54" s="360"/>
      <c r="AG54" s="360"/>
      <c r="AH54" s="360"/>
      <c r="AI54" s="360"/>
      <c r="AJ54" s="360"/>
    </row>
    <row r="55" spans="1:36">
      <c r="A55" s="27" t="s">
        <v>1417</v>
      </c>
      <c r="B55" s="27"/>
      <c r="C55" s="47"/>
      <c r="D55" s="47"/>
      <c r="E55" s="47"/>
      <c r="F55" s="47"/>
      <c r="G55" s="47"/>
      <c r="H55" s="47"/>
      <c r="I55" s="47"/>
      <c r="J55" s="47"/>
      <c r="K55" s="47"/>
      <c r="L55" s="47"/>
      <c r="M55" s="47"/>
      <c r="N55" s="201"/>
      <c r="O55" s="52"/>
      <c r="P55" s="52"/>
      <c r="Q55" s="52"/>
      <c r="R55" s="52"/>
      <c r="S55" s="52"/>
      <c r="T55" s="360"/>
      <c r="U55" s="360"/>
      <c r="V55" s="360"/>
      <c r="W55" s="360"/>
      <c r="X55" s="360"/>
      <c r="Y55" s="360"/>
      <c r="Z55" s="360"/>
      <c r="AA55" s="360"/>
      <c r="AB55" s="360"/>
      <c r="AC55" s="360"/>
      <c r="AD55" s="360"/>
      <c r="AE55" s="360"/>
      <c r="AF55" s="360"/>
      <c r="AG55" s="360"/>
      <c r="AH55" s="360"/>
      <c r="AI55" s="360"/>
      <c r="AJ55" s="360"/>
    </row>
    <row r="56" spans="1:36">
      <c r="A56" s="27" t="s">
        <v>1418</v>
      </c>
      <c r="B56" s="27"/>
      <c r="C56" s="47"/>
      <c r="D56" s="47"/>
      <c r="E56" s="47"/>
      <c r="F56" s="47"/>
      <c r="G56" s="47"/>
      <c r="H56" s="47"/>
      <c r="I56" s="47"/>
      <c r="J56" s="47"/>
      <c r="K56" s="47"/>
      <c r="L56" s="47"/>
      <c r="M56" s="47"/>
      <c r="N56" s="201"/>
      <c r="O56" s="52"/>
      <c r="P56" s="52"/>
      <c r="Q56" s="52"/>
      <c r="R56" s="52"/>
      <c r="S56" s="52"/>
      <c r="T56" s="360"/>
      <c r="U56" s="360"/>
      <c r="V56" s="360"/>
      <c r="W56" s="360"/>
      <c r="X56" s="360"/>
      <c r="Y56" s="360"/>
      <c r="Z56" s="360"/>
      <c r="AA56" s="360"/>
      <c r="AB56" s="360"/>
      <c r="AC56" s="360"/>
      <c r="AD56" s="360"/>
      <c r="AE56" s="360"/>
      <c r="AF56" s="360"/>
      <c r="AG56" s="360"/>
      <c r="AH56" s="360"/>
      <c r="AI56" s="360"/>
      <c r="AJ56" s="360"/>
    </row>
    <row r="57" spans="1:36">
      <c r="A57" s="47"/>
      <c r="B57" s="47"/>
      <c r="C57" s="47"/>
      <c r="D57" s="47"/>
      <c r="E57" s="47"/>
      <c r="F57" s="47"/>
      <c r="G57" s="47"/>
      <c r="H57" s="47"/>
      <c r="I57" s="47"/>
      <c r="J57" s="47"/>
      <c r="K57" s="47"/>
      <c r="L57" s="47"/>
      <c r="M57" s="47"/>
      <c r="N57" s="201"/>
      <c r="O57" s="52"/>
      <c r="P57" s="52"/>
      <c r="Q57" s="52"/>
      <c r="R57" s="52"/>
      <c r="S57" s="52"/>
      <c r="T57" s="360"/>
      <c r="U57" s="360"/>
      <c r="V57" s="360"/>
      <c r="W57" s="360"/>
      <c r="X57" s="360"/>
      <c r="Y57" s="360"/>
      <c r="Z57" s="360"/>
      <c r="AA57" s="360"/>
      <c r="AB57" s="360"/>
      <c r="AC57" s="360"/>
      <c r="AD57" s="360"/>
      <c r="AE57" s="360"/>
      <c r="AF57" s="360"/>
      <c r="AG57" s="360"/>
      <c r="AH57" s="360"/>
      <c r="AI57" s="360"/>
      <c r="AJ57" s="360"/>
    </row>
    <row r="58" spans="1:36">
      <c r="A58" s="429" t="s">
        <v>1419</v>
      </c>
      <c r="B58" s="47"/>
      <c r="C58" s="47"/>
      <c r="D58" s="47"/>
      <c r="E58" s="47"/>
      <c r="F58" s="47"/>
      <c r="G58" s="47"/>
      <c r="H58" s="47"/>
      <c r="I58" s="47"/>
      <c r="J58" s="47"/>
      <c r="K58" s="47"/>
      <c r="L58" s="47"/>
      <c r="M58" s="47"/>
      <c r="N58" s="201"/>
      <c r="O58" s="52"/>
      <c r="P58" s="52"/>
      <c r="Q58" s="52"/>
      <c r="R58" s="52"/>
      <c r="S58" s="52"/>
      <c r="T58" s="360"/>
      <c r="U58" s="360"/>
      <c r="V58" s="360"/>
      <c r="W58" s="360"/>
      <c r="X58" s="360"/>
      <c r="Y58" s="360"/>
      <c r="Z58" s="360"/>
      <c r="AA58" s="360"/>
      <c r="AB58" s="360"/>
      <c r="AC58" s="360"/>
      <c r="AD58" s="360"/>
      <c r="AE58" s="360"/>
      <c r="AF58" s="360"/>
      <c r="AG58" s="360"/>
      <c r="AH58" s="360"/>
      <c r="AI58" s="360"/>
      <c r="AJ58" s="360"/>
    </row>
    <row r="59" spans="1:36">
      <c r="A59" s="320" t="s">
        <v>1888</v>
      </c>
      <c r="B59" s="47"/>
      <c r="C59" s="47"/>
      <c r="D59" s="47"/>
      <c r="E59" s="47"/>
      <c r="F59" s="47"/>
      <c r="G59" s="47"/>
      <c r="H59" s="47"/>
      <c r="I59" s="47"/>
      <c r="J59" s="47"/>
      <c r="K59" s="47"/>
      <c r="L59" s="47"/>
      <c r="M59" s="47"/>
      <c r="N59" s="201"/>
      <c r="O59" s="52"/>
      <c r="P59" s="52"/>
      <c r="Q59" s="52"/>
      <c r="R59" s="52"/>
      <c r="S59" s="52"/>
      <c r="T59" s="360"/>
      <c r="U59" s="360"/>
      <c r="V59" s="360"/>
      <c r="W59" s="360"/>
      <c r="X59" s="360"/>
      <c r="Y59" s="360"/>
      <c r="Z59" s="360"/>
      <c r="AA59" s="360"/>
      <c r="AB59" s="360"/>
      <c r="AC59" s="360"/>
      <c r="AD59" s="360"/>
      <c r="AE59" s="360"/>
      <c r="AF59" s="360"/>
      <c r="AG59" s="360"/>
      <c r="AH59" s="360"/>
      <c r="AI59" s="360"/>
      <c r="AJ59" s="360"/>
    </row>
    <row r="60" spans="1:36">
      <c r="A60" s="320" t="s">
        <v>1716</v>
      </c>
      <c r="B60" s="47"/>
      <c r="C60" s="47"/>
      <c r="D60" s="47"/>
      <c r="E60" s="47"/>
      <c r="F60" s="47"/>
      <c r="G60" s="47"/>
      <c r="H60" s="47"/>
      <c r="I60" s="47"/>
      <c r="J60" s="47"/>
      <c r="K60" s="47"/>
      <c r="L60" s="47"/>
      <c r="M60" s="47"/>
      <c r="N60" s="201"/>
      <c r="O60" s="52"/>
      <c r="P60" s="52"/>
      <c r="Q60" s="52"/>
      <c r="R60" s="52"/>
      <c r="S60" s="52"/>
      <c r="T60" s="360"/>
      <c r="U60" s="360"/>
      <c r="V60" s="360"/>
      <c r="W60" s="360"/>
      <c r="X60" s="360"/>
      <c r="Y60" s="360"/>
      <c r="Z60" s="360"/>
      <c r="AA60" s="360"/>
      <c r="AB60" s="360"/>
      <c r="AC60" s="360"/>
      <c r="AD60" s="360"/>
      <c r="AE60" s="360"/>
      <c r="AF60" s="360"/>
      <c r="AG60" s="360"/>
      <c r="AH60" s="360"/>
      <c r="AI60" s="360"/>
      <c r="AJ60" s="360"/>
    </row>
    <row r="61" spans="1:36">
      <c r="A61" s="47"/>
      <c r="B61" s="47"/>
      <c r="C61" s="47"/>
      <c r="D61" s="47"/>
      <c r="E61" s="47"/>
      <c r="F61" s="47"/>
      <c r="G61" s="47"/>
      <c r="H61" s="47"/>
      <c r="I61" s="47"/>
      <c r="J61" s="47"/>
      <c r="K61" s="47"/>
      <c r="L61" s="47"/>
      <c r="M61" s="47"/>
      <c r="N61" s="201"/>
      <c r="O61" s="52"/>
      <c r="P61" s="52"/>
      <c r="Q61" s="52"/>
      <c r="R61" s="52"/>
      <c r="S61" s="52"/>
      <c r="T61" s="360"/>
      <c r="U61" s="360"/>
      <c r="V61" s="360"/>
      <c r="W61" s="360"/>
      <c r="X61" s="360"/>
      <c r="Y61" s="360"/>
      <c r="Z61" s="360"/>
      <c r="AA61" s="360"/>
      <c r="AB61" s="360"/>
      <c r="AC61" s="360"/>
      <c r="AD61" s="360"/>
      <c r="AE61" s="360"/>
      <c r="AF61" s="360"/>
      <c r="AG61" s="360"/>
      <c r="AH61" s="360"/>
      <c r="AI61" s="360"/>
      <c r="AJ61" s="360"/>
    </row>
    <row r="62" spans="1:36">
      <c r="A62" s="63" t="s">
        <v>815</v>
      </c>
      <c r="B62" s="47"/>
      <c r="C62" s="47"/>
      <c r="D62" s="47"/>
      <c r="E62" s="47"/>
      <c r="F62" s="47"/>
      <c r="G62" s="47"/>
      <c r="H62" s="47"/>
      <c r="I62" s="47"/>
      <c r="J62" s="47"/>
      <c r="K62" s="47"/>
      <c r="L62" s="47"/>
      <c r="M62" s="47"/>
      <c r="N62" s="201"/>
      <c r="O62" s="52"/>
      <c r="P62" s="52"/>
      <c r="Q62" s="52"/>
      <c r="R62" s="52"/>
      <c r="S62" s="52"/>
      <c r="T62" s="360"/>
      <c r="U62" s="360"/>
      <c r="V62" s="360"/>
      <c r="W62" s="360"/>
      <c r="X62" s="360"/>
      <c r="Y62" s="360"/>
      <c r="Z62" s="360"/>
      <c r="AA62" s="360"/>
      <c r="AB62" s="360"/>
      <c r="AC62" s="360"/>
      <c r="AD62" s="360"/>
      <c r="AE62" s="360"/>
      <c r="AF62" s="360"/>
      <c r="AG62" s="360"/>
      <c r="AH62" s="360"/>
      <c r="AI62" s="360"/>
      <c r="AJ62" s="360"/>
    </row>
    <row r="63" spans="1:36">
      <c r="A63" s="320" t="s">
        <v>1420</v>
      </c>
      <c r="B63" s="47"/>
      <c r="C63" s="47"/>
      <c r="D63" s="47"/>
      <c r="E63" s="47"/>
      <c r="F63" s="47"/>
      <c r="G63" s="47"/>
      <c r="H63" s="47"/>
      <c r="I63" s="47"/>
      <c r="J63" s="47"/>
      <c r="K63" s="47"/>
      <c r="L63" s="47"/>
      <c r="M63" s="47"/>
      <c r="N63" s="201"/>
      <c r="O63" s="52"/>
      <c r="P63" s="52"/>
      <c r="Q63" s="52"/>
      <c r="R63" s="52"/>
      <c r="S63" s="52"/>
      <c r="T63" s="360"/>
      <c r="U63" s="360"/>
      <c r="V63" s="360"/>
      <c r="W63" s="360"/>
      <c r="X63" s="360"/>
      <c r="Y63" s="360"/>
      <c r="Z63" s="360"/>
      <c r="AA63" s="360"/>
      <c r="AB63" s="360"/>
      <c r="AC63" s="360"/>
      <c r="AD63" s="360"/>
      <c r="AE63" s="360"/>
      <c r="AF63" s="360"/>
      <c r="AG63" s="360"/>
      <c r="AH63" s="360"/>
      <c r="AI63" s="360"/>
      <c r="AJ63" s="360"/>
    </row>
    <row r="64" spans="1:36">
      <c r="A64" s="320" t="s">
        <v>1889</v>
      </c>
      <c r="B64" s="47"/>
      <c r="C64" s="47"/>
      <c r="D64" s="47"/>
      <c r="E64" s="47"/>
      <c r="F64" s="47"/>
      <c r="G64" s="47"/>
      <c r="H64" s="47"/>
      <c r="I64" s="47"/>
      <c r="J64" s="47"/>
      <c r="K64" s="47"/>
      <c r="L64" s="47"/>
      <c r="M64" s="47"/>
      <c r="N64" s="201"/>
      <c r="O64" s="52"/>
      <c r="P64" s="52"/>
      <c r="Q64" s="52"/>
      <c r="R64" s="52"/>
      <c r="S64" s="52"/>
      <c r="T64" s="360"/>
      <c r="U64" s="360"/>
      <c r="V64" s="360"/>
      <c r="W64" s="360"/>
      <c r="X64" s="360"/>
      <c r="Y64" s="360"/>
      <c r="Z64" s="360"/>
      <c r="AA64" s="360"/>
      <c r="AB64" s="360"/>
      <c r="AC64" s="360"/>
      <c r="AD64" s="360"/>
      <c r="AE64" s="360"/>
      <c r="AF64" s="360"/>
      <c r="AG64" s="360"/>
      <c r="AH64" s="360"/>
      <c r="AI64" s="360"/>
      <c r="AJ64" s="360"/>
    </row>
    <row r="65" spans="1:36">
      <c r="A65" s="47"/>
      <c r="B65" s="47"/>
      <c r="C65" s="47"/>
      <c r="D65" s="47"/>
      <c r="E65" s="47"/>
      <c r="F65" s="47"/>
      <c r="G65" s="47"/>
      <c r="H65" s="47"/>
      <c r="I65" s="47"/>
      <c r="J65" s="47"/>
      <c r="K65" s="47"/>
      <c r="L65" s="47"/>
      <c r="M65" s="47"/>
      <c r="N65" s="201"/>
      <c r="O65" s="52"/>
      <c r="P65" s="52"/>
      <c r="Q65" s="52"/>
      <c r="R65" s="52"/>
      <c r="S65" s="52"/>
      <c r="T65" s="360"/>
      <c r="U65" s="360"/>
      <c r="V65" s="360"/>
      <c r="W65" s="360"/>
      <c r="X65" s="360"/>
      <c r="Y65" s="360"/>
      <c r="Z65" s="360"/>
      <c r="AA65" s="360"/>
      <c r="AB65" s="360"/>
      <c r="AC65" s="360"/>
      <c r="AD65" s="360"/>
      <c r="AE65" s="360"/>
      <c r="AF65" s="360"/>
      <c r="AG65" s="360"/>
      <c r="AH65" s="360"/>
      <c r="AI65" s="360"/>
      <c r="AJ65" s="360"/>
    </row>
    <row r="66" spans="1:36">
      <c r="A66" s="416" t="s">
        <v>1186</v>
      </c>
      <c r="B66" s="47"/>
      <c r="C66" s="47"/>
      <c r="D66" s="47"/>
      <c r="E66" s="47"/>
      <c r="F66" s="47"/>
      <c r="G66" s="47"/>
      <c r="H66" s="47"/>
      <c r="I66" s="47"/>
      <c r="J66" s="47"/>
      <c r="K66" s="47"/>
      <c r="L66" s="47"/>
      <c r="M66" s="47"/>
      <c r="N66" s="201"/>
      <c r="O66" s="52"/>
      <c r="P66" s="52"/>
      <c r="Q66" s="52"/>
      <c r="R66" s="52"/>
      <c r="S66" s="52"/>
      <c r="T66" s="360"/>
      <c r="U66" s="360"/>
      <c r="V66" s="360"/>
      <c r="W66" s="360"/>
      <c r="X66" s="360"/>
      <c r="Y66" s="360"/>
      <c r="Z66" s="360"/>
      <c r="AA66" s="360"/>
      <c r="AB66" s="360"/>
      <c r="AC66" s="360"/>
      <c r="AD66" s="360"/>
      <c r="AE66" s="360"/>
      <c r="AF66" s="360"/>
      <c r="AG66" s="360"/>
      <c r="AH66" s="360"/>
      <c r="AI66" s="360"/>
      <c r="AJ66" s="360"/>
    </row>
    <row r="67" spans="1:36">
      <c r="A67" s="320" t="s">
        <v>1890</v>
      </c>
      <c r="B67" s="47"/>
      <c r="C67" s="47"/>
      <c r="D67" s="47"/>
      <c r="E67" s="47"/>
      <c r="F67" s="47"/>
      <c r="G67" s="47"/>
      <c r="H67" s="47"/>
      <c r="I67" s="47"/>
      <c r="J67" s="47"/>
      <c r="K67" s="47"/>
      <c r="L67" s="47"/>
      <c r="M67" s="47"/>
      <c r="N67" s="201"/>
      <c r="O67" s="52"/>
      <c r="P67" s="52"/>
      <c r="Q67" s="52"/>
      <c r="R67" s="52"/>
      <c r="S67" s="52"/>
      <c r="T67" s="360"/>
      <c r="U67" s="360"/>
      <c r="V67" s="360"/>
      <c r="W67" s="360"/>
      <c r="X67" s="360"/>
      <c r="Y67" s="360"/>
      <c r="Z67" s="360"/>
      <c r="AA67" s="360"/>
      <c r="AB67" s="360"/>
      <c r="AC67" s="360"/>
      <c r="AD67" s="360"/>
      <c r="AE67" s="360"/>
      <c r="AF67" s="360"/>
      <c r="AG67" s="360"/>
      <c r="AH67" s="360"/>
      <c r="AI67" s="360"/>
      <c r="AJ67" s="360"/>
    </row>
    <row r="68" spans="1:36">
      <c r="A68" s="320" t="s">
        <v>1891</v>
      </c>
      <c r="B68" s="47"/>
      <c r="C68" s="47"/>
      <c r="D68" s="47"/>
      <c r="E68" s="47"/>
      <c r="F68" s="47"/>
      <c r="G68" s="47"/>
      <c r="H68" s="47"/>
      <c r="I68" s="47"/>
      <c r="J68" s="47"/>
      <c r="K68" s="47"/>
      <c r="L68" s="47"/>
      <c r="M68" s="47"/>
      <c r="N68" s="201"/>
      <c r="O68" s="52"/>
      <c r="P68" s="52"/>
      <c r="Q68" s="52"/>
      <c r="R68" s="52"/>
      <c r="S68" s="52"/>
      <c r="T68" s="360"/>
      <c r="U68" s="360"/>
      <c r="V68" s="360"/>
      <c r="W68" s="360"/>
      <c r="X68" s="360"/>
      <c r="Y68" s="360"/>
      <c r="Z68" s="360"/>
      <c r="AA68" s="360"/>
      <c r="AB68" s="360"/>
      <c r="AC68" s="360"/>
      <c r="AD68" s="360"/>
      <c r="AE68" s="360"/>
      <c r="AF68" s="360"/>
      <c r="AG68" s="360"/>
      <c r="AH68" s="360"/>
      <c r="AI68" s="360"/>
      <c r="AJ68" s="360"/>
    </row>
    <row r="69" spans="1:36">
      <c r="A69" s="47"/>
      <c r="B69" s="47"/>
      <c r="C69" s="47"/>
      <c r="D69" s="47"/>
      <c r="E69" s="47"/>
      <c r="F69" s="47"/>
      <c r="G69" s="47"/>
      <c r="H69" s="47"/>
      <c r="I69" s="47"/>
      <c r="J69" s="47"/>
      <c r="K69" s="47"/>
      <c r="L69" s="47"/>
      <c r="M69" s="47"/>
      <c r="N69" s="201"/>
      <c r="O69" s="52"/>
      <c r="P69" s="52"/>
      <c r="Q69" s="52"/>
      <c r="R69" s="52"/>
      <c r="S69" s="52"/>
      <c r="T69" s="360"/>
      <c r="U69" s="360"/>
      <c r="V69" s="360"/>
      <c r="W69" s="360"/>
      <c r="X69" s="360"/>
      <c r="Y69" s="360"/>
      <c r="Z69" s="360"/>
      <c r="AA69" s="360"/>
      <c r="AB69" s="360"/>
      <c r="AC69" s="360"/>
      <c r="AD69" s="360"/>
      <c r="AE69" s="360"/>
      <c r="AF69" s="360"/>
      <c r="AG69" s="360"/>
      <c r="AH69" s="360"/>
      <c r="AI69" s="360"/>
      <c r="AJ69" s="360"/>
    </row>
    <row r="70" spans="1:36">
      <c r="A70" s="46" t="s">
        <v>1421</v>
      </c>
      <c r="B70" s="46"/>
      <c r="C70" s="47"/>
      <c r="D70" s="47"/>
      <c r="E70" s="47"/>
      <c r="F70" s="47"/>
      <c r="G70" s="47"/>
      <c r="H70" s="47"/>
      <c r="I70" s="47"/>
      <c r="J70" s="47"/>
      <c r="K70" s="47"/>
      <c r="L70" s="47"/>
      <c r="M70" s="47"/>
      <c r="N70" s="201"/>
      <c r="O70" s="52"/>
      <c r="P70" s="52"/>
      <c r="Q70" s="52"/>
      <c r="R70" s="52"/>
      <c r="S70" s="52"/>
      <c r="T70" s="360"/>
      <c r="U70" s="360"/>
      <c r="V70" s="360"/>
      <c r="W70" s="360"/>
      <c r="X70" s="360"/>
      <c r="Y70" s="360"/>
      <c r="Z70" s="360"/>
      <c r="AA70" s="360"/>
      <c r="AB70" s="360"/>
      <c r="AC70" s="360"/>
      <c r="AD70" s="360"/>
      <c r="AE70" s="360"/>
      <c r="AF70" s="360"/>
      <c r="AG70" s="360"/>
      <c r="AH70" s="360"/>
      <c r="AI70" s="360"/>
      <c r="AJ70" s="360"/>
    </row>
    <row r="71" spans="1:36">
      <c r="A71" s="320" t="s">
        <v>2419</v>
      </c>
      <c r="B71" s="47"/>
      <c r="C71" s="47"/>
      <c r="D71" s="47"/>
      <c r="E71" s="47"/>
      <c r="F71" s="47"/>
      <c r="G71" s="47"/>
      <c r="H71" s="47"/>
      <c r="I71" s="47"/>
      <c r="J71" s="47"/>
      <c r="K71" s="47"/>
      <c r="L71" s="47"/>
      <c r="M71" s="47"/>
      <c r="N71" s="201"/>
      <c r="O71" s="52"/>
      <c r="P71" s="52"/>
      <c r="Q71" s="52"/>
      <c r="R71" s="52"/>
      <c r="S71" s="52"/>
      <c r="T71" s="360"/>
      <c r="U71" s="360"/>
      <c r="V71" s="360"/>
      <c r="W71" s="360"/>
      <c r="X71" s="360"/>
      <c r="Y71" s="360"/>
      <c r="Z71" s="360"/>
      <c r="AA71" s="360"/>
      <c r="AB71" s="360"/>
      <c r="AC71" s="360"/>
      <c r="AD71" s="360"/>
      <c r="AE71" s="360"/>
      <c r="AF71" s="360"/>
      <c r="AG71" s="360"/>
      <c r="AH71" s="360"/>
      <c r="AI71" s="360"/>
      <c r="AJ71" s="360"/>
    </row>
    <row r="72" spans="1:36">
      <c r="A72" s="320" t="s">
        <v>1715</v>
      </c>
      <c r="B72" s="47"/>
      <c r="C72" s="47"/>
      <c r="D72" s="47"/>
      <c r="E72" s="47"/>
      <c r="F72" s="47"/>
      <c r="G72" s="47"/>
      <c r="H72" s="47"/>
      <c r="I72" s="47"/>
      <c r="J72" s="47"/>
      <c r="K72" s="47"/>
      <c r="L72" s="47"/>
      <c r="M72" s="47"/>
      <c r="N72" s="201"/>
      <c r="O72" s="52"/>
      <c r="P72" s="52"/>
      <c r="Q72" s="52"/>
      <c r="R72" s="52"/>
      <c r="S72" s="52"/>
      <c r="T72" s="360"/>
      <c r="U72" s="360"/>
      <c r="V72" s="360"/>
      <c r="W72" s="360"/>
      <c r="X72" s="360"/>
      <c r="Y72" s="360"/>
      <c r="Z72" s="360"/>
      <c r="AA72" s="360"/>
      <c r="AB72" s="360"/>
      <c r="AC72" s="360"/>
      <c r="AD72" s="360"/>
      <c r="AE72" s="360"/>
      <c r="AF72" s="360"/>
      <c r="AG72" s="360"/>
      <c r="AH72" s="360"/>
      <c r="AI72" s="360"/>
      <c r="AJ72" s="360"/>
    </row>
    <row r="73" spans="1:36">
      <c r="A73" s="47"/>
      <c r="B73" s="47"/>
      <c r="C73" s="47"/>
      <c r="D73" s="47"/>
      <c r="E73" s="47"/>
      <c r="F73" s="47"/>
      <c r="G73" s="47"/>
      <c r="H73" s="47"/>
      <c r="I73" s="47"/>
      <c r="J73" s="47"/>
      <c r="K73" s="47"/>
      <c r="L73" s="47"/>
      <c r="M73" s="47"/>
      <c r="N73" s="201"/>
      <c r="O73" s="52"/>
      <c r="P73" s="52"/>
      <c r="Q73" s="52"/>
      <c r="R73" s="52"/>
      <c r="S73" s="52"/>
      <c r="T73" s="360"/>
      <c r="U73" s="360"/>
      <c r="V73" s="360"/>
      <c r="W73" s="360"/>
      <c r="X73" s="360"/>
      <c r="Y73" s="360"/>
      <c r="Z73" s="360"/>
      <c r="AA73" s="360"/>
      <c r="AB73" s="360"/>
      <c r="AC73" s="360"/>
      <c r="AD73" s="360"/>
      <c r="AE73" s="360"/>
      <c r="AF73" s="360"/>
      <c r="AG73" s="360"/>
      <c r="AH73" s="360"/>
      <c r="AI73" s="360"/>
      <c r="AJ73" s="360"/>
    </row>
    <row r="74" spans="1:36">
      <c r="A74" s="27" t="s">
        <v>1422</v>
      </c>
      <c r="B74" s="47"/>
      <c r="C74" s="47"/>
      <c r="D74" s="47"/>
      <c r="E74" s="47"/>
      <c r="F74" s="47"/>
      <c r="G74" s="47"/>
      <c r="H74" s="47"/>
      <c r="I74" s="47"/>
      <c r="J74" s="47"/>
      <c r="K74" s="47"/>
      <c r="L74" s="47"/>
      <c r="M74" s="47"/>
      <c r="N74" s="201"/>
      <c r="O74" s="52"/>
      <c r="P74" s="52"/>
      <c r="Q74" s="52"/>
      <c r="R74" s="52"/>
      <c r="S74" s="52"/>
      <c r="T74" s="360"/>
      <c r="U74" s="360"/>
      <c r="V74" s="360"/>
      <c r="W74" s="360"/>
      <c r="X74" s="360"/>
      <c r="Y74" s="360"/>
      <c r="Z74" s="360"/>
      <c r="AA74" s="360"/>
      <c r="AB74" s="360"/>
      <c r="AC74" s="360"/>
      <c r="AD74" s="360"/>
      <c r="AE74" s="360"/>
      <c r="AF74" s="360"/>
      <c r="AG74" s="360"/>
      <c r="AH74" s="360"/>
      <c r="AI74" s="360"/>
      <c r="AJ74" s="360"/>
    </row>
    <row r="75" spans="1:36">
      <c r="A75" s="320" t="s">
        <v>1923</v>
      </c>
      <c r="B75" s="47"/>
      <c r="C75" s="47"/>
      <c r="D75" s="47"/>
      <c r="E75" s="47"/>
      <c r="F75" s="47"/>
      <c r="G75" s="47"/>
      <c r="H75" s="47"/>
      <c r="I75" s="47"/>
      <c r="J75" s="47"/>
      <c r="K75" s="47"/>
      <c r="L75" s="47"/>
      <c r="M75" s="47"/>
      <c r="N75" s="201"/>
      <c r="O75" s="52"/>
      <c r="P75" s="52"/>
      <c r="Q75" s="52"/>
      <c r="R75" s="52"/>
      <c r="S75" s="52"/>
      <c r="T75" s="360"/>
      <c r="U75" s="360"/>
      <c r="V75" s="360"/>
      <c r="W75" s="360"/>
      <c r="X75" s="360"/>
      <c r="Y75" s="360"/>
      <c r="Z75" s="360"/>
      <c r="AA75" s="360"/>
      <c r="AB75" s="360"/>
      <c r="AC75" s="360"/>
      <c r="AD75" s="360"/>
      <c r="AE75" s="360"/>
      <c r="AF75" s="360"/>
      <c r="AG75" s="360"/>
      <c r="AH75" s="360"/>
      <c r="AI75" s="360"/>
      <c r="AJ75" s="360"/>
    </row>
    <row r="76" spans="1:36">
      <c r="A76" s="47"/>
      <c r="B76" s="47"/>
      <c r="C76" s="47"/>
      <c r="D76" s="47"/>
      <c r="E76" s="47"/>
      <c r="F76" s="47"/>
      <c r="G76" s="47"/>
      <c r="H76" s="47"/>
      <c r="I76" s="47"/>
      <c r="J76" s="47"/>
      <c r="K76" s="47"/>
      <c r="L76" s="47"/>
      <c r="M76" s="47"/>
      <c r="N76" s="201"/>
      <c r="O76" s="52"/>
      <c r="P76" s="52"/>
      <c r="Q76" s="52"/>
      <c r="R76" s="52"/>
      <c r="S76" s="52"/>
      <c r="T76" s="360"/>
      <c r="U76" s="360"/>
      <c r="V76" s="360"/>
      <c r="W76" s="360"/>
      <c r="X76" s="360"/>
      <c r="Y76" s="360"/>
      <c r="Z76" s="360"/>
      <c r="AA76" s="360"/>
      <c r="AB76" s="360"/>
      <c r="AC76" s="360"/>
      <c r="AD76" s="360"/>
      <c r="AE76" s="360"/>
      <c r="AF76" s="360"/>
      <c r="AG76" s="360"/>
      <c r="AH76" s="360"/>
      <c r="AI76" s="360"/>
      <c r="AJ76" s="360"/>
    </row>
    <row r="77" spans="1:36">
      <c r="A77" s="27" t="s">
        <v>1662</v>
      </c>
      <c r="B77" s="47"/>
      <c r="C77" s="47"/>
      <c r="D77" s="47"/>
      <c r="E77" s="47"/>
      <c r="F77" s="47"/>
      <c r="G77" s="47"/>
      <c r="H77" s="47"/>
      <c r="I77" s="47"/>
      <c r="J77" s="47"/>
      <c r="K77" s="47"/>
      <c r="L77" s="47"/>
      <c r="M77" s="47"/>
      <c r="N77" s="201"/>
      <c r="O77" s="52"/>
      <c r="P77" s="52"/>
      <c r="Q77" s="52"/>
      <c r="R77" s="52"/>
      <c r="S77" s="52"/>
      <c r="T77" s="360"/>
      <c r="U77" s="360"/>
      <c r="V77" s="360"/>
      <c r="W77" s="360"/>
      <c r="X77" s="360"/>
      <c r="Y77" s="360"/>
      <c r="Z77" s="360"/>
      <c r="AA77" s="360"/>
      <c r="AB77" s="360"/>
      <c r="AC77" s="360"/>
      <c r="AD77" s="360"/>
      <c r="AE77" s="360"/>
      <c r="AF77" s="360"/>
      <c r="AG77" s="360"/>
      <c r="AH77" s="360"/>
      <c r="AI77" s="360"/>
      <c r="AJ77" s="360"/>
    </row>
    <row r="78" spans="1:36">
      <c r="A78" s="320" t="s">
        <v>1663</v>
      </c>
      <c r="B78" s="47"/>
      <c r="C78" s="47"/>
      <c r="D78" s="47"/>
      <c r="E78" s="47"/>
      <c r="F78" s="47"/>
      <c r="G78" s="47"/>
      <c r="H78" s="47"/>
      <c r="I78" s="47"/>
      <c r="J78" s="47"/>
      <c r="K78" s="47"/>
      <c r="L78" s="47"/>
      <c r="M78" s="47"/>
      <c r="N78" s="201"/>
      <c r="O78" s="52"/>
      <c r="P78" s="52"/>
      <c r="Q78" s="52"/>
      <c r="R78" s="52"/>
      <c r="S78" s="52"/>
      <c r="T78" s="360"/>
      <c r="U78" s="360"/>
      <c r="V78" s="360"/>
      <c r="W78" s="360"/>
      <c r="X78" s="360"/>
      <c r="Y78" s="360"/>
      <c r="Z78" s="360"/>
      <c r="AA78" s="360"/>
      <c r="AB78" s="360"/>
      <c r="AC78" s="360"/>
      <c r="AD78" s="360"/>
      <c r="AE78" s="360"/>
      <c r="AF78" s="360"/>
      <c r="AG78" s="360"/>
      <c r="AH78" s="360"/>
      <c r="AI78" s="360"/>
      <c r="AJ78" s="360"/>
    </row>
    <row r="79" spans="1:36">
      <c r="A79" s="320" t="s">
        <v>1892</v>
      </c>
      <c r="B79" s="47"/>
      <c r="C79" s="47"/>
      <c r="D79" s="47"/>
      <c r="E79" s="47"/>
      <c r="F79" s="47"/>
      <c r="G79" s="47"/>
      <c r="H79" s="47"/>
      <c r="I79" s="47"/>
      <c r="J79" s="47"/>
      <c r="K79" s="47"/>
      <c r="L79" s="47"/>
      <c r="M79" s="47"/>
      <c r="N79" s="201"/>
      <c r="O79" s="52"/>
      <c r="P79" s="52"/>
      <c r="Q79" s="52"/>
      <c r="R79" s="52"/>
      <c r="S79" s="52"/>
      <c r="T79" s="360"/>
      <c r="U79" s="360"/>
      <c r="V79" s="360"/>
      <c r="W79" s="360"/>
      <c r="X79" s="360"/>
      <c r="Y79" s="360"/>
      <c r="Z79" s="360"/>
      <c r="AA79" s="360"/>
      <c r="AB79" s="360"/>
      <c r="AC79" s="360"/>
      <c r="AD79" s="360"/>
      <c r="AE79" s="360"/>
      <c r="AF79" s="360"/>
      <c r="AG79" s="360"/>
      <c r="AH79" s="360"/>
      <c r="AI79" s="360"/>
      <c r="AJ79" s="360"/>
    </row>
    <row r="80" spans="1:36">
      <c r="A80" s="320" t="s">
        <v>1664</v>
      </c>
      <c r="B80" s="47"/>
      <c r="C80" s="47"/>
      <c r="D80" s="47"/>
      <c r="E80" s="47"/>
      <c r="F80" s="47"/>
      <c r="G80" s="47"/>
      <c r="H80" s="47"/>
      <c r="I80" s="47"/>
      <c r="J80" s="47"/>
      <c r="K80" s="47"/>
      <c r="L80" s="47"/>
      <c r="M80" s="47"/>
      <c r="N80" s="201"/>
      <c r="O80" s="52"/>
      <c r="P80" s="52"/>
      <c r="Q80" s="52"/>
      <c r="R80" s="52"/>
      <c r="S80" s="52"/>
      <c r="T80" s="360"/>
      <c r="U80" s="360"/>
      <c r="V80" s="360"/>
      <c r="W80" s="360"/>
      <c r="X80" s="360"/>
      <c r="Y80" s="360"/>
      <c r="Z80" s="360"/>
      <c r="AA80" s="360"/>
      <c r="AB80" s="360"/>
      <c r="AC80" s="360"/>
      <c r="AD80" s="360"/>
      <c r="AE80" s="360"/>
      <c r="AF80" s="360"/>
      <c r="AG80" s="360"/>
      <c r="AH80" s="360"/>
      <c r="AI80" s="360"/>
      <c r="AJ80" s="360"/>
    </row>
    <row r="81" spans="1:36">
      <c r="A81" s="320"/>
      <c r="B81" s="47"/>
      <c r="C81" s="47"/>
      <c r="D81" s="47"/>
      <c r="E81" s="47"/>
      <c r="F81" s="47"/>
      <c r="G81" s="47"/>
      <c r="H81" s="47"/>
      <c r="I81" s="47"/>
      <c r="J81" s="47"/>
      <c r="K81" s="47"/>
      <c r="L81" s="47"/>
      <c r="M81" s="47"/>
      <c r="N81" s="201"/>
      <c r="O81" s="52"/>
      <c r="P81" s="52"/>
      <c r="Q81" s="52"/>
      <c r="R81" s="52"/>
      <c r="S81" s="52"/>
      <c r="T81" s="360"/>
      <c r="U81" s="360"/>
      <c r="V81" s="360"/>
      <c r="W81" s="360"/>
      <c r="X81" s="360"/>
      <c r="Y81" s="360"/>
      <c r="Z81" s="360"/>
      <c r="AA81" s="360"/>
      <c r="AB81" s="360"/>
      <c r="AC81" s="360"/>
      <c r="AD81" s="360"/>
      <c r="AE81" s="360"/>
      <c r="AF81" s="360"/>
      <c r="AG81" s="360"/>
      <c r="AH81" s="360"/>
      <c r="AI81" s="360"/>
      <c r="AJ81" s="360"/>
    </row>
    <row r="82" spans="1:36">
      <c r="A82" s="320" t="s">
        <v>1665</v>
      </c>
      <c r="B82" s="47"/>
      <c r="C82" s="47"/>
      <c r="D82" s="47"/>
      <c r="E82" s="47"/>
      <c r="F82" s="47"/>
      <c r="G82" s="47"/>
      <c r="H82" s="47"/>
      <c r="I82" s="47"/>
      <c r="J82" s="47"/>
      <c r="K82" s="47"/>
      <c r="L82" s="47"/>
      <c r="M82" s="47"/>
      <c r="N82" s="201"/>
      <c r="O82" s="52"/>
      <c r="P82" s="52"/>
      <c r="Q82" s="52"/>
      <c r="R82" s="52"/>
      <c r="S82" s="52"/>
      <c r="T82" s="360"/>
      <c r="U82" s="360"/>
      <c r="V82" s="360"/>
      <c r="W82" s="360"/>
      <c r="X82" s="360"/>
      <c r="Y82" s="360"/>
      <c r="Z82" s="360"/>
      <c r="AA82" s="360"/>
      <c r="AB82" s="360"/>
      <c r="AC82" s="360"/>
      <c r="AD82" s="360"/>
      <c r="AE82" s="360"/>
      <c r="AF82" s="360"/>
      <c r="AG82" s="360"/>
      <c r="AH82" s="360"/>
      <c r="AI82" s="360"/>
      <c r="AJ82" s="360"/>
    </row>
    <row r="83" spans="1:36">
      <c r="A83" s="320" t="s">
        <v>1893</v>
      </c>
      <c r="B83" s="47"/>
      <c r="C83" s="47"/>
      <c r="D83" s="47"/>
      <c r="E83" s="47"/>
      <c r="F83" s="47"/>
      <c r="G83" s="47"/>
      <c r="H83" s="47"/>
      <c r="I83" s="47"/>
      <c r="J83" s="47"/>
      <c r="K83" s="47"/>
      <c r="L83" s="47"/>
      <c r="M83" s="47"/>
      <c r="N83" s="201"/>
      <c r="O83" s="52"/>
      <c r="P83" s="52"/>
      <c r="Q83" s="52"/>
      <c r="R83" s="52"/>
      <c r="S83" s="52"/>
      <c r="T83" s="360"/>
      <c r="U83" s="360"/>
      <c r="V83" s="360"/>
      <c r="W83" s="360"/>
      <c r="X83" s="360"/>
      <c r="Y83" s="360"/>
      <c r="Z83" s="360"/>
      <c r="AA83" s="360"/>
      <c r="AB83" s="360"/>
      <c r="AC83" s="360"/>
      <c r="AD83" s="360"/>
      <c r="AE83" s="360"/>
      <c r="AF83" s="360"/>
      <c r="AG83" s="360"/>
      <c r="AH83" s="360"/>
      <c r="AI83" s="360"/>
      <c r="AJ83" s="360"/>
    </row>
    <row r="84" spans="1:36">
      <c r="A84" s="320" t="s">
        <v>1666</v>
      </c>
      <c r="B84" s="47"/>
      <c r="C84" s="47"/>
      <c r="D84" s="47"/>
      <c r="E84" s="47"/>
      <c r="F84" s="47"/>
      <c r="G84" s="47"/>
      <c r="H84" s="47"/>
      <c r="I84" s="47"/>
      <c r="J84" s="47"/>
      <c r="K84" s="47"/>
      <c r="L84" s="47"/>
      <c r="M84" s="47"/>
      <c r="N84" s="201"/>
      <c r="O84" s="52"/>
      <c r="P84" s="52"/>
      <c r="Q84" s="52"/>
      <c r="R84" s="52"/>
      <c r="S84" s="52"/>
      <c r="T84" s="360"/>
      <c r="U84" s="360"/>
      <c r="V84" s="360"/>
      <c r="W84" s="360"/>
      <c r="X84" s="360"/>
      <c r="Y84" s="360"/>
      <c r="Z84" s="360"/>
      <c r="AA84" s="360"/>
      <c r="AB84" s="360"/>
      <c r="AC84" s="360"/>
      <c r="AD84" s="360"/>
      <c r="AE84" s="360"/>
      <c r="AF84" s="360"/>
      <c r="AG84" s="360"/>
      <c r="AH84" s="360"/>
      <c r="AI84" s="360"/>
      <c r="AJ84" s="360"/>
    </row>
    <row r="85" spans="1:36">
      <c r="A85" s="320"/>
      <c r="B85" s="47"/>
      <c r="C85" s="47"/>
      <c r="D85" s="47"/>
      <c r="E85" s="47"/>
      <c r="F85" s="47"/>
      <c r="G85" s="47"/>
      <c r="H85" s="47"/>
      <c r="I85" s="47"/>
      <c r="J85" s="47"/>
      <c r="K85" s="47"/>
      <c r="L85" s="47"/>
      <c r="M85" s="47"/>
      <c r="N85" s="201"/>
      <c r="O85" s="52"/>
      <c r="P85" s="52"/>
      <c r="Q85" s="52"/>
      <c r="R85" s="52"/>
      <c r="S85" s="52"/>
      <c r="U85" s="360"/>
      <c r="V85" s="360"/>
      <c r="W85" s="360"/>
      <c r="X85" s="360"/>
      <c r="Y85" s="360"/>
      <c r="Z85" s="360"/>
      <c r="AA85" s="360"/>
      <c r="AB85" s="360"/>
      <c r="AC85" s="360"/>
      <c r="AD85" s="360"/>
      <c r="AE85" s="360"/>
      <c r="AF85" s="360"/>
      <c r="AG85" s="360"/>
      <c r="AH85" s="360"/>
      <c r="AI85" s="360"/>
      <c r="AJ85" s="360"/>
    </row>
    <row r="86" spans="1:36">
      <c r="A86" s="320" t="s">
        <v>1667</v>
      </c>
      <c r="B86" s="47"/>
      <c r="C86" s="47"/>
      <c r="D86" s="47"/>
      <c r="E86" s="47"/>
      <c r="F86" s="47"/>
      <c r="G86" s="47"/>
      <c r="H86" s="47"/>
      <c r="I86" s="47"/>
      <c r="J86" s="47"/>
      <c r="K86" s="47"/>
      <c r="L86" s="47"/>
      <c r="M86" s="47"/>
      <c r="N86" s="201"/>
      <c r="O86" s="52"/>
      <c r="P86" s="52"/>
      <c r="Q86" s="52"/>
      <c r="R86" s="52"/>
      <c r="S86" s="52"/>
    </row>
    <row r="87" spans="1:36">
      <c r="A87" s="320" t="s">
        <v>1894</v>
      </c>
      <c r="B87" s="47"/>
      <c r="C87" s="47"/>
      <c r="D87" s="47"/>
      <c r="E87" s="47"/>
      <c r="F87" s="47"/>
      <c r="G87" s="47"/>
      <c r="H87" s="47"/>
      <c r="I87" s="47"/>
      <c r="J87" s="47"/>
      <c r="K87" s="47"/>
      <c r="L87" s="47"/>
      <c r="M87" s="47"/>
      <c r="N87" s="201"/>
      <c r="O87" s="52"/>
      <c r="P87" s="52"/>
      <c r="Q87" s="52"/>
      <c r="R87" s="52"/>
      <c r="S87" s="52"/>
    </row>
    <row r="88" spans="1:36">
      <c r="A88" s="47"/>
      <c r="B88" s="47"/>
      <c r="C88" s="47"/>
      <c r="D88" s="47"/>
      <c r="E88" s="47"/>
      <c r="F88" s="47"/>
      <c r="G88" s="47"/>
      <c r="H88" s="47"/>
      <c r="I88" s="47"/>
      <c r="J88" s="47"/>
      <c r="K88" s="47"/>
      <c r="L88" s="47"/>
      <c r="M88" s="47"/>
      <c r="N88" s="201"/>
      <c r="O88" s="52"/>
      <c r="P88" s="52"/>
      <c r="Q88" s="52"/>
      <c r="R88" s="52"/>
      <c r="S88" s="52"/>
    </row>
    <row r="89" spans="1:36">
      <c r="A89" s="27" t="s">
        <v>1706</v>
      </c>
      <c r="B89" s="47"/>
      <c r="C89" s="47"/>
      <c r="D89" s="47"/>
      <c r="E89" s="47"/>
      <c r="F89" s="47"/>
      <c r="G89" s="47"/>
      <c r="H89" s="47"/>
      <c r="I89" s="47"/>
      <c r="J89" s="47"/>
      <c r="K89" s="47"/>
      <c r="L89" s="47"/>
      <c r="M89" s="47"/>
      <c r="N89" s="201"/>
      <c r="O89" s="52"/>
      <c r="P89" s="52"/>
      <c r="Q89" s="52"/>
      <c r="R89" s="52"/>
      <c r="S89" s="52"/>
    </row>
    <row r="90" spans="1:36">
      <c r="A90" s="320" t="s">
        <v>1884</v>
      </c>
      <c r="B90" s="320"/>
      <c r="C90" s="320"/>
      <c r="D90" s="320"/>
      <c r="E90" s="320"/>
      <c r="F90" s="320"/>
      <c r="G90" s="320"/>
      <c r="H90" s="320"/>
      <c r="I90" s="320"/>
      <c r="J90" s="320"/>
      <c r="K90" s="320"/>
      <c r="L90" s="320"/>
      <c r="M90" s="320"/>
      <c r="N90" s="201"/>
      <c r="O90" s="52"/>
      <c r="P90" s="52"/>
      <c r="Q90" s="52"/>
      <c r="R90" s="52"/>
      <c r="S90" s="52"/>
    </row>
    <row r="91" spans="1:36">
      <c r="A91" s="320" t="s">
        <v>1712</v>
      </c>
      <c r="B91" s="47"/>
      <c r="C91" s="47"/>
      <c r="D91" s="47"/>
      <c r="E91" s="47"/>
      <c r="F91" s="47"/>
      <c r="G91" s="47"/>
      <c r="H91" s="47"/>
      <c r="I91" s="47"/>
      <c r="J91" s="47"/>
      <c r="K91" s="47"/>
      <c r="L91" s="47"/>
      <c r="M91" s="47"/>
      <c r="N91" s="201"/>
      <c r="O91" s="52"/>
      <c r="P91" s="52"/>
      <c r="Q91" s="52"/>
      <c r="R91" s="52"/>
      <c r="S91" s="52"/>
    </row>
    <row r="92" spans="1:36">
      <c r="A92" s="47"/>
      <c r="B92" s="47"/>
      <c r="C92" s="47"/>
      <c r="D92" s="47"/>
      <c r="E92" s="47"/>
      <c r="F92" s="47"/>
      <c r="G92" s="47"/>
      <c r="H92" s="47"/>
      <c r="I92" s="47"/>
      <c r="J92" s="47"/>
      <c r="K92" s="47"/>
      <c r="L92" s="47"/>
      <c r="M92" s="47"/>
      <c r="N92" s="201"/>
      <c r="O92" s="52"/>
      <c r="P92" s="52"/>
      <c r="Q92" s="52"/>
      <c r="R92" s="52"/>
      <c r="S92" s="52"/>
    </row>
    <row r="93" spans="1:36">
      <c r="A93" s="27" t="s">
        <v>1707</v>
      </c>
      <c r="B93" s="47"/>
      <c r="C93" s="47"/>
      <c r="D93" s="47"/>
      <c r="E93" s="47"/>
      <c r="F93" s="47"/>
      <c r="G93" s="47"/>
      <c r="H93" s="47"/>
      <c r="I93" s="47"/>
      <c r="J93" s="47"/>
      <c r="K93" s="47"/>
      <c r="L93" s="47"/>
      <c r="M93" s="47"/>
      <c r="N93" s="201"/>
      <c r="O93" s="52"/>
      <c r="P93" s="52"/>
      <c r="Q93" s="52"/>
      <c r="R93" s="52"/>
      <c r="S93" s="52"/>
    </row>
    <row r="94" spans="1:36">
      <c r="A94" s="320" t="s">
        <v>1885</v>
      </c>
      <c r="B94" s="47"/>
      <c r="C94" s="47"/>
      <c r="D94" s="47"/>
      <c r="E94" s="47"/>
      <c r="F94" s="47"/>
      <c r="G94" s="47"/>
      <c r="H94" s="47"/>
      <c r="I94" s="47"/>
      <c r="J94" s="47"/>
      <c r="K94" s="47"/>
      <c r="L94" s="47"/>
      <c r="M94" s="47"/>
      <c r="N94" s="201"/>
      <c r="O94" s="52"/>
      <c r="P94" s="52"/>
      <c r="Q94" s="52"/>
      <c r="R94" s="52"/>
      <c r="S94" s="52"/>
    </row>
    <row r="95" spans="1:36">
      <c r="A95" s="320" t="s">
        <v>1886</v>
      </c>
      <c r="B95" s="47"/>
      <c r="C95" s="47"/>
      <c r="D95" s="47"/>
      <c r="E95" s="47"/>
      <c r="F95" s="47"/>
      <c r="G95" s="47"/>
      <c r="H95" s="47"/>
      <c r="I95" s="47"/>
      <c r="J95" s="47"/>
      <c r="K95" s="47"/>
      <c r="L95" s="47"/>
      <c r="M95" s="47"/>
      <c r="N95" s="201"/>
      <c r="O95" s="52"/>
      <c r="P95" s="52"/>
      <c r="Q95" s="52"/>
      <c r="R95" s="52"/>
      <c r="S95" s="52"/>
    </row>
    <row r="96" spans="1:36">
      <c r="A96" s="320" t="s">
        <v>1916</v>
      </c>
      <c r="B96" s="47"/>
      <c r="C96" s="47"/>
      <c r="D96" s="47"/>
      <c r="E96" s="47"/>
      <c r="F96" s="47"/>
      <c r="G96" s="47"/>
      <c r="H96" s="47"/>
      <c r="I96" s="47"/>
      <c r="J96" s="47"/>
      <c r="K96" s="47"/>
      <c r="L96" s="47"/>
      <c r="M96" s="47"/>
      <c r="N96" s="201"/>
      <c r="O96" s="52"/>
      <c r="P96" s="52"/>
      <c r="Q96" s="52"/>
      <c r="R96" s="52"/>
      <c r="S96" s="52"/>
    </row>
    <row r="97" spans="1:19">
      <c r="A97" s="320" t="s">
        <v>1887</v>
      </c>
      <c r="B97" s="47"/>
      <c r="C97" s="47"/>
      <c r="D97" s="47"/>
      <c r="E97" s="47"/>
      <c r="F97" s="47"/>
      <c r="G97" s="47"/>
      <c r="H97" s="47"/>
      <c r="I97" s="47"/>
      <c r="J97" s="47"/>
      <c r="K97" s="47"/>
      <c r="L97" s="47"/>
      <c r="M97" s="47"/>
      <c r="N97" s="201"/>
      <c r="O97" s="52"/>
      <c r="P97" s="52"/>
      <c r="Q97" s="52"/>
      <c r="R97" s="52"/>
      <c r="S97" s="52"/>
    </row>
    <row r="98" spans="1:19">
      <c r="A98" s="320" t="s">
        <v>1708</v>
      </c>
      <c r="B98" s="47"/>
      <c r="C98" s="47"/>
      <c r="D98" s="47"/>
      <c r="E98" s="47"/>
      <c r="F98" s="47"/>
      <c r="G98" s="47"/>
      <c r="H98" s="47"/>
      <c r="I98" s="47"/>
      <c r="J98" s="47"/>
      <c r="K98" s="47"/>
      <c r="L98" s="47"/>
      <c r="M98" s="47"/>
      <c r="N98" s="201"/>
      <c r="O98" s="52"/>
      <c r="P98" s="52"/>
      <c r="Q98" s="52"/>
      <c r="R98" s="52"/>
      <c r="S98" s="52"/>
    </row>
    <row r="99" spans="1:19">
      <c r="A99" s="47"/>
      <c r="B99" s="47"/>
      <c r="C99" s="47"/>
      <c r="D99" s="47"/>
      <c r="E99" s="47"/>
      <c r="F99" s="47"/>
      <c r="G99" s="47"/>
      <c r="H99" s="47"/>
      <c r="I99" s="47"/>
      <c r="J99" s="47"/>
      <c r="K99" s="47"/>
      <c r="L99" s="47"/>
      <c r="M99" s="47"/>
      <c r="N99" s="201"/>
      <c r="O99" s="52"/>
      <c r="P99" s="52"/>
      <c r="Q99" s="52"/>
      <c r="R99" s="52"/>
      <c r="S99" s="52"/>
    </row>
    <row r="100" spans="1:19">
      <c r="A100" s="27" t="s">
        <v>1709</v>
      </c>
      <c r="B100" s="47"/>
      <c r="C100" s="47"/>
      <c r="D100" s="47"/>
      <c r="E100" s="47"/>
      <c r="F100" s="47"/>
      <c r="G100" s="47"/>
      <c r="H100" s="47"/>
      <c r="I100" s="47"/>
      <c r="J100" s="47"/>
      <c r="K100" s="47"/>
      <c r="L100" s="47"/>
      <c r="M100" s="47"/>
      <c r="N100" s="201"/>
      <c r="O100" s="52"/>
      <c r="P100" s="52"/>
      <c r="Q100" s="52"/>
      <c r="R100" s="52"/>
      <c r="S100" s="52"/>
    </row>
    <row r="101" spans="1:19">
      <c r="A101" s="320" t="s">
        <v>1917</v>
      </c>
      <c r="B101" s="47"/>
      <c r="C101" s="47"/>
      <c r="D101" s="47"/>
      <c r="E101" s="47"/>
      <c r="F101" s="47"/>
      <c r="G101" s="47"/>
      <c r="H101" s="47"/>
      <c r="I101" s="47"/>
      <c r="J101" s="47"/>
      <c r="K101" s="47"/>
      <c r="L101" s="47"/>
      <c r="M101" s="47"/>
      <c r="N101" s="201"/>
      <c r="O101" s="52"/>
      <c r="P101" s="52"/>
      <c r="Q101" s="52"/>
      <c r="R101" s="52"/>
      <c r="S101" s="52"/>
    </row>
    <row r="102" spans="1:19">
      <c r="A102" s="320" t="s">
        <v>1918</v>
      </c>
      <c r="B102" s="47"/>
      <c r="C102" s="47"/>
      <c r="D102" s="47"/>
      <c r="E102" s="47"/>
      <c r="F102" s="47"/>
      <c r="G102" s="47"/>
      <c r="H102" s="47"/>
      <c r="I102" s="47"/>
      <c r="J102" s="47"/>
      <c r="K102" s="47"/>
      <c r="L102" s="47"/>
      <c r="M102" s="47"/>
      <c r="N102" s="201"/>
      <c r="O102" s="52"/>
      <c r="P102" s="52"/>
      <c r="Q102" s="52"/>
      <c r="R102" s="52"/>
      <c r="S102" s="52"/>
    </row>
    <row r="103" spans="1:19">
      <c r="A103" s="320" t="s">
        <v>1919</v>
      </c>
      <c r="B103" s="47"/>
      <c r="C103" s="47"/>
      <c r="D103" s="47"/>
      <c r="E103" s="47"/>
      <c r="F103" s="47"/>
      <c r="G103" s="47"/>
      <c r="H103" s="47"/>
      <c r="I103" s="47"/>
      <c r="J103" s="47"/>
      <c r="K103" s="47"/>
      <c r="L103" s="47"/>
      <c r="M103" s="47"/>
      <c r="N103" s="201"/>
      <c r="O103" s="52"/>
      <c r="P103" s="52"/>
      <c r="Q103" s="52"/>
      <c r="R103" s="52"/>
      <c r="S103" s="52"/>
    </row>
    <row r="104" spans="1:19">
      <c r="A104" s="320" t="s">
        <v>1920</v>
      </c>
      <c r="B104" s="47"/>
      <c r="C104" s="47"/>
      <c r="D104" s="47"/>
      <c r="E104" s="47"/>
      <c r="F104" s="47"/>
      <c r="G104" s="47"/>
      <c r="H104" s="47"/>
      <c r="I104" s="47"/>
      <c r="J104" s="47"/>
      <c r="K104" s="47"/>
      <c r="L104" s="47"/>
      <c r="M104" s="47"/>
      <c r="N104" s="201"/>
      <c r="O104" s="52"/>
      <c r="P104" s="52"/>
      <c r="Q104" s="52"/>
      <c r="R104" s="52"/>
      <c r="S104" s="52"/>
    </row>
    <row r="105" spans="1:19">
      <c r="A105" s="320" t="s">
        <v>1921</v>
      </c>
      <c r="B105" s="47"/>
      <c r="C105" s="47"/>
      <c r="D105" s="47"/>
      <c r="E105" s="47"/>
      <c r="F105" s="47"/>
      <c r="G105" s="47"/>
      <c r="H105" s="47"/>
      <c r="I105" s="47"/>
      <c r="J105" s="47"/>
      <c r="K105" s="47"/>
      <c r="L105" s="47"/>
      <c r="M105" s="47"/>
      <c r="N105" s="201"/>
      <c r="O105" s="52"/>
      <c r="P105" s="52"/>
      <c r="Q105" s="52"/>
      <c r="R105" s="52"/>
      <c r="S105" s="52"/>
    </row>
    <row r="106" spans="1:19">
      <c r="A106" s="320" t="s">
        <v>1927</v>
      </c>
      <c r="B106" s="47"/>
      <c r="C106" s="47"/>
      <c r="D106" s="47"/>
      <c r="E106" s="47"/>
      <c r="F106" s="47"/>
      <c r="G106" s="47"/>
      <c r="H106" s="47"/>
      <c r="I106" s="47"/>
      <c r="J106" s="47"/>
      <c r="K106" s="47"/>
      <c r="L106" s="47"/>
      <c r="M106" s="47"/>
      <c r="N106" s="201"/>
      <c r="O106" s="52"/>
      <c r="P106" s="52"/>
      <c r="Q106" s="52"/>
      <c r="R106" s="52"/>
      <c r="S106" s="52"/>
    </row>
    <row r="107" spans="1:19">
      <c r="A107" s="47"/>
      <c r="B107" s="47"/>
      <c r="C107" s="47"/>
      <c r="D107" s="47"/>
      <c r="E107" s="47"/>
      <c r="F107" s="47"/>
      <c r="G107" s="47"/>
      <c r="H107" s="47"/>
      <c r="I107" s="47"/>
      <c r="J107" s="47"/>
      <c r="K107" s="47"/>
      <c r="L107" s="47"/>
      <c r="M107" s="47"/>
      <c r="N107" s="201"/>
      <c r="O107" s="52"/>
      <c r="P107" s="52"/>
      <c r="Q107" s="52"/>
      <c r="R107" s="52"/>
      <c r="S107" s="52"/>
    </row>
    <row r="108" spans="1:19">
      <c r="A108" s="27" t="s">
        <v>1710</v>
      </c>
      <c r="B108" s="47"/>
      <c r="C108" s="47"/>
      <c r="D108" s="47"/>
      <c r="E108" s="47"/>
      <c r="F108" s="47"/>
      <c r="G108" s="47"/>
      <c r="H108" s="47"/>
      <c r="I108" s="47"/>
      <c r="J108" s="47"/>
      <c r="K108" s="47"/>
      <c r="L108" s="47"/>
      <c r="M108" s="47"/>
      <c r="N108" s="201"/>
      <c r="O108" s="52"/>
      <c r="P108" s="52"/>
      <c r="Q108" s="52"/>
      <c r="R108" s="52"/>
      <c r="S108" s="52"/>
    </row>
    <row r="109" spans="1:19">
      <c r="A109" s="320" t="s">
        <v>1711</v>
      </c>
      <c r="B109" s="47"/>
      <c r="C109" s="47"/>
      <c r="D109" s="47"/>
      <c r="E109" s="47"/>
      <c r="F109" s="47"/>
      <c r="G109" s="47"/>
      <c r="H109" s="47"/>
      <c r="I109" s="47"/>
      <c r="J109" s="47"/>
      <c r="K109" s="47"/>
      <c r="L109" s="47"/>
      <c r="M109" s="47"/>
      <c r="N109" s="201"/>
      <c r="O109" s="52"/>
      <c r="P109" s="52"/>
      <c r="Q109" s="52"/>
      <c r="R109" s="52"/>
      <c r="S109" s="52"/>
    </row>
    <row r="110" spans="1:19">
      <c r="A110" s="47"/>
      <c r="B110" s="47"/>
      <c r="C110" s="47"/>
      <c r="D110" s="47"/>
      <c r="E110" s="47"/>
      <c r="F110" s="47"/>
      <c r="G110" s="47"/>
      <c r="H110" s="47"/>
      <c r="I110" s="47"/>
      <c r="J110" s="47"/>
      <c r="K110" s="47"/>
      <c r="L110" s="47"/>
      <c r="M110" s="47"/>
      <c r="N110" s="201"/>
      <c r="O110" s="52"/>
      <c r="P110" s="52"/>
      <c r="Q110" s="52"/>
      <c r="R110" s="52"/>
      <c r="S110" s="52"/>
    </row>
    <row r="111" spans="1:19">
      <c r="A111" s="27" t="s">
        <v>2418</v>
      </c>
      <c r="B111" s="27" t="s">
        <v>117</v>
      </c>
      <c r="C111" s="47"/>
      <c r="D111" s="47"/>
      <c r="E111" s="47"/>
      <c r="F111" s="47"/>
      <c r="G111" s="47"/>
      <c r="H111" s="47"/>
      <c r="I111" s="47"/>
      <c r="J111" s="47"/>
      <c r="K111" s="47"/>
      <c r="L111" s="47"/>
      <c r="M111" s="47"/>
      <c r="N111" s="201"/>
      <c r="O111" s="52"/>
      <c r="P111" s="52"/>
      <c r="Q111" s="52"/>
      <c r="R111" s="52"/>
      <c r="S111" s="52"/>
    </row>
    <row r="112" spans="1:19">
      <c r="A112" s="320" t="s">
        <v>498</v>
      </c>
      <c r="B112" s="430">
        <f>'Investment Recommendation'!B43</f>
        <v>389.90639339738749</v>
      </c>
      <c r="C112" s="47"/>
      <c r="D112" s="47"/>
      <c r="E112" s="47"/>
      <c r="F112" s="47"/>
      <c r="G112" s="47"/>
      <c r="H112" s="47"/>
      <c r="I112" s="47"/>
      <c r="J112" s="47"/>
      <c r="K112" s="47"/>
      <c r="L112" s="47"/>
      <c r="M112" s="47"/>
      <c r="N112" s="201"/>
      <c r="O112" s="52"/>
      <c r="P112" s="52"/>
      <c r="Q112" s="52"/>
      <c r="R112" s="52"/>
      <c r="S112" s="52"/>
    </row>
    <row r="113" spans="1:19">
      <c r="A113" s="320" t="s">
        <v>865</v>
      </c>
      <c r="B113" s="431">
        <f>'Investment Recommendation'!B42</f>
        <v>450</v>
      </c>
      <c r="C113" s="47"/>
      <c r="D113" s="47"/>
      <c r="E113" s="47"/>
      <c r="F113" s="47"/>
      <c r="G113" s="47"/>
      <c r="H113" s="47"/>
      <c r="I113" s="47"/>
      <c r="J113" s="47"/>
      <c r="K113" s="47"/>
      <c r="L113" s="47"/>
      <c r="M113" s="47"/>
      <c r="N113" s="201"/>
      <c r="O113" s="52"/>
      <c r="P113" s="52"/>
      <c r="Q113" s="52"/>
      <c r="R113" s="52"/>
      <c r="S113" s="52"/>
    </row>
    <row r="114" spans="1:19">
      <c r="A114" s="320" t="s">
        <v>501</v>
      </c>
      <c r="B114" s="437">
        <f>'Investment Recommendation'!B44</f>
        <v>-0.13354134800580558</v>
      </c>
      <c r="C114" s="47"/>
      <c r="D114" s="47"/>
      <c r="E114" s="47"/>
      <c r="F114" s="47"/>
      <c r="G114" s="47"/>
      <c r="H114" s="47"/>
      <c r="I114" s="47"/>
      <c r="J114" s="47"/>
      <c r="K114" s="47"/>
      <c r="L114" s="47"/>
      <c r="M114" s="47"/>
      <c r="N114" s="201"/>
      <c r="O114" s="52"/>
      <c r="P114" s="52"/>
      <c r="Q114" s="52"/>
      <c r="R114" s="52"/>
      <c r="S114" s="52"/>
    </row>
    <row r="115" spans="1:19">
      <c r="A115" s="320" t="s">
        <v>1714</v>
      </c>
      <c r="B115" s="75" t="str">
        <f>'Investment Recommendation'!B45</f>
        <v>SELL</v>
      </c>
      <c r="C115" s="47"/>
      <c r="D115" s="47"/>
      <c r="E115" s="47"/>
      <c r="F115" s="47"/>
      <c r="G115" s="47"/>
      <c r="H115" s="47"/>
      <c r="I115" s="47"/>
      <c r="J115" s="47"/>
      <c r="K115" s="47"/>
      <c r="L115" s="47"/>
      <c r="M115" s="47"/>
      <c r="N115" s="201"/>
      <c r="O115" s="52"/>
      <c r="P115" s="52"/>
      <c r="Q115" s="52"/>
      <c r="R115" s="52"/>
      <c r="S115" s="52"/>
    </row>
    <row r="116" spans="1:19">
      <c r="A116" s="47"/>
      <c r="B116" s="47"/>
      <c r="C116" s="47"/>
      <c r="D116" s="47"/>
      <c r="E116" s="47"/>
      <c r="F116" s="47"/>
      <c r="G116" s="47"/>
      <c r="H116" s="47"/>
      <c r="I116" s="47"/>
      <c r="J116" s="47"/>
      <c r="K116" s="47"/>
      <c r="L116" s="47"/>
      <c r="M116" s="47"/>
      <c r="N116" s="201"/>
      <c r="O116" s="52"/>
      <c r="P116" s="52"/>
      <c r="Q116" s="52"/>
      <c r="R116" s="52"/>
      <c r="S116" s="52"/>
    </row>
    <row r="117" spans="1:19">
      <c r="A117" s="63" t="s">
        <v>1922</v>
      </c>
      <c r="B117" s="63"/>
      <c r="C117" s="63"/>
      <c r="D117" s="63"/>
      <c r="E117" s="47"/>
      <c r="F117" s="47"/>
      <c r="G117" s="47"/>
      <c r="H117" s="47"/>
      <c r="I117" s="47"/>
      <c r="J117" s="47"/>
      <c r="K117" s="47"/>
      <c r="L117" s="47"/>
      <c r="M117" s="47"/>
      <c r="N117" s="201"/>
      <c r="O117" s="52"/>
      <c r="P117" s="52"/>
      <c r="Q117" s="52"/>
      <c r="R117" s="52"/>
      <c r="S117" s="52"/>
    </row>
    <row r="118" spans="1:19">
      <c r="A118" s="47"/>
      <c r="B118" s="47"/>
      <c r="C118" s="47"/>
      <c r="D118" s="47"/>
      <c r="E118" s="47"/>
      <c r="F118" s="47"/>
      <c r="G118" s="47"/>
      <c r="H118" s="47"/>
      <c r="I118" s="47"/>
      <c r="J118" s="47"/>
      <c r="K118" s="47"/>
      <c r="L118" s="47"/>
      <c r="M118" s="47"/>
      <c r="N118" s="201"/>
      <c r="O118" s="52"/>
      <c r="P118" s="52"/>
      <c r="Q118" s="52"/>
      <c r="R118" s="52"/>
      <c r="S118" s="52"/>
    </row>
    <row r="119" spans="1:19">
      <c r="A119" s="63" t="s">
        <v>1925</v>
      </c>
      <c r="B119" s="63"/>
      <c r="C119" s="63"/>
      <c r="D119" s="63"/>
      <c r="E119" s="63"/>
      <c r="F119" s="47"/>
      <c r="G119" s="47"/>
      <c r="H119" s="47"/>
      <c r="I119" s="47"/>
      <c r="J119" s="47"/>
      <c r="K119" s="47"/>
      <c r="L119" s="47"/>
      <c r="M119" s="47"/>
      <c r="N119" s="201"/>
      <c r="O119" s="52"/>
      <c r="P119" s="52"/>
      <c r="Q119" s="52"/>
      <c r="R119" s="52"/>
      <c r="S119" s="52"/>
    </row>
    <row r="120" spans="1:19">
      <c r="A120" s="47"/>
      <c r="B120" s="47"/>
      <c r="C120" s="47"/>
      <c r="D120" s="47"/>
      <c r="E120" s="47"/>
      <c r="F120" s="47"/>
      <c r="G120" s="47"/>
      <c r="H120" s="47"/>
      <c r="I120" s="47"/>
      <c r="J120" s="47"/>
      <c r="K120" s="47"/>
      <c r="L120" s="47"/>
      <c r="M120" s="47"/>
      <c r="N120" s="201"/>
      <c r="O120" s="52"/>
      <c r="P120" s="52"/>
      <c r="Q120" s="52"/>
      <c r="R120" s="52"/>
      <c r="S120" s="52"/>
    </row>
    <row r="121" spans="1:19">
      <c r="A121" s="63" t="s">
        <v>1926</v>
      </c>
      <c r="B121" s="63"/>
      <c r="C121" s="63"/>
      <c r="D121" s="47"/>
      <c r="E121" s="47"/>
      <c r="F121" s="47"/>
      <c r="G121" s="47"/>
      <c r="H121" s="47"/>
      <c r="I121" s="47"/>
      <c r="J121" s="47"/>
      <c r="K121" s="47"/>
      <c r="L121" s="47"/>
      <c r="M121" s="47"/>
      <c r="N121" s="201"/>
      <c r="O121" s="52"/>
      <c r="P121" s="52"/>
      <c r="Q121" s="52"/>
      <c r="R121" s="52"/>
      <c r="S121" s="52"/>
    </row>
    <row r="122" spans="1:19">
      <c r="A122" s="47"/>
      <c r="B122" s="47"/>
      <c r="C122" s="47"/>
      <c r="D122" s="47"/>
      <c r="E122" s="47"/>
      <c r="F122" s="47"/>
      <c r="G122" s="47"/>
      <c r="H122" s="47"/>
      <c r="I122" s="47"/>
      <c r="J122" s="47"/>
      <c r="K122" s="47"/>
      <c r="L122" s="47"/>
      <c r="M122" s="47"/>
      <c r="N122" s="201"/>
      <c r="O122" s="52"/>
      <c r="P122" s="52"/>
      <c r="Q122" s="52"/>
      <c r="R122" s="52"/>
      <c r="S122" s="52"/>
    </row>
    <row r="123" spans="1:19">
      <c r="A123" s="63" t="s">
        <v>1928</v>
      </c>
      <c r="B123" s="63"/>
      <c r="C123" s="47"/>
      <c r="D123" s="47"/>
      <c r="E123" s="47"/>
      <c r="F123" s="47"/>
      <c r="G123" s="47"/>
      <c r="H123" s="47"/>
      <c r="I123" s="47"/>
      <c r="J123" s="47"/>
      <c r="K123" s="47"/>
      <c r="L123" s="47"/>
      <c r="M123" s="47"/>
      <c r="N123" s="201"/>
      <c r="O123" s="52"/>
      <c r="P123" s="52"/>
      <c r="Q123" s="52"/>
      <c r="R123" s="52"/>
      <c r="S123" s="52"/>
    </row>
    <row r="124" spans="1:19">
      <c r="A124" s="47"/>
      <c r="B124" s="47"/>
      <c r="C124" s="47"/>
      <c r="D124" s="47"/>
      <c r="E124" s="47"/>
      <c r="F124" s="47"/>
      <c r="G124" s="47"/>
      <c r="H124" s="47"/>
      <c r="I124" s="47"/>
      <c r="J124" s="47"/>
      <c r="K124" s="47"/>
      <c r="L124" s="47"/>
      <c r="M124" s="47"/>
      <c r="N124" s="201"/>
      <c r="O124" s="52"/>
      <c r="P124" s="52"/>
      <c r="Q124" s="52"/>
      <c r="R124" s="52"/>
      <c r="S124" s="52"/>
    </row>
    <row r="125" spans="1:19">
      <c r="A125" s="46" t="s">
        <v>2417</v>
      </c>
      <c r="B125" s="47"/>
      <c r="C125" s="47"/>
      <c r="D125" s="47"/>
      <c r="E125" s="47"/>
      <c r="F125" s="47"/>
      <c r="G125" s="47"/>
      <c r="H125" s="47"/>
      <c r="I125" s="47"/>
      <c r="J125" s="47"/>
      <c r="K125" s="47"/>
      <c r="L125" s="47"/>
      <c r="M125" s="47"/>
      <c r="N125" s="201"/>
      <c r="O125" s="52"/>
      <c r="P125" s="52"/>
      <c r="Q125" s="52"/>
      <c r="R125" s="52"/>
      <c r="S125" s="52"/>
    </row>
    <row r="126" spans="1:19">
      <c r="A126" s="320" t="s">
        <v>2421</v>
      </c>
      <c r="B126" s="320"/>
      <c r="C126" s="320"/>
      <c r="D126" s="320"/>
      <c r="E126" s="320"/>
      <c r="F126" s="320"/>
      <c r="G126" s="320"/>
      <c r="H126" s="320"/>
      <c r="I126" s="320"/>
      <c r="J126" s="47"/>
      <c r="K126" s="47"/>
      <c r="L126" s="47"/>
      <c r="M126" s="47"/>
      <c r="N126" s="201"/>
      <c r="O126" s="52"/>
      <c r="P126" s="52"/>
      <c r="Q126" s="52"/>
      <c r="R126" s="52"/>
      <c r="S126" s="52"/>
    </row>
    <row r="127" spans="1:19">
      <c r="A127" s="320" t="s">
        <v>2422</v>
      </c>
      <c r="B127" s="320"/>
      <c r="C127" s="320"/>
      <c r="D127" s="320"/>
      <c r="E127" s="320"/>
      <c r="F127" s="320"/>
      <c r="G127" s="320"/>
      <c r="H127" s="320"/>
      <c r="I127" s="320"/>
      <c r="J127" s="47"/>
      <c r="K127" s="47"/>
      <c r="L127" s="47"/>
      <c r="M127" s="47"/>
      <c r="N127" s="201"/>
      <c r="O127" s="52"/>
      <c r="P127" s="52"/>
      <c r="Q127" s="52"/>
      <c r="R127" s="52"/>
      <c r="S127" s="52"/>
    </row>
    <row r="128" spans="1:19">
      <c r="A128" s="47"/>
      <c r="B128" s="47"/>
      <c r="C128" s="47"/>
      <c r="D128" s="47"/>
      <c r="E128" s="47"/>
      <c r="F128" s="47"/>
      <c r="G128" s="47"/>
      <c r="H128" s="47"/>
      <c r="I128" s="47"/>
      <c r="J128" s="47"/>
      <c r="K128" s="47"/>
      <c r="L128" s="47"/>
      <c r="M128" s="47"/>
      <c r="N128" s="201"/>
      <c r="O128" s="52"/>
      <c r="P128" s="52"/>
      <c r="Q128" s="52"/>
      <c r="R128" s="52"/>
      <c r="S128" s="52"/>
    </row>
    <row r="129" spans="1:19">
      <c r="A129" s="63" t="s">
        <v>2423</v>
      </c>
      <c r="B129" s="63"/>
      <c r="C129" s="63"/>
      <c r="D129" s="63"/>
      <c r="E129" s="63"/>
      <c r="F129" s="47"/>
      <c r="G129" s="47"/>
      <c r="H129" s="47"/>
      <c r="I129" s="47"/>
      <c r="J129" s="47"/>
      <c r="K129" s="47"/>
      <c r="L129" s="47"/>
      <c r="M129" s="47"/>
      <c r="N129" s="201"/>
      <c r="O129" s="52"/>
      <c r="P129" s="52"/>
      <c r="Q129" s="52"/>
      <c r="R129" s="52"/>
      <c r="S129" s="52"/>
    </row>
    <row r="130" spans="1:19">
      <c r="A130" s="201"/>
      <c r="B130" s="201"/>
      <c r="C130" s="201"/>
      <c r="D130" s="201"/>
      <c r="E130" s="201"/>
      <c r="F130" s="201"/>
      <c r="G130" s="201"/>
      <c r="H130" s="201"/>
      <c r="I130" s="201"/>
      <c r="J130" s="201"/>
      <c r="K130" s="201"/>
      <c r="L130" s="201"/>
      <c r="M130" s="201"/>
      <c r="N130" s="201"/>
      <c r="O130" s="52"/>
      <c r="P130" s="52"/>
      <c r="Q130" s="52"/>
      <c r="R130" s="52"/>
      <c r="S130" s="52"/>
    </row>
    <row r="131" spans="1:19">
      <c r="A131" s="201"/>
      <c r="B131" s="201"/>
      <c r="C131" s="201"/>
      <c r="D131" s="201"/>
      <c r="E131" s="201"/>
      <c r="F131" s="201"/>
      <c r="G131" s="201"/>
      <c r="H131" s="201"/>
      <c r="I131" s="201"/>
      <c r="J131" s="201"/>
      <c r="K131" s="201"/>
      <c r="L131" s="201"/>
      <c r="M131" s="201"/>
      <c r="N131" s="201"/>
      <c r="O131" s="52"/>
      <c r="P131" s="52"/>
      <c r="Q131" s="52"/>
      <c r="R131" s="52"/>
      <c r="S131" s="52"/>
    </row>
    <row r="132" spans="1:19">
      <c r="A132" s="201"/>
      <c r="B132" s="201"/>
      <c r="C132" s="201"/>
      <c r="D132" s="201"/>
      <c r="E132" s="201"/>
      <c r="F132" s="201"/>
      <c r="G132" s="201"/>
      <c r="H132" s="201"/>
      <c r="I132" s="201"/>
      <c r="J132" s="201"/>
      <c r="K132" s="201"/>
      <c r="L132" s="201"/>
      <c r="M132" s="201"/>
      <c r="N132" s="201"/>
      <c r="O132" s="52"/>
      <c r="P132" s="52"/>
      <c r="Q132" s="52"/>
      <c r="R132" s="52"/>
      <c r="S132" s="52"/>
    </row>
    <row r="133" spans="1:19">
      <c r="A133" s="52"/>
      <c r="B133" s="52"/>
      <c r="C133" s="52"/>
      <c r="D133" s="52"/>
      <c r="E133" s="52"/>
      <c r="F133" s="52"/>
      <c r="G133" s="52"/>
      <c r="H133" s="52"/>
      <c r="I133" s="52"/>
      <c r="J133" s="52"/>
      <c r="K133" s="52"/>
      <c r="L133" s="52"/>
      <c r="M133" s="52"/>
      <c r="N133" s="52"/>
      <c r="O133" s="52"/>
      <c r="P133" s="52"/>
      <c r="Q133" s="52"/>
      <c r="R133" s="52"/>
      <c r="S133" s="52"/>
    </row>
    <row r="134" spans="1:19">
      <c r="A134" s="52"/>
      <c r="B134" s="52"/>
      <c r="C134" s="52"/>
      <c r="D134" s="52"/>
      <c r="E134" s="52"/>
      <c r="F134" s="52"/>
      <c r="G134" s="52"/>
      <c r="H134" s="52"/>
      <c r="I134" s="52"/>
      <c r="J134" s="52"/>
      <c r="K134" s="52"/>
      <c r="L134" s="52"/>
      <c r="M134" s="52"/>
      <c r="N134" s="52"/>
      <c r="O134" s="52"/>
      <c r="P134" s="52"/>
      <c r="Q134" s="52"/>
      <c r="R134" s="52"/>
      <c r="S134" s="52"/>
    </row>
    <row r="135" spans="1:19">
      <c r="A135" s="52"/>
      <c r="B135" s="52"/>
      <c r="C135" s="52"/>
      <c r="D135" s="52"/>
      <c r="E135" s="52"/>
      <c r="F135" s="52"/>
      <c r="G135" s="52"/>
      <c r="H135" s="52"/>
      <c r="I135" s="52"/>
      <c r="J135" s="52"/>
      <c r="K135" s="52"/>
      <c r="L135" s="52"/>
      <c r="M135" s="52"/>
      <c r="N135" s="52"/>
      <c r="O135" s="52"/>
      <c r="P135" s="52"/>
      <c r="Q135" s="52"/>
      <c r="R135" s="52"/>
      <c r="S135" s="52"/>
    </row>
    <row r="136" spans="1:19">
      <c r="A136" s="52"/>
      <c r="B136" s="52"/>
      <c r="C136" s="52"/>
      <c r="D136" s="52"/>
      <c r="E136" s="52"/>
      <c r="F136" s="52"/>
      <c r="G136" s="52"/>
      <c r="H136" s="52"/>
      <c r="I136" s="52"/>
      <c r="J136" s="52"/>
      <c r="K136" s="52"/>
      <c r="L136" s="52"/>
      <c r="M136" s="52"/>
      <c r="N136" s="52"/>
      <c r="O136" s="52"/>
      <c r="P136" s="52"/>
      <c r="Q136" s="52"/>
      <c r="R136" s="52"/>
      <c r="S136" s="52"/>
    </row>
    <row r="137" spans="1:19">
      <c r="A137" s="52"/>
      <c r="B137" s="52"/>
      <c r="C137" s="52"/>
      <c r="D137" s="52"/>
      <c r="E137" s="52"/>
      <c r="F137" s="52"/>
      <c r="G137" s="52"/>
      <c r="H137" s="52"/>
      <c r="I137" s="52"/>
      <c r="J137" s="52"/>
      <c r="K137" s="52"/>
      <c r="L137" s="52"/>
      <c r="M137" s="52"/>
      <c r="N137" s="52"/>
      <c r="O137" s="52"/>
      <c r="P137" s="52"/>
      <c r="Q137" s="52"/>
      <c r="R137" s="52"/>
      <c r="S137" s="52"/>
    </row>
    <row r="138" spans="1:19">
      <c r="A138" s="52"/>
      <c r="B138" s="52"/>
      <c r="C138" s="52"/>
      <c r="D138" s="52"/>
      <c r="E138" s="52"/>
      <c r="F138" s="52"/>
      <c r="G138" s="52"/>
      <c r="H138" s="52"/>
      <c r="I138" s="52"/>
      <c r="J138" s="52"/>
      <c r="K138" s="52"/>
      <c r="L138" s="52"/>
      <c r="M138" s="52"/>
      <c r="N138" s="52"/>
      <c r="O138" s="52"/>
      <c r="P138" s="52"/>
      <c r="Q138" s="52"/>
      <c r="R138" s="52"/>
      <c r="S138" s="52"/>
    </row>
    <row r="139" spans="1:19">
      <c r="A139" s="52"/>
      <c r="B139" s="52"/>
      <c r="C139" s="52"/>
      <c r="D139" s="52"/>
      <c r="E139" s="52"/>
      <c r="F139" s="52"/>
      <c r="G139" s="52"/>
      <c r="H139" s="52"/>
      <c r="I139" s="52"/>
      <c r="J139" s="52"/>
      <c r="K139" s="52"/>
      <c r="L139" s="52"/>
      <c r="M139" s="52"/>
      <c r="N139" s="52"/>
      <c r="O139" s="52"/>
      <c r="P139" s="52"/>
      <c r="Q139" s="52"/>
      <c r="R139" s="52"/>
      <c r="S139" s="52"/>
    </row>
    <row r="140" spans="1:19">
      <c r="A140" s="52"/>
      <c r="B140" s="52"/>
      <c r="C140" s="52"/>
      <c r="D140" s="52"/>
      <c r="E140" s="52"/>
      <c r="F140" s="52"/>
      <c r="G140" s="52"/>
      <c r="H140" s="52"/>
      <c r="I140" s="52"/>
      <c r="J140" s="52"/>
      <c r="K140" s="52"/>
      <c r="L140" s="52"/>
      <c r="M140" s="52"/>
      <c r="N140" s="52"/>
      <c r="O140" s="52"/>
      <c r="P140" s="52"/>
      <c r="Q140" s="52"/>
      <c r="R140" s="52"/>
      <c r="S140" s="52"/>
    </row>
    <row r="141" spans="1:19">
      <c r="A141" s="52"/>
      <c r="B141" s="52"/>
      <c r="C141" s="52"/>
      <c r="D141" s="52"/>
      <c r="E141" s="52"/>
      <c r="F141" s="52"/>
      <c r="G141" s="52"/>
      <c r="H141" s="52"/>
      <c r="I141" s="52"/>
      <c r="J141" s="52"/>
      <c r="K141" s="52"/>
      <c r="L141" s="52"/>
      <c r="M141" s="52"/>
      <c r="N141" s="52"/>
      <c r="O141" s="52"/>
      <c r="P141" s="52"/>
      <c r="Q141" s="52"/>
      <c r="R141" s="52"/>
      <c r="S141" s="52"/>
    </row>
    <row r="142" spans="1:19">
      <c r="A142" s="52"/>
      <c r="B142" s="52"/>
      <c r="C142" s="52"/>
      <c r="D142" s="52"/>
      <c r="E142" s="52"/>
      <c r="F142" s="52"/>
      <c r="G142" s="52"/>
      <c r="H142" s="52"/>
      <c r="I142" s="52"/>
      <c r="J142" s="52"/>
      <c r="K142" s="52"/>
      <c r="L142" s="52"/>
      <c r="M142" s="52"/>
      <c r="N142" s="52"/>
      <c r="O142" s="52"/>
      <c r="P142" s="52"/>
      <c r="Q142" s="52"/>
      <c r="R142" s="52"/>
      <c r="S142" s="5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Summary</vt:lpstr>
      <vt:lpstr>Executive Summary</vt:lpstr>
      <vt:lpstr>Assumptions</vt:lpstr>
      <vt:lpstr>Assumption Notes</vt:lpstr>
      <vt:lpstr>WACC</vt:lpstr>
      <vt:lpstr>CAGR Projections</vt:lpstr>
      <vt:lpstr>Return Metrics</vt:lpstr>
      <vt:lpstr>Audit Checks</vt:lpstr>
      <vt:lpstr>Profit Loss</vt:lpstr>
      <vt:lpstr>Balance_Sheet</vt:lpstr>
      <vt:lpstr>Cash Flow</vt:lpstr>
      <vt:lpstr>Common Size</vt:lpstr>
      <vt:lpstr>Ind_P&amp;L</vt:lpstr>
      <vt:lpstr>Ind_bal</vt:lpstr>
      <vt:lpstr>Ind_Cashflow</vt:lpstr>
      <vt:lpstr>Beta</vt:lpstr>
      <vt:lpstr>Regression</vt:lpstr>
      <vt:lpstr>DCF Valuation</vt:lpstr>
      <vt:lpstr>DDM FCFF FCFE RelativeValuation</vt:lpstr>
      <vt:lpstr>Valuation Dashboard</vt:lpstr>
      <vt:lpstr>Competition</vt:lpstr>
      <vt:lpstr>Credit Ratio</vt:lpstr>
      <vt:lpstr>Ratios</vt:lpstr>
      <vt:lpstr>Ind_Data</vt:lpstr>
      <vt:lpstr>Raw P&amp;L</vt:lpstr>
      <vt:lpstr>Raw Balance Sheet</vt:lpstr>
      <vt:lpstr>Model Flow</vt:lpstr>
      <vt:lpstr>Industry Outlook</vt:lpstr>
      <vt:lpstr>Operational Drivers</vt:lpstr>
      <vt:lpstr>Sensitivity Analysis</vt:lpstr>
      <vt:lpstr>Scenario Analysis</vt:lpstr>
      <vt:lpstr>Investment Thesis</vt:lpstr>
      <vt:lpstr>Investment Recommendation</vt:lpstr>
      <vt:lpstr>Risk Analysis</vt:lpstr>
      <vt:lpstr>Documentation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Talla Varun Goud</dc:creator>
  <cp:lastModifiedBy>Talla Varun Goud</cp:lastModifiedBy>
  <cp:lastPrinted>2026-03-24T10:25:53Z</cp:lastPrinted>
  <dcterms:created xsi:type="dcterms:W3CDTF">2026-02-02T12:49:40Z</dcterms:created>
  <dcterms:modified xsi:type="dcterms:W3CDTF">2026-04-11T17:51:45Z</dcterms:modified>
</cp:coreProperties>
</file>