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lles/Downloads/"/>
    </mc:Choice>
  </mc:AlternateContent>
  <bookViews>
    <workbookView xWindow="20" yWindow="460" windowWidth="25600" windowHeight="14280" activeTab="4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  <sheet name="15PeriodBinomialModel" sheetId="8" r:id="rId5"/>
  </sheets>
  <definedNames>
    <definedName name="FuturesLattice" localSheetId="4">#REF!</definedName>
    <definedName name="FuturesLattice" localSheetId="2">OptionsOnFuturesEG!$A$29:$N$42</definedName>
    <definedName name="FuturesLattice">#REF!</definedName>
    <definedName name="FuturesOptionLattice" localSheetId="4">#REF!</definedName>
    <definedName name="FuturesOptionLattice" localSheetId="2">OptionsOnFuturesEG!$A$45:$N$58</definedName>
    <definedName name="FuturesOptionLattice">#REF!</definedName>
    <definedName name="OptionLattice" localSheetId="4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4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4">#REF!</definedName>
    <definedName name="StockLattice_2" localSheetId="2">OptionsOnFuturesEG!$A$13:$N$26</definedName>
    <definedName name="StockLattice_2">#REF!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9" i="8" l="1"/>
  <c r="D238" i="8"/>
  <c r="E237" i="8"/>
  <c r="F236" i="8"/>
  <c r="G235" i="8"/>
  <c r="H234" i="8"/>
  <c r="I233" i="8"/>
  <c r="J232" i="8"/>
  <c r="K231" i="8"/>
  <c r="L230" i="8"/>
  <c r="M229" i="8"/>
  <c r="N228" i="8"/>
  <c r="O227" i="8"/>
  <c r="P226" i="8"/>
  <c r="Q226" i="8"/>
  <c r="Q245" i="8"/>
  <c r="P227" i="8"/>
  <c r="Q227" i="8"/>
  <c r="Q246" i="8"/>
  <c r="P246" i="8"/>
  <c r="O228" i="8"/>
  <c r="P228" i="8"/>
  <c r="Q228" i="8"/>
  <c r="Q247" i="8"/>
  <c r="P247" i="8"/>
  <c r="O247" i="8"/>
  <c r="N229" i="8"/>
  <c r="O229" i="8"/>
  <c r="P229" i="8"/>
  <c r="Q229" i="8"/>
  <c r="Q248" i="8"/>
  <c r="P248" i="8"/>
  <c r="O248" i="8"/>
  <c r="N248" i="8"/>
  <c r="M230" i="8"/>
  <c r="N230" i="8"/>
  <c r="O230" i="8"/>
  <c r="P230" i="8"/>
  <c r="Q230" i="8"/>
  <c r="Q249" i="8"/>
  <c r="P249" i="8"/>
  <c r="O249" i="8"/>
  <c r="N249" i="8"/>
  <c r="M249" i="8"/>
  <c r="L231" i="8"/>
  <c r="M231" i="8"/>
  <c r="N231" i="8"/>
  <c r="O231" i="8"/>
  <c r="P231" i="8"/>
  <c r="Q231" i="8"/>
  <c r="Q250" i="8"/>
  <c r="P250" i="8"/>
  <c r="O250" i="8"/>
  <c r="N250" i="8"/>
  <c r="M250" i="8"/>
  <c r="L250" i="8"/>
  <c r="C201" i="8"/>
  <c r="D200" i="8"/>
  <c r="E199" i="8"/>
  <c r="F198" i="8"/>
  <c r="G197" i="8"/>
  <c r="H196" i="8"/>
  <c r="I195" i="8"/>
  <c r="J194" i="8"/>
  <c r="K193" i="8"/>
  <c r="L192" i="8"/>
  <c r="M191" i="8"/>
  <c r="N190" i="8"/>
  <c r="O189" i="8"/>
  <c r="P188" i="8"/>
  <c r="Q188" i="8"/>
  <c r="Q207" i="8"/>
  <c r="P189" i="8"/>
  <c r="Q189" i="8"/>
  <c r="Q208" i="8"/>
  <c r="P208" i="8"/>
  <c r="O190" i="8"/>
  <c r="P190" i="8"/>
  <c r="Q190" i="8"/>
  <c r="Q209" i="8"/>
  <c r="P209" i="8"/>
  <c r="O209" i="8"/>
  <c r="N191" i="8"/>
  <c r="O191" i="8"/>
  <c r="P191" i="8"/>
  <c r="Q191" i="8"/>
  <c r="Q210" i="8"/>
  <c r="P210" i="8"/>
  <c r="O210" i="8"/>
  <c r="N210" i="8"/>
  <c r="M192" i="8"/>
  <c r="N192" i="8"/>
  <c r="O192" i="8"/>
  <c r="P192" i="8"/>
  <c r="Q192" i="8"/>
  <c r="Q211" i="8"/>
  <c r="P211" i="8"/>
  <c r="O211" i="8"/>
  <c r="N211" i="8"/>
  <c r="M211" i="8"/>
  <c r="L193" i="8"/>
  <c r="M193" i="8"/>
  <c r="N193" i="8"/>
  <c r="O193" i="8"/>
  <c r="P193" i="8"/>
  <c r="Q193" i="8"/>
  <c r="Q212" i="8"/>
  <c r="P212" i="8"/>
  <c r="O212" i="8"/>
  <c r="N212" i="8"/>
  <c r="M212" i="8"/>
  <c r="L212" i="8"/>
  <c r="L269" i="8"/>
  <c r="K232" i="8"/>
  <c r="L232" i="8"/>
  <c r="M232" i="8"/>
  <c r="N232" i="8"/>
  <c r="O232" i="8"/>
  <c r="P232" i="8"/>
  <c r="Q232" i="8"/>
  <c r="Q251" i="8"/>
  <c r="P251" i="8"/>
  <c r="O251" i="8"/>
  <c r="N251" i="8"/>
  <c r="M251" i="8"/>
  <c r="L251" i="8"/>
  <c r="K194" i="8"/>
  <c r="L194" i="8"/>
  <c r="M194" i="8"/>
  <c r="N194" i="8"/>
  <c r="O194" i="8"/>
  <c r="P194" i="8"/>
  <c r="Q194" i="8"/>
  <c r="Q213" i="8"/>
  <c r="P213" i="8"/>
  <c r="O213" i="8"/>
  <c r="N213" i="8"/>
  <c r="M213" i="8"/>
  <c r="L213" i="8"/>
  <c r="L270" i="8"/>
  <c r="J233" i="8"/>
  <c r="K233" i="8"/>
  <c r="L233" i="8"/>
  <c r="M233" i="8"/>
  <c r="N233" i="8"/>
  <c r="O233" i="8"/>
  <c r="P233" i="8"/>
  <c r="Q233" i="8"/>
  <c r="Q252" i="8"/>
  <c r="P252" i="8"/>
  <c r="O252" i="8"/>
  <c r="N252" i="8"/>
  <c r="M252" i="8"/>
  <c r="L252" i="8"/>
  <c r="J195" i="8"/>
  <c r="K195" i="8"/>
  <c r="L195" i="8"/>
  <c r="M195" i="8"/>
  <c r="N195" i="8"/>
  <c r="O195" i="8"/>
  <c r="P195" i="8"/>
  <c r="Q195" i="8"/>
  <c r="Q214" i="8"/>
  <c r="P214" i="8"/>
  <c r="O214" i="8"/>
  <c r="N214" i="8"/>
  <c r="M214" i="8"/>
  <c r="L214" i="8"/>
  <c r="L271" i="8"/>
  <c r="I234" i="8"/>
  <c r="J234" i="8"/>
  <c r="K234" i="8"/>
  <c r="L234" i="8"/>
  <c r="M234" i="8"/>
  <c r="N234" i="8"/>
  <c r="O234" i="8"/>
  <c r="P234" i="8"/>
  <c r="Q234" i="8"/>
  <c r="Q253" i="8"/>
  <c r="P253" i="8"/>
  <c r="O253" i="8"/>
  <c r="N253" i="8"/>
  <c r="M253" i="8"/>
  <c r="L253" i="8"/>
  <c r="I196" i="8"/>
  <c r="J196" i="8"/>
  <c r="K196" i="8"/>
  <c r="L196" i="8"/>
  <c r="M196" i="8"/>
  <c r="N196" i="8"/>
  <c r="O196" i="8"/>
  <c r="P196" i="8"/>
  <c r="Q196" i="8"/>
  <c r="Q215" i="8"/>
  <c r="P215" i="8"/>
  <c r="O215" i="8"/>
  <c r="N215" i="8"/>
  <c r="M215" i="8"/>
  <c r="L215" i="8"/>
  <c r="L272" i="8"/>
  <c r="H235" i="8"/>
  <c r="I235" i="8"/>
  <c r="J235" i="8"/>
  <c r="K235" i="8"/>
  <c r="L235" i="8"/>
  <c r="M235" i="8"/>
  <c r="N235" i="8"/>
  <c r="O235" i="8"/>
  <c r="P235" i="8"/>
  <c r="Q235" i="8"/>
  <c r="Q254" i="8"/>
  <c r="P254" i="8"/>
  <c r="O254" i="8"/>
  <c r="N254" i="8"/>
  <c r="M254" i="8"/>
  <c r="L254" i="8"/>
  <c r="H197" i="8"/>
  <c r="I197" i="8"/>
  <c r="J197" i="8"/>
  <c r="K197" i="8"/>
  <c r="L197" i="8"/>
  <c r="M197" i="8"/>
  <c r="N197" i="8"/>
  <c r="O197" i="8"/>
  <c r="P197" i="8"/>
  <c r="Q197" i="8"/>
  <c r="Q216" i="8"/>
  <c r="P216" i="8"/>
  <c r="O216" i="8"/>
  <c r="N216" i="8"/>
  <c r="M216" i="8"/>
  <c r="L216" i="8"/>
  <c r="L273" i="8"/>
  <c r="G236" i="8"/>
  <c r="H236" i="8"/>
  <c r="I236" i="8"/>
  <c r="J236" i="8"/>
  <c r="K236" i="8"/>
  <c r="L236" i="8"/>
  <c r="M236" i="8"/>
  <c r="N236" i="8"/>
  <c r="O236" i="8"/>
  <c r="P236" i="8"/>
  <c r="Q236" i="8"/>
  <c r="Q255" i="8"/>
  <c r="P255" i="8"/>
  <c r="O255" i="8"/>
  <c r="N255" i="8"/>
  <c r="M255" i="8"/>
  <c r="L255" i="8"/>
  <c r="G198" i="8"/>
  <c r="H198" i="8"/>
  <c r="I198" i="8"/>
  <c r="J198" i="8"/>
  <c r="K198" i="8"/>
  <c r="L198" i="8"/>
  <c r="M198" i="8"/>
  <c r="N198" i="8"/>
  <c r="O198" i="8"/>
  <c r="P198" i="8"/>
  <c r="Q198" i="8"/>
  <c r="Q217" i="8"/>
  <c r="P217" i="8"/>
  <c r="O217" i="8"/>
  <c r="N217" i="8"/>
  <c r="M217" i="8"/>
  <c r="L217" i="8"/>
  <c r="L274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Q256" i="8"/>
  <c r="P256" i="8"/>
  <c r="O256" i="8"/>
  <c r="N256" i="8"/>
  <c r="M256" i="8"/>
  <c r="L256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Q218" i="8"/>
  <c r="P218" i="8"/>
  <c r="O218" i="8"/>
  <c r="N218" i="8"/>
  <c r="M218" i="8"/>
  <c r="L218" i="8"/>
  <c r="L275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Q257" i="8"/>
  <c r="P257" i="8"/>
  <c r="O257" i="8"/>
  <c r="N257" i="8"/>
  <c r="M257" i="8"/>
  <c r="L257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Q219" i="8"/>
  <c r="P219" i="8"/>
  <c r="O219" i="8"/>
  <c r="N219" i="8"/>
  <c r="M219" i="8"/>
  <c r="L219" i="8"/>
  <c r="L276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Q258" i="8"/>
  <c r="P258" i="8"/>
  <c r="O258" i="8"/>
  <c r="N258" i="8"/>
  <c r="M258" i="8"/>
  <c r="L258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Q220" i="8"/>
  <c r="P220" i="8"/>
  <c r="O220" i="8"/>
  <c r="N220" i="8"/>
  <c r="M220" i="8"/>
  <c r="L220" i="8"/>
  <c r="L277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Q259" i="8"/>
  <c r="P259" i="8"/>
  <c r="O259" i="8"/>
  <c r="N259" i="8"/>
  <c r="M259" i="8"/>
  <c r="L259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Q221" i="8"/>
  <c r="P221" i="8"/>
  <c r="O221" i="8"/>
  <c r="N221" i="8"/>
  <c r="M221" i="8"/>
  <c r="L221" i="8"/>
  <c r="L278" i="8"/>
  <c r="Q225" i="8"/>
  <c r="Q244" i="8"/>
  <c r="P245" i="8"/>
  <c r="O246" i="8"/>
  <c r="N247" i="8"/>
  <c r="M248" i="8"/>
  <c r="L249" i="8"/>
  <c r="Q187" i="8"/>
  <c r="Q206" i="8"/>
  <c r="P207" i="8"/>
  <c r="O208" i="8"/>
  <c r="N209" i="8"/>
  <c r="M210" i="8"/>
  <c r="L211" i="8"/>
  <c r="L268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Q14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Q144" i="8"/>
  <c r="P145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Q143" i="8"/>
  <c r="P144" i="8"/>
  <c r="O145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Q142" i="8"/>
  <c r="P143" i="8"/>
  <c r="O144" i="8"/>
  <c r="N145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Q141" i="8"/>
  <c r="P142" i="8"/>
  <c r="O143" i="8"/>
  <c r="N144" i="8"/>
  <c r="M145" i="8"/>
  <c r="G121" i="8"/>
  <c r="H121" i="8"/>
  <c r="I121" i="8"/>
  <c r="J121" i="8"/>
  <c r="K121" i="8"/>
  <c r="L121" i="8"/>
  <c r="M121" i="8"/>
  <c r="N121" i="8"/>
  <c r="O121" i="8"/>
  <c r="P121" i="8"/>
  <c r="Q121" i="8"/>
  <c r="Q140" i="8"/>
  <c r="P141" i="8"/>
  <c r="O142" i="8"/>
  <c r="N143" i="8"/>
  <c r="M144" i="8"/>
  <c r="L145" i="8"/>
  <c r="H120" i="8"/>
  <c r="I120" i="8"/>
  <c r="J120" i="8"/>
  <c r="K120" i="8"/>
  <c r="L120" i="8"/>
  <c r="M120" i="8"/>
  <c r="N120" i="8"/>
  <c r="O120" i="8"/>
  <c r="P120" i="8"/>
  <c r="Q120" i="8"/>
  <c r="Q139" i="8"/>
  <c r="P140" i="8"/>
  <c r="O141" i="8"/>
  <c r="N142" i="8"/>
  <c r="M143" i="8"/>
  <c r="L144" i="8"/>
  <c r="K145" i="8"/>
  <c r="I119" i="8"/>
  <c r="J119" i="8"/>
  <c r="K119" i="8"/>
  <c r="L119" i="8"/>
  <c r="M119" i="8"/>
  <c r="N119" i="8"/>
  <c r="O119" i="8"/>
  <c r="P119" i="8"/>
  <c r="Q119" i="8"/>
  <c r="Q138" i="8"/>
  <c r="P139" i="8"/>
  <c r="O140" i="8"/>
  <c r="N141" i="8"/>
  <c r="M142" i="8"/>
  <c r="L143" i="8"/>
  <c r="K144" i="8"/>
  <c r="J145" i="8"/>
  <c r="J118" i="8"/>
  <c r="K118" i="8"/>
  <c r="L118" i="8"/>
  <c r="M118" i="8"/>
  <c r="N118" i="8"/>
  <c r="O118" i="8"/>
  <c r="P118" i="8"/>
  <c r="Q118" i="8"/>
  <c r="Q137" i="8"/>
  <c r="P138" i="8"/>
  <c r="O139" i="8"/>
  <c r="N140" i="8"/>
  <c r="M141" i="8"/>
  <c r="L142" i="8"/>
  <c r="K143" i="8"/>
  <c r="J144" i="8"/>
  <c r="I145" i="8"/>
  <c r="K117" i="8"/>
  <c r="L117" i="8"/>
  <c r="M117" i="8"/>
  <c r="N117" i="8"/>
  <c r="O117" i="8"/>
  <c r="P117" i="8"/>
  <c r="Q117" i="8"/>
  <c r="Q136" i="8"/>
  <c r="P137" i="8"/>
  <c r="O138" i="8"/>
  <c r="N139" i="8"/>
  <c r="M140" i="8"/>
  <c r="L141" i="8"/>
  <c r="K142" i="8"/>
  <c r="J143" i="8"/>
  <c r="I144" i="8"/>
  <c r="H145" i="8"/>
  <c r="L116" i="8"/>
  <c r="M116" i="8"/>
  <c r="N116" i="8"/>
  <c r="O116" i="8"/>
  <c r="P116" i="8"/>
  <c r="Q116" i="8"/>
  <c r="Q135" i="8"/>
  <c r="P136" i="8"/>
  <c r="O137" i="8"/>
  <c r="N138" i="8"/>
  <c r="M139" i="8"/>
  <c r="L140" i="8"/>
  <c r="K141" i="8"/>
  <c r="J142" i="8"/>
  <c r="I143" i="8"/>
  <c r="H144" i="8"/>
  <c r="G145" i="8"/>
  <c r="M115" i="8"/>
  <c r="N115" i="8"/>
  <c r="O115" i="8"/>
  <c r="P115" i="8"/>
  <c r="Q115" i="8"/>
  <c r="Q134" i="8"/>
  <c r="P135" i="8"/>
  <c r="O136" i="8"/>
  <c r="N137" i="8"/>
  <c r="M138" i="8"/>
  <c r="L139" i="8"/>
  <c r="K140" i="8"/>
  <c r="J141" i="8"/>
  <c r="I142" i="8"/>
  <c r="H143" i="8"/>
  <c r="G144" i="8"/>
  <c r="F145" i="8"/>
  <c r="L158" i="8"/>
  <c r="L159" i="8"/>
  <c r="K159" i="8"/>
  <c r="L160" i="8"/>
  <c r="K160" i="8"/>
  <c r="J160" i="8"/>
  <c r="L161" i="8"/>
  <c r="K161" i="8"/>
  <c r="J161" i="8"/>
  <c r="I161" i="8"/>
  <c r="L162" i="8"/>
  <c r="K162" i="8"/>
  <c r="J162" i="8"/>
  <c r="I162" i="8"/>
  <c r="H162" i="8"/>
  <c r="L163" i="8"/>
  <c r="K163" i="8"/>
  <c r="J163" i="8"/>
  <c r="I163" i="8"/>
  <c r="H163" i="8"/>
  <c r="G163" i="8"/>
  <c r="L164" i="8"/>
  <c r="K164" i="8"/>
  <c r="J164" i="8"/>
  <c r="I164" i="8"/>
  <c r="H164" i="8"/>
  <c r="G164" i="8"/>
  <c r="F164" i="8"/>
  <c r="F183" i="8"/>
  <c r="I181" i="8"/>
  <c r="C25" i="7"/>
  <c r="D24" i="7"/>
  <c r="E24" i="7"/>
  <c r="F24" i="7"/>
  <c r="G24" i="7"/>
  <c r="H24" i="7"/>
  <c r="I24" i="7"/>
  <c r="J24" i="7"/>
  <c r="K24" i="7"/>
  <c r="L24" i="7"/>
  <c r="L39" i="7"/>
  <c r="D25" i="7"/>
  <c r="E25" i="7"/>
  <c r="F25" i="7"/>
  <c r="G25" i="7"/>
  <c r="H25" i="7"/>
  <c r="I25" i="7"/>
  <c r="J25" i="7"/>
  <c r="K25" i="7"/>
  <c r="L25" i="7"/>
  <c r="L40" i="7"/>
  <c r="K40" i="7"/>
  <c r="B155" i="8"/>
  <c r="C155" i="8"/>
  <c r="D155" i="8"/>
  <c r="E155" i="8"/>
  <c r="F155" i="8"/>
  <c r="G155" i="8"/>
  <c r="H155" i="8"/>
  <c r="I155" i="8"/>
  <c r="J155" i="8"/>
  <c r="B156" i="8"/>
  <c r="C156" i="8"/>
  <c r="D156" i="8"/>
  <c r="E156" i="8"/>
  <c r="F156" i="8"/>
  <c r="G156" i="8"/>
  <c r="H156" i="8"/>
  <c r="I156" i="8"/>
  <c r="N114" i="8"/>
  <c r="O114" i="8"/>
  <c r="P114" i="8"/>
  <c r="Q114" i="8"/>
  <c r="Q133" i="8"/>
  <c r="P134" i="8"/>
  <c r="O135" i="8"/>
  <c r="N136" i="8"/>
  <c r="M137" i="8"/>
  <c r="O113" i="8"/>
  <c r="P113" i="8"/>
  <c r="Q113" i="8"/>
  <c r="Q132" i="8"/>
  <c r="P133" i="8"/>
  <c r="O134" i="8"/>
  <c r="N135" i="8"/>
  <c r="M136" i="8"/>
  <c r="L137" i="8"/>
  <c r="P112" i="8"/>
  <c r="Q112" i="8"/>
  <c r="Q131" i="8"/>
  <c r="P132" i="8"/>
  <c r="O133" i="8"/>
  <c r="N134" i="8"/>
  <c r="M135" i="8"/>
  <c r="L136" i="8"/>
  <c r="K137" i="8"/>
  <c r="Q111" i="8"/>
  <c r="Q130" i="8"/>
  <c r="P131" i="8"/>
  <c r="O132" i="8"/>
  <c r="N133" i="8"/>
  <c r="M134" i="8"/>
  <c r="L135" i="8"/>
  <c r="K136" i="8"/>
  <c r="J137" i="8"/>
  <c r="L154" i="8"/>
  <c r="L155" i="8"/>
  <c r="K155" i="8"/>
  <c r="L156" i="8"/>
  <c r="K156" i="8"/>
  <c r="J156" i="8"/>
  <c r="B157" i="8"/>
  <c r="C157" i="8"/>
  <c r="D157" i="8"/>
  <c r="E157" i="8"/>
  <c r="F157" i="8"/>
  <c r="G157" i="8"/>
  <c r="H157" i="8"/>
  <c r="L138" i="8"/>
  <c r="K138" i="8"/>
  <c r="J138" i="8"/>
  <c r="I138" i="8"/>
  <c r="L157" i="8"/>
  <c r="K157" i="8"/>
  <c r="J157" i="8"/>
  <c r="I157" i="8"/>
  <c r="B158" i="8"/>
  <c r="C158" i="8"/>
  <c r="D158" i="8"/>
  <c r="E158" i="8"/>
  <c r="F158" i="8"/>
  <c r="G158" i="8"/>
  <c r="K139" i="8"/>
  <c r="J139" i="8"/>
  <c r="I139" i="8"/>
  <c r="H139" i="8"/>
  <c r="K158" i="8"/>
  <c r="J158" i="8"/>
  <c r="I158" i="8"/>
  <c r="H158" i="8"/>
  <c r="B159" i="8"/>
  <c r="C159" i="8"/>
  <c r="D159" i="8"/>
  <c r="E159" i="8"/>
  <c r="F159" i="8"/>
  <c r="J140" i="8"/>
  <c r="I140" i="8"/>
  <c r="H140" i="8"/>
  <c r="G140" i="8"/>
  <c r="J159" i="8"/>
  <c r="I159" i="8"/>
  <c r="H159" i="8"/>
  <c r="G159" i="8"/>
  <c r="B160" i="8"/>
  <c r="C160" i="8"/>
  <c r="D160" i="8"/>
  <c r="E160" i="8"/>
  <c r="I141" i="8"/>
  <c r="H141" i="8"/>
  <c r="G141" i="8"/>
  <c r="F141" i="8"/>
  <c r="I160" i="8"/>
  <c r="H160" i="8"/>
  <c r="G160" i="8"/>
  <c r="F160" i="8"/>
  <c r="B161" i="8"/>
  <c r="C161" i="8"/>
  <c r="D161" i="8"/>
  <c r="H142" i="8"/>
  <c r="G142" i="8"/>
  <c r="F142" i="8"/>
  <c r="E142" i="8"/>
  <c r="H161" i="8"/>
  <c r="G161" i="8"/>
  <c r="F161" i="8"/>
  <c r="E161" i="8"/>
  <c r="B162" i="8"/>
  <c r="C162" i="8"/>
  <c r="G143" i="8"/>
  <c r="F143" i="8"/>
  <c r="E143" i="8"/>
  <c r="D143" i="8"/>
  <c r="G162" i="8"/>
  <c r="F162" i="8"/>
  <c r="E162" i="8"/>
  <c r="D162" i="8"/>
  <c r="B163" i="8"/>
  <c r="F144" i="8"/>
  <c r="E144" i="8"/>
  <c r="D144" i="8"/>
  <c r="C144" i="8"/>
  <c r="F163" i="8"/>
  <c r="E163" i="8"/>
  <c r="D163" i="8"/>
  <c r="C163" i="8"/>
  <c r="E145" i="8"/>
  <c r="D145" i="8"/>
  <c r="C145" i="8"/>
  <c r="B145" i="8"/>
  <c r="E164" i="8"/>
  <c r="D164" i="8"/>
  <c r="C164" i="8"/>
  <c r="B164" i="8"/>
  <c r="K150" i="8"/>
  <c r="K151" i="8"/>
  <c r="K152" i="8"/>
  <c r="K153" i="8"/>
  <c r="K154" i="8"/>
  <c r="K149" i="8"/>
  <c r="K48" i="6"/>
  <c r="L46" i="6"/>
  <c r="K31" i="6"/>
  <c r="K278" i="8"/>
  <c r="K277" i="8"/>
  <c r="J278" i="8"/>
  <c r="K276" i="8"/>
  <c r="J277" i="8"/>
  <c r="I278" i="8"/>
  <c r="K275" i="8"/>
  <c r="J276" i="8"/>
  <c r="I277" i="8"/>
  <c r="H278" i="8"/>
  <c r="K274" i="8"/>
  <c r="J275" i="8"/>
  <c r="I276" i="8"/>
  <c r="H277" i="8"/>
  <c r="G278" i="8"/>
  <c r="K273" i="8"/>
  <c r="J274" i="8"/>
  <c r="I275" i="8"/>
  <c r="H276" i="8"/>
  <c r="G277" i="8"/>
  <c r="F278" i="8"/>
  <c r="K272" i="8"/>
  <c r="J273" i="8"/>
  <c r="I274" i="8"/>
  <c r="H275" i="8"/>
  <c r="G276" i="8"/>
  <c r="F277" i="8"/>
  <c r="E278" i="8"/>
  <c r="K271" i="8"/>
  <c r="J272" i="8"/>
  <c r="I273" i="8"/>
  <c r="H274" i="8"/>
  <c r="G275" i="8"/>
  <c r="F276" i="8"/>
  <c r="E277" i="8"/>
  <c r="D278" i="8"/>
  <c r="K270" i="8"/>
  <c r="J271" i="8"/>
  <c r="I272" i="8"/>
  <c r="H273" i="8"/>
  <c r="G274" i="8"/>
  <c r="F275" i="8"/>
  <c r="E276" i="8"/>
  <c r="D277" i="8"/>
  <c r="C278" i="8"/>
  <c r="K269" i="8"/>
  <c r="J270" i="8"/>
  <c r="I271" i="8"/>
  <c r="H272" i="8"/>
  <c r="G273" i="8"/>
  <c r="F274" i="8"/>
  <c r="E275" i="8"/>
  <c r="D276" i="8"/>
  <c r="C277" i="8"/>
  <c r="B278" i="8"/>
  <c r="B277" i="8"/>
  <c r="C276" i="8"/>
  <c r="B276" i="8"/>
  <c r="D275" i="8"/>
  <c r="C275" i="8"/>
  <c r="B275" i="8"/>
  <c r="E274" i="8"/>
  <c r="D274" i="8"/>
  <c r="C274" i="8"/>
  <c r="B274" i="8"/>
  <c r="F273" i="8"/>
  <c r="E273" i="8"/>
  <c r="D273" i="8"/>
  <c r="C273" i="8"/>
  <c r="B273" i="8"/>
  <c r="G272" i="8"/>
  <c r="F272" i="8"/>
  <c r="E272" i="8"/>
  <c r="D272" i="8"/>
  <c r="C272" i="8"/>
  <c r="B272" i="8"/>
  <c r="H271" i="8"/>
  <c r="G271" i="8"/>
  <c r="F271" i="8"/>
  <c r="E271" i="8"/>
  <c r="D271" i="8"/>
  <c r="C271" i="8"/>
  <c r="B271" i="8"/>
  <c r="I270" i="8"/>
  <c r="H270" i="8"/>
  <c r="G270" i="8"/>
  <c r="F270" i="8"/>
  <c r="E270" i="8"/>
  <c r="D270" i="8"/>
  <c r="C270" i="8"/>
  <c r="B270" i="8"/>
  <c r="J269" i="8"/>
  <c r="I269" i="8"/>
  <c r="H269" i="8"/>
  <c r="G269" i="8"/>
  <c r="F269" i="8"/>
  <c r="E269" i="8"/>
  <c r="D269" i="8"/>
  <c r="C269" i="8"/>
  <c r="B269" i="8"/>
  <c r="K268" i="8"/>
  <c r="J268" i="8"/>
  <c r="I268" i="8"/>
  <c r="H268" i="8"/>
  <c r="G268" i="8"/>
  <c r="F268" i="8"/>
  <c r="E268" i="8"/>
  <c r="D268" i="8"/>
  <c r="C268" i="8"/>
  <c r="B268" i="8"/>
  <c r="L267" i="8"/>
  <c r="K267" i="8"/>
  <c r="L266" i="8"/>
  <c r="K266" i="8"/>
  <c r="L265" i="8"/>
  <c r="K265" i="8"/>
  <c r="L264" i="8"/>
  <c r="K264" i="8"/>
  <c r="L263" i="8"/>
  <c r="K263" i="8"/>
  <c r="B240" i="8"/>
  <c r="K259" i="8"/>
  <c r="K258" i="8"/>
  <c r="J259" i="8"/>
  <c r="K257" i="8"/>
  <c r="J258" i="8"/>
  <c r="I259" i="8"/>
  <c r="K256" i="8"/>
  <c r="J257" i="8"/>
  <c r="I258" i="8"/>
  <c r="H259" i="8"/>
  <c r="K255" i="8"/>
  <c r="J256" i="8"/>
  <c r="I257" i="8"/>
  <c r="H258" i="8"/>
  <c r="G259" i="8"/>
  <c r="K254" i="8"/>
  <c r="J255" i="8"/>
  <c r="I256" i="8"/>
  <c r="H257" i="8"/>
  <c r="G258" i="8"/>
  <c r="F259" i="8"/>
  <c r="K253" i="8"/>
  <c r="J254" i="8"/>
  <c r="I255" i="8"/>
  <c r="H256" i="8"/>
  <c r="G257" i="8"/>
  <c r="F258" i="8"/>
  <c r="E259" i="8"/>
  <c r="K252" i="8"/>
  <c r="J253" i="8"/>
  <c r="I254" i="8"/>
  <c r="H255" i="8"/>
  <c r="G256" i="8"/>
  <c r="F257" i="8"/>
  <c r="E258" i="8"/>
  <c r="D259" i="8"/>
  <c r="K251" i="8"/>
  <c r="J252" i="8"/>
  <c r="I253" i="8"/>
  <c r="H254" i="8"/>
  <c r="G255" i="8"/>
  <c r="F256" i="8"/>
  <c r="E257" i="8"/>
  <c r="D258" i="8"/>
  <c r="C259" i="8"/>
  <c r="K250" i="8"/>
  <c r="J251" i="8"/>
  <c r="I252" i="8"/>
  <c r="H253" i="8"/>
  <c r="G254" i="8"/>
  <c r="F255" i="8"/>
  <c r="E256" i="8"/>
  <c r="D257" i="8"/>
  <c r="C258" i="8"/>
  <c r="B259" i="8"/>
  <c r="B258" i="8"/>
  <c r="C257" i="8"/>
  <c r="B257" i="8"/>
  <c r="D256" i="8"/>
  <c r="C256" i="8"/>
  <c r="B256" i="8"/>
  <c r="E255" i="8"/>
  <c r="D255" i="8"/>
  <c r="C255" i="8"/>
  <c r="B255" i="8"/>
  <c r="F254" i="8"/>
  <c r="E254" i="8"/>
  <c r="D254" i="8"/>
  <c r="C254" i="8"/>
  <c r="B254" i="8"/>
  <c r="G253" i="8"/>
  <c r="F253" i="8"/>
  <c r="E253" i="8"/>
  <c r="D253" i="8"/>
  <c r="C253" i="8"/>
  <c r="B253" i="8"/>
  <c r="H252" i="8"/>
  <c r="G252" i="8"/>
  <c r="F252" i="8"/>
  <c r="E252" i="8"/>
  <c r="D252" i="8"/>
  <c r="C252" i="8"/>
  <c r="B252" i="8"/>
  <c r="I251" i="8"/>
  <c r="H251" i="8"/>
  <c r="G251" i="8"/>
  <c r="F251" i="8"/>
  <c r="E251" i="8"/>
  <c r="D251" i="8"/>
  <c r="C251" i="8"/>
  <c r="B251" i="8"/>
  <c r="J250" i="8"/>
  <c r="I250" i="8"/>
  <c r="H250" i="8"/>
  <c r="G250" i="8"/>
  <c r="F250" i="8"/>
  <c r="E250" i="8"/>
  <c r="D250" i="8"/>
  <c r="C250" i="8"/>
  <c r="B250" i="8"/>
  <c r="K249" i="8"/>
  <c r="J249" i="8"/>
  <c r="I249" i="8"/>
  <c r="H249" i="8"/>
  <c r="G249" i="8"/>
  <c r="F249" i="8"/>
  <c r="E249" i="8"/>
  <c r="D249" i="8"/>
  <c r="C249" i="8"/>
  <c r="B249" i="8"/>
  <c r="L248" i="8"/>
  <c r="K248" i="8"/>
  <c r="M247" i="8"/>
  <c r="L247" i="8"/>
  <c r="K247" i="8"/>
  <c r="N246" i="8"/>
  <c r="M246" i="8"/>
  <c r="L246" i="8"/>
  <c r="K246" i="8"/>
  <c r="O245" i="8"/>
  <c r="N245" i="8"/>
  <c r="M245" i="8"/>
  <c r="L245" i="8"/>
  <c r="K245" i="8"/>
  <c r="P244" i="8"/>
  <c r="O244" i="8"/>
  <c r="N244" i="8"/>
  <c r="M244" i="8"/>
  <c r="L244" i="8"/>
  <c r="K244" i="8"/>
  <c r="C238" i="8"/>
  <c r="D237" i="8"/>
  <c r="C237" i="8"/>
  <c r="E236" i="8"/>
  <c r="D236" i="8"/>
  <c r="C236" i="8"/>
  <c r="F235" i="8"/>
  <c r="E235" i="8"/>
  <c r="D235" i="8"/>
  <c r="C235" i="8"/>
  <c r="G234" i="8"/>
  <c r="F234" i="8"/>
  <c r="E234" i="8"/>
  <c r="D234" i="8"/>
  <c r="C234" i="8"/>
  <c r="H233" i="8"/>
  <c r="G233" i="8"/>
  <c r="F233" i="8"/>
  <c r="E233" i="8"/>
  <c r="D233" i="8"/>
  <c r="C233" i="8"/>
  <c r="I232" i="8"/>
  <c r="H232" i="8"/>
  <c r="G232" i="8"/>
  <c r="F232" i="8"/>
  <c r="E232" i="8"/>
  <c r="D232" i="8"/>
  <c r="C232" i="8"/>
  <c r="J231" i="8"/>
  <c r="I231" i="8"/>
  <c r="H231" i="8"/>
  <c r="G231" i="8"/>
  <c r="F231" i="8"/>
  <c r="E231" i="8"/>
  <c r="D231" i="8"/>
  <c r="C231" i="8"/>
  <c r="K230" i="8"/>
  <c r="J230" i="8"/>
  <c r="I230" i="8"/>
  <c r="H230" i="8"/>
  <c r="G230" i="8"/>
  <c r="F230" i="8"/>
  <c r="E230" i="8"/>
  <c r="D230" i="8"/>
  <c r="C230" i="8"/>
  <c r="M228" i="8"/>
  <c r="N227" i="8"/>
  <c r="M227" i="8"/>
  <c r="O226" i="8"/>
  <c r="N226" i="8"/>
  <c r="M226" i="8"/>
  <c r="P225" i="8"/>
  <c r="O225" i="8"/>
  <c r="N225" i="8"/>
  <c r="M225" i="8"/>
  <c r="B202" i="8"/>
  <c r="K221" i="8"/>
  <c r="K220" i="8"/>
  <c r="J221" i="8"/>
  <c r="K219" i="8"/>
  <c r="J220" i="8"/>
  <c r="I221" i="8"/>
  <c r="K218" i="8"/>
  <c r="J219" i="8"/>
  <c r="I220" i="8"/>
  <c r="H221" i="8"/>
  <c r="K217" i="8"/>
  <c r="J218" i="8"/>
  <c r="I219" i="8"/>
  <c r="H220" i="8"/>
  <c r="G221" i="8"/>
  <c r="K216" i="8"/>
  <c r="J217" i="8"/>
  <c r="I218" i="8"/>
  <c r="H219" i="8"/>
  <c r="G220" i="8"/>
  <c r="F221" i="8"/>
  <c r="K215" i="8"/>
  <c r="J216" i="8"/>
  <c r="I217" i="8"/>
  <c r="H218" i="8"/>
  <c r="G219" i="8"/>
  <c r="F220" i="8"/>
  <c r="E221" i="8"/>
  <c r="K214" i="8"/>
  <c r="J215" i="8"/>
  <c r="I216" i="8"/>
  <c r="H217" i="8"/>
  <c r="G218" i="8"/>
  <c r="F219" i="8"/>
  <c r="E220" i="8"/>
  <c r="D221" i="8"/>
  <c r="K213" i="8"/>
  <c r="J214" i="8"/>
  <c r="I215" i="8"/>
  <c r="H216" i="8"/>
  <c r="G217" i="8"/>
  <c r="F218" i="8"/>
  <c r="E219" i="8"/>
  <c r="D220" i="8"/>
  <c r="C221" i="8"/>
  <c r="K212" i="8"/>
  <c r="J213" i="8"/>
  <c r="I214" i="8"/>
  <c r="H215" i="8"/>
  <c r="G216" i="8"/>
  <c r="F217" i="8"/>
  <c r="E218" i="8"/>
  <c r="D219" i="8"/>
  <c r="C220" i="8"/>
  <c r="B221" i="8"/>
  <c r="B220" i="8"/>
  <c r="C219" i="8"/>
  <c r="B219" i="8"/>
  <c r="D218" i="8"/>
  <c r="C218" i="8"/>
  <c r="B218" i="8"/>
  <c r="E217" i="8"/>
  <c r="D217" i="8"/>
  <c r="C217" i="8"/>
  <c r="B217" i="8"/>
  <c r="F216" i="8"/>
  <c r="E216" i="8"/>
  <c r="D216" i="8"/>
  <c r="C216" i="8"/>
  <c r="B216" i="8"/>
  <c r="G215" i="8"/>
  <c r="F215" i="8"/>
  <c r="E215" i="8"/>
  <c r="D215" i="8"/>
  <c r="C215" i="8"/>
  <c r="B215" i="8"/>
  <c r="H214" i="8"/>
  <c r="G214" i="8"/>
  <c r="F214" i="8"/>
  <c r="E214" i="8"/>
  <c r="D214" i="8"/>
  <c r="C214" i="8"/>
  <c r="B214" i="8"/>
  <c r="I213" i="8"/>
  <c r="H213" i="8"/>
  <c r="G213" i="8"/>
  <c r="F213" i="8"/>
  <c r="E213" i="8"/>
  <c r="D213" i="8"/>
  <c r="C213" i="8"/>
  <c r="B213" i="8"/>
  <c r="J212" i="8"/>
  <c r="I212" i="8"/>
  <c r="H212" i="8"/>
  <c r="G212" i="8"/>
  <c r="F212" i="8"/>
  <c r="E212" i="8"/>
  <c r="D212" i="8"/>
  <c r="C212" i="8"/>
  <c r="B212" i="8"/>
  <c r="K211" i="8"/>
  <c r="J211" i="8"/>
  <c r="I211" i="8"/>
  <c r="H211" i="8"/>
  <c r="G211" i="8"/>
  <c r="F211" i="8"/>
  <c r="E211" i="8"/>
  <c r="D211" i="8"/>
  <c r="C211" i="8"/>
  <c r="B211" i="8"/>
  <c r="L210" i="8"/>
  <c r="K210" i="8"/>
  <c r="M209" i="8"/>
  <c r="L209" i="8"/>
  <c r="K209" i="8"/>
  <c r="N208" i="8"/>
  <c r="M208" i="8"/>
  <c r="L208" i="8"/>
  <c r="K208" i="8"/>
  <c r="O207" i="8"/>
  <c r="N207" i="8"/>
  <c r="M207" i="8"/>
  <c r="L207" i="8"/>
  <c r="K207" i="8"/>
  <c r="P206" i="8"/>
  <c r="O206" i="8"/>
  <c r="N206" i="8"/>
  <c r="M206" i="8"/>
  <c r="L206" i="8"/>
  <c r="K206" i="8"/>
  <c r="C200" i="8"/>
  <c r="D199" i="8"/>
  <c r="C199" i="8"/>
  <c r="E198" i="8"/>
  <c r="D198" i="8"/>
  <c r="C198" i="8"/>
  <c r="F197" i="8"/>
  <c r="E197" i="8"/>
  <c r="D197" i="8"/>
  <c r="C197" i="8"/>
  <c r="G196" i="8"/>
  <c r="F196" i="8"/>
  <c r="E196" i="8"/>
  <c r="D196" i="8"/>
  <c r="C196" i="8"/>
  <c r="H195" i="8"/>
  <c r="G195" i="8"/>
  <c r="F195" i="8"/>
  <c r="E195" i="8"/>
  <c r="D195" i="8"/>
  <c r="C195" i="8"/>
  <c r="I194" i="8"/>
  <c r="H194" i="8"/>
  <c r="G194" i="8"/>
  <c r="F194" i="8"/>
  <c r="E194" i="8"/>
  <c r="D194" i="8"/>
  <c r="C194" i="8"/>
  <c r="J193" i="8"/>
  <c r="I193" i="8"/>
  <c r="H193" i="8"/>
  <c r="G193" i="8"/>
  <c r="F193" i="8"/>
  <c r="E193" i="8"/>
  <c r="D193" i="8"/>
  <c r="C193" i="8"/>
  <c r="K192" i="8"/>
  <c r="J192" i="8"/>
  <c r="I192" i="8"/>
  <c r="H192" i="8"/>
  <c r="G192" i="8"/>
  <c r="F192" i="8"/>
  <c r="E192" i="8"/>
  <c r="D192" i="8"/>
  <c r="C192" i="8"/>
  <c r="M190" i="8"/>
  <c r="N189" i="8"/>
  <c r="M189" i="8"/>
  <c r="O188" i="8"/>
  <c r="N188" i="8"/>
  <c r="M188" i="8"/>
  <c r="P187" i="8"/>
  <c r="O187" i="8"/>
  <c r="N187" i="8"/>
  <c r="M187" i="8"/>
  <c r="K183" i="8"/>
  <c r="J183" i="8"/>
  <c r="I183" i="8"/>
  <c r="H183" i="8"/>
  <c r="G183" i="8"/>
  <c r="E183" i="8"/>
  <c r="D183" i="8"/>
  <c r="C183" i="8"/>
  <c r="B183" i="8"/>
  <c r="K182" i="8"/>
  <c r="J182" i="8"/>
  <c r="I182" i="8"/>
  <c r="H182" i="8"/>
  <c r="G182" i="8"/>
  <c r="F182" i="8"/>
  <c r="E182" i="8"/>
  <c r="D182" i="8"/>
  <c r="C182" i="8"/>
  <c r="B182" i="8"/>
  <c r="K181" i="8"/>
  <c r="J181" i="8"/>
  <c r="H181" i="8"/>
  <c r="G181" i="8"/>
  <c r="F181" i="8"/>
  <c r="E181" i="8"/>
  <c r="D181" i="8"/>
  <c r="C181" i="8"/>
  <c r="B181" i="8"/>
  <c r="K180" i="8"/>
  <c r="J180" i="8"/>
  <c r="I180" i="8"/>
  <c r="H180" i="8"/>
  <c r="G180" i="8"/>
  <c r="F180" i="8"/>
  <c r="E180" i="8"/>
  <c r="D180" i="8"/>
  <c r="C180" i="8"/>
  <c r="B180" i="8"/>
  <c r="K179" i="8"/>
  <c r="J179" i="8"/>
  <c r="I179" i="8"/>
  <c r="H179" i="8"/>
  <c r="G179" i="8"/>
  <c r="F179" i="8"/>
  <c r="E179" i="8"/>
  <c r="D179" i="8"/>
  <c r="C179" i="8"/>
  <c r="B179" i="8"/>
  <c r="K178" i="8"/>
  <c r="J178" i="8"/>
  <c r="I178" i="8"/>
  <c r="H178" i="8"/>
  <c r="G178" i="8"/>
  <c r="F178" i="8"/>
  <c r="E178" i="8"/>
  <c r="D178" i="8"/>
  <c r="C178" i="8"/>
  <c r="B178" i="8"/>
  <c r="K177" i="8"/>
  <c r="J177" i="8"/>
  <c r="I177" i="8"/>
  <c r="H177" i="8"/>
  <c r="G177" i="8"/>
  <c r="F177" i="8"/>
  <c r="E177" i="8"/>
  <c r="D177" i="8"/>
  <c r="C177" i="8"/>
  <c r="B177" i="8"/>
  <c r="K176" i="8"/>
  <c r="J176" i="8"/>
  <c r="I176" i="8"/>
  <c r="H176" i="8"/>
  <c r="G176" i="8"/>
  <c r="F176" i="8"/>
  <c r="E176" i="8"/>
  <c r="D176" i="8"/>
  <c r="C176" i="8"/>
  <c r="B176" i="8"/>
  <c r="K175" i="8"/>
  <c r="J175" i="8"/>
  <c r="I175" i="8"/>
  <c r="H175" i="8"/>
  <c r="G175" i="8"/>
  <c r="F175" i="8"/>
  <c r="E175" i="8"/>
  <c r="D175" i="8"/>
  <c r="C175" i="8"/>
  <c r="B175" i="8"/>
  <c r="K174" i="8"/>
  <c r="J174" i="8"/>
  <c r="I174" i="8"/>
  <c r="H174" i="8"/>
  <c r="G174" i="8"/>
  <c r="F174" i="8"/>
  <c r="E174" i="8"/>
  <c r="D174" i="8"/>
  <c r="C174" i="8"/>
  <c r="B174" i="8"/>
  <c r="K173" i="8"/>
  <c r="J173" i="8"/>
  <c r="I173" i="8"/>
  <c r="H173" i="8"/>
  <c r="G173" i="8"/>
  <c r="F173" i="8"/>
  <c r="E173" i="8"/>
  <c r="D173" i="8"/>
  <c r="C173" i="8"/>
  <c r="B173" i="8"/>
  <c r="L172" i="8"/>
  <c r="K172" i="8"/>
  <c r="J172" i="8"/>
  <c r="I172" i="8"/>
  <c r="H172" i="8"/>
  <c r="G172" i="8"/>
  <c r="F172" i="8"/>
  <c r="E172" i="8"/>
  <c r="D172" i="8"/>
  <c r="C172" i="8"/>
  <c r="B172" i="8"/>
  <c r="L171" i="8"/>
  <c r="K171" i="8"/>
  <c r="J171" i="8"/>
  <c r="I171" i="8"/>
  <c r="H171" i="8"/>
  <c r="G171" i="8"/>
  <c r="F171" i="8"/>
  <c r="E171" i="8"/>
  <c r="D171" i="8"/>
  <c r="C171" i="8"/>
  <c r="B171" i="8"/>
  <c r="L170" i="8"/>
  <c r="K170" i="8"/>
  <c r="J170" i="8"/>
  <c r="I170" i="8"/>
  <c r="H170" i="8"/>
  <c r="G170" i="8"/>
  <c r="F170" i="8"/>
  <c r="E170" i="8"/>
  <c r="D170" i="8"/>
  <c r="C170" i="8"/>
  <c r="B170" i="8"/>
  <c r="L169" i="8"/>
  <c r="K169" i="8"/>
  <c r="J169" i="8"/>
  <c r="I169" i="8"/>
  <c r="H169" i="8"/>
  <c r="G169" i="8"/>
  <c r="F169" i="8"/>
  <c r="E169" i="8"/>
  <c r="D169" i="8"/>
  <c r="C169" i="8"/>
  <c r="B169" i="8"/>
  <c r="L168" i="8"/>
  <c r="K168" i="8"/>
  <c r="J168" i="8"/>
  <c r="I168" i="8"/>
  <c r="H168" i="8"/>
  <c r="G168" i="8"/>
  <c r="F168" i="8"/>
  <c r="E168" i="8"/>
  <c r="D168" i="8"/>
  <c r="C168" i="8"/>
  <c r="B168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C68" i="8"/>
  <c r="D67" i="8"/>
  <c r="E66" i="8"/>
  <c r="F65" i="8"/>
  <c r="G64" i="8"/>
  <c r="H63" i="8"/>
  <c r="I62" i="8"/>
  <c r="J61" i="8"/>
  <c r="K60" i="8"/>
  <c r="L59" i="8"/>
  <c r="M58" i="8"/>
  <c r="N57" i="8"/>
  <c r="O56" i="8"/>
  <c r="P55" i="8"/>
  <c r="Q54" i="8"/>
  <c r="Q73" i="8"/>
  <c r="Q55" i="8"/>
  <c r="Q74" i="8"/>
  <c r="P74" i="8"/>
  <c r="P56" i="8"/>
  <c r="Q56" i="8"/>
  <c r="Q75" i="8"/>
  <c r="P75" i="8"/>
  <c r="O75" i="8"/>
  <c r="O94" i="8"/>
  <c r="B95" i="8"/>
  <c r="C95" i="8"/>
  <c r="D95" i="8"/>
  <c r="E95" i="8"/>
  <c r="F95" i="8"/>
  <c r="G95" i="8"/>
  <c r="H95" i="8"/>
  <c r="I95" i="8"/>
  <c r="J95" i="8"/>
  <c r="K95" i="8"/>
  <c r="L95" i="8"/>
  <c r="M95" i="8"/>
  <c r="O57" i="8"/>
  <c r="P57" i="8"/>
  <c r="Q57" i="8"/>
  <c r="Q76" i="8"/>
  <c r="P76" i="8"/>
  <c r="O76" i="8"/>
  <c r="N76" i="8"/>
  <c r="N95" i="8"/>
  <c r="O95" i="8"/>
  <c r="B96" i="8"/>
  <c r="C96" i="8"/>
  <c r="D96" i="8"/>
  <c r="E96" i="8"/>
  <c r="F96" i="8"/>
  <c r="G96" i="8"/>
  <c r="H96" i="8"/>
  <c r="I96" i="8"/>
  <c r="J96" i="8"/>
  <c r="K96" i="8"/>
  <c r="L96" i="8"/>
  <c r="N58" i="8"/>
  <c r="O58" i="8"/>
  <c r="P58" i="8"/>
  <c r="Q58" i="8"/>
  <c r="Q77" i="8"/>
  <c r="P77" i="8"/>
  <c r="O77" i="8"/>
  <c r="N77" i="8"/>
  <c r="M77" i="8"/>
  <c r="M96" i="8"/>
  <c r="N96" i="8"/>
  <c r="O96" i="8"/>
  <c r="B97" i="8"/>
  <c r="C97" i="8"/>
  <c r="D97" i="8"/>
  <c r="E97" i="8"/>
  <c r="F97" i="8"/>
  <c r="G97" i="8"/>
  <c r="H97" i="8"/>
  <c r="I97" i="8"/>
  <c r="J97" i="8"/>
  <c r="K97" i="8"/>
  <c r="M59" i="8"/>
  <c r="N59" i="8"/>
  <c r="O59" i="8"/>
  <c r="P59" i="8"/>
  <c r="Q59" i="8"/>
  <c r="Q78" i="8"/>
  <c r="P78" i="8"/>
  <c r="O78" i="8"/>
  <c r="N78" i="8"/>
  <c r="M78" i="8"/>
  <c r="L78" i="8"/>
  <c r="L97" i="8"/>
  <c r="M97" i="8"/>
  <c r="N97" i="8"/>
  <c r="O97" i="8"/>
  <c r="B98" i="8"/>
  <c r="C98" i="8"/>
  <c r="D98" i="8"/>
  <c r="E98" i="8"/>
  <c r="F98" i="8"/>
  <c r="G98" i="8"/>
  <c r="H98" i="8"/>
  <c r="I98" i="8"/>
  <c r="J98" i="8"/>
  <c r="L60" i="8"/>
  <c r="M60" i="8"/>
  <c r="N60" i="8"/>
  <c r="O60" i="8"/>
  <c r="P60" i="8"/>
  <c r="Q60" i="8"/>
  <c r="Q79" i="8"/>
  <c r="P79" i="8"/>
  <c r="O79" i="8"/>
  <c r="N79" i="8"/>
  <c r="M79" i="8"/>
  <c r="L79" i="8"/>
  <c r="K79" i="8"/>
  <c r="K98" i="8"/>
  <c r="L98" i="8"/>
  <c r="M98" i="8"/>
  <c r="N98" i="8"/>
  <c r="O98" i="8"/>
  <c r="B99" i="8"/>
  <c r="C99" i="8"/>
  <c r="D99" i="8"/>
  <c r="E99" i="8"/>
  <c r="F99" i="8"/>
  <c r="G99" i="8"/>
  <c r="H99" i="8"/>
  <c r="I99" i="8"/>
  <c r="K61" i="8"/>
  <c r="L61" i="8"/>
  <c r="M61" i="8"/>
  <c r="N61" i="8"/>
  <c r="O61" i="8"/>
  <c r="P61" i="8"/>
  <c r="Q61" i="8"/>
  <c r="Q80" i="8"/>
  <c r="P80" i="8"/>
  <c r="O80" i="8"/>
  <c r="N80" i="8"/>
  <c r="M80" i="8"/>
  <c r="L80" i="8"/>
  <c r="K80" i="8"/>
  <c r="J80" i="8"/>
  <c r="J99" i="8"/>
  <c r="K99" i="8"/>
  <c r="L99" i="8"/>
  <c r="M99" i="8"/>
  <c r="N99" i="8"/>
  <c r="O99" i="8"/>
  <c r="B100" i="8"/>
  <c r="C100" i="8"/>
  <c r="D100" i="8"/>
  <c r="E100" i="8"/>
  <c r="F100" i="8"/>
  <c r="G100" i="8"/>
  <c r="H100" i="8"/>
  <c r="J62" i="8"/>
  <c r="K62" i="8"/>
  <c r="L62" i="8"/>
  <c r="M62" i="8"/>
  <c r="N62" i="8"/>
  <c r="O62" i="8"/>
  <c r="P62" i="8"/>
  <c r="Q62" i="8"/>
  <c r="Q81" i="8"/>
  <c r="P81" i="8"/>
  <c r="O81" i="8"/>
  <c r="N81" i="8"/>
  <c r="M81" i="8"/>
  <c r="L81" i="8"/>
  <c r="K81" i="8"/>
  <c r="J81" i="8"/>
  <c r="I81" i="8"/>
  <c r="I100" i="8"/>
  <c r="J100" i="8"/>
  <c r="K100" i="8"/>
  <c r="L100" i="8"/>
  <c r="M100" i="8"/>
  <c r="N100" i="8"/>
  <c r="O100" i="8"/>
  <c r="B101" i="8"/>
  <c r="C101" i="8"/>
  <c r="D101" i="8"/>
  <c r="E101" i="8"/>
  <c r="F101" i="8"/>
  <c r="G101" i="8"/>
  <c r="I63" i="8"/>
  <c r="J63" i="8"/>
  <c r="K63" i="8"/>
  <c r="L63" i="8"/>
  <c r="M63" i="8"/>
  <c r="N63" i="8"/>
  <c r="O63" i="8"/>
  <c r="P63" i="8"/>
  <c r="Q63" i="8"/>
  <c r="Q82" i="8"/>
  <c r="P82" i="8"/>
  <c r="O82" i="8"/>
  <c r="N82" i="8"/>
  <c r="M82" i="8"/>
  <c r="L82" i="8"/>
  <c r="K82" i="8"/>
  <c r="J82" i="8"/>
  <c r="I82" i="8"/>
  <c r="H82" i="8"/>
  <c r="H101" i="8"/>
  <c r="I101" i="8"/>
  <c r="J101" i="8"/>
  <c r="K101" i="8"/>
  <c r="L101" i="8"/>
  <c r="M101" i="8"/>
  <c r="N101" i="8"/>
  <c r="O101" i="8"/>
  <c r="B102" i="8"/>
  <c r="C102" i="8"/>
  <c r="D102" i="8"/>
  <c r="E102" i="8"/>
  <c r="F102" i="8"/>
  <c r="H64" i="8"/>
  <c r="I64" i="8"/>
  <c r="J64" i="8"/>
  <c r="K64" i="8"/>
  <c r="L64" i="8"/>
  <c r="M64" i="8"/>
  <c r="N64" i="8"/>
  <c r="O64" i="8"/>
  <c r="P64" i="8"/>
  <c r="Q64" i="8"/>
  <c r="Q83" i="8"/>
  <c r="P83" i="8"/>
  <c r="O83" i="8"/>
  <c r="N83" i="8"/>
  <c r="M83" i="8"/>
  <c r="L83" i="8"/>
  <c r="K83" i="8"/>
  <c r="J83" i="8"/>
  <c r="I83" i="8"/>
  <c r="H83" i="8"/>
  <c r="G83" i="8"/>
  <c r="G102" i="8"/>
  <c r="H102" i="8"/>
  <c r="I102" i="8"/>
  <c r="J102" i="8"/>
  <c r="K102" i="8"/>
  <c r="L102" i="8"/>
  <c r="M102" i="8"/>
  <c r="N102" i="8"/>
  <c r="O102" i="8"/>
  <c r="B103" i="8"/>
  <c r="C103" i="8"/>
  <c r="D103" i="8"/>
  <c r="E103" i="8"/>
  <c r="G65" i="8"/>
  <c r="H65" i="8"/>
  <c r="I65" i="8"/>
  <c r="J65" i="8"/>
  <c r="K65" i="8"/>
  <c r="L65" i="8"/>
  <c r="M65" i="8"/>
  <c r="N65" i="8"/>
  <c r="O65" i="8"/>
  <c r="P65" i="8"/>
  <c r="Q65" i="8"/>
  <c r="Q84" i="8"/>
  <c r="P84" i="8"/>
  <c r="O84" i="8"/>
  <c r="N84" i="8"/>
  <c r="M84" i="8"/>
  <c r="L84" i="8"/>
  <c r="K84" i="8"/>
  <c r="J84" i="8"/>
  <c r="I84" i="8"/>
  <c r="H84" i="8"/>
  <c r="G84" i="8"/>
  <c r="F84" i="8"/>
  <c r="F103" i="8"/>
  <c r="G103" i="8"/>
  <c r="H103" i="8"/>
  <c r="I103" i="8"/>
  <c r="J103" i="8"/>
  <c r="K103" i="8"/>
  <c r="L103" i="8"/>
  <c r="M103" i="8"/>
  <c r="N103" i="8"/>
  <c r="O103" i="8"/>
  <c r="B104" i="8"/>
  <c r="C104" i="8"/>
  <c r="D104" i="8"/>
  <c r="F66" i="8"/>
  <c r="G66" i="8"/>
  <c r="H66" i="8"/>
  <c r="I66" i="8"/>
  <c r="J66" i="8"/>
  <c r="K66" i="8"/>
  <c r="L66" i="8"/>
  <c r="M66" i="8"/>
  <c r="N66" i="8"/>
  <c r="O66" i="8"/>
  <c r="P66" i="8"/>
  <c r="Q66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E104" i="8"/>
  <c r="F104" i="8"/>
  <c r="G104" i="8"/>
  <c r="H104" i="8"/>
  <c r="I104" i="8"/>
  <c r="J104" i="8"/>
  <c r="K104" i="8"/>
  <c r="L104" i="8"/>
  <c r="M104" i="8"/>
  <c r="N104" i="8"/>
  <c r="O104" i="8"/>
  <c r="B105" i="8"/>
  <c r="C105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B106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93" i="8"/>
  <c r="C30" i="8"/>
  <c r="D29" i="8"/>
  <c r="E28" i="8"/>
  <c r="F27" i="8"/>
  <c r="G26" i="8"/>
  <c r="H25" i="8"/>
  <c r="I24" i="8"/>
  <c r="J23" i="8"/>
  <c r="K22" i="8"/>
  <c r="L21" i="8"/>
  <c r="M20" i="8"/>
  <c r="N19" i="8"/>
  <c r="O18" i="8"/>
  <c r="P17" i="8"/>
  <c r="Q16" i="8"/>
  <c r="Q35" i="8"/>
  <c r="Q17" i="8"/>
  <c r="Q36" i="8"/>
  <c r="P36" i="8"/>
  <c r="J154" i="8"/>
  <c r="I154" i="8"/>
  <c r="H154" i="8"/>
  <c r="G154" i="8"/>
  <c r="F154" i="8"/>
  <c r="E154" i="8"/>
  <c r="D154" i="8"/>
  <c r="C154" i="8"/>
  <c r="B154" i="8"/>
  <c r="J153" i="8"/>
  <c r="I153" i="8"/>
  <c r="H153" i="8"/>
  <c r="G153" i="8"/>
  <c r="F153" i="8"/>
  <c r="E153" i="8"/>
  <c r="D153" i="8"/>
  <c r="C153" i="8"/>
  <c r="B153" i="8"/>
  <c r="J152" i="8"/>
  <c r="I152" i="8"/>
  <c r="H152" i="8"/>
  <c r="G152" i="8"/>
  <c r="F152" i="8"/>
  <c r="E152" i="8"/>
  <c r="D152" i="8"/>
  <c r="C152" i="8"/>
  <c r="B152" i="8"/>
  <c r="J151" i="8"/>
  <c r="I151" i="8"/>
  <c r="H151" i="8"/>
  <c r="G151" i="8"/>
  <c r="F151" i="8"/>
  <c r="E151" i="8"/>
  <c r="D151" i="8"/>
  <c r="C151" i="8"/>
  <c r="B151" i="8"/>
  <c r="J150" i="8"/>
  <c r="I150" i="8"/>
  <c r="H150" i="8"/>
  <c r="G150" i="8"/>
  <c r="F150" i="8"/>
  <c r="E150" i="8"/>
  <c r="D150" i="8"/>
  <c r="C150" i="8"/>
  <c r="B15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B135" i="8"/>
  <c r="C135" i="8"/>
  <c r="D135" i="8"/>
  <c r="E135" i="8"/>
  <c r="F135" i="8"/>
  <c r="G135" i="8"/>
  <c r="H135" i="8"/>
  <c r="I135" i="8"/>
  <c r="J135" i="8"/>
  <c r="K135" i="8"/>
  <c r="B136" i="8"/>
  <c r="C136" i="8"/>
  <c r="D136" i="8"/>
  <c r="E136" i="8"/>
  <c r="F136" i="8"/>
  <c r="G136" i="8"/>
  <c r="H136" i="8"/>
  <c r="I136" i="8"/>
  <c r="J136" i="8"/>
  <c r="B137" i="8"/>
  <c r="C137" i="8"/>
  <c r="D137" i="8"/>
  <c r="E137" i="8"/>
  <c r="F137" i="8"/>
  <c r="G137" i="8"/>
  <c r="H137" i="8"/>
  <c r="I137" i="8"/>
  <c r="B138" i="8"/>
  <c r="C138" i="8"/>
  <c r="D138" i="8"/>
  <c r="E138" i="8"/>
  <c r="F138" i="8"/>
  <c r="G138" i="8"/>
  <c r="H138" i="8"/>
  <c r="B139" i="8"/>
  <c r="C139" i="8"/>
  <c r="D139" i="8"/>
  <c r="E139" i="8"/>
  <c r="F139" i="8"/>
  <c r="G139" i="8"/>
  <c r="B140" i="8"/>
  <c r="C140" i="8"/>
  <c r="D140" i="8"/>
  <c r="E140" i="8"/>
  <c r="F140" i="8"/>
  <c r="B141" i="8"/>
  <c r="C141" i="8"/>
  <c r="D141" i="8"/>
  <c r="E141" i="8"/>
  <c r="B142" i="8"/>
  <c r="C142" i="8"/>
  <c r="D142" i="8"/>
  <c r="B143" i="8"/>
  <c r="C143" i="8"/>
  <c r="B144" i="8"/>
  <c r="P130" i="8"/>
  <c r="O130" i="8"/>
  <c r="N130" i="8"/>
  <c r="M130" i="8"/>
  <c r="B126" i="8"/>
  <c r="C124" i="8"/>
  <c r="D123" i="8"/>
  <c r="C123" i="8"/>
  <c r="E122" i="8"/>
  <c r="D122" i="8"/>
  <c r="C122" i="8"/>
  <c r="F121" i="8"/>
  <c r="E121" i="8"/>
  <c r="D121" i="8"/>
  <c r="C121" i="8"/>
  <c r="G120" i="8"/>
  <c r="F120" i="8"/>
  <c r="E120" i="8"/>
  <c r="D120" i="8"/>
  <c r="C120" i="8"/>
  <c r="H119" i="8"/>
  <c r="G119" i="8"/>
  <c r="F119" i="8"/>
  <c r="E119" i="8"/>
  <c r="D119" i="8"/>
  <c r="C119" i="8"/>
  <c r="I118" i="8"/>
  <c r="H118" i="8"/>
  <c r="G118" i="8"/>
  <c r="F118" i="8"/>
  <c r="E118" i="8"/>
  <c r="D118" i="8"/>
  <c r="C118" i="8"/>
  <c r="J117" i="8"/>
  <c r="I117" i="8"/>
  <c r="H117" i="8"/>
  <c r="G117" i="8"/>
  <c r="F117" i="8"/>
  <c r="E117" i="8"/>
  <c r="D117" i="8"/>
  <c r="C117" i="8"/>
  <c r="K116" i="8"/>
  <c r="J116" i="8"/>
  <c r="I116" i="8"/>
  <c r="H116" i="8"/>
  <c r="G116" i="8"/>
  <c r="F116" i="8"/>
  <c r="E116" i="8"/>
  <c r="D116" i="8"/>
  <c r="C116" i="8"/>
  <c r="M114" i="8"/>
  <c r="N113" i="8"/>
  <c r="M113" i="8"/>
  <c r="O112" i="8"/>
  <c r="N112" i="8"/>
  <c r="M112" i="8"/>
  <c r="P111" i="8"/>
  <c r="O111" i="8"/>
  <c r="N111" i="8"/>
  <c r="M111" i="8"/>
  <c r="P18" i="8"/>
  <c r="Q18" i="8"/>
  <c r="Q37" i="8"/>
  <c r="P37" i="8"/>
  <c r="O37" i="8"/>
  <c r="O19" i="8"/>
  <c r="P19" i="8"/>
  <c r="Q19" i="8"/>
  <c r="Q38" i="8"/>
  <c r="P38" i="8"/>
  <c r="O38" i="8"/>
  <c r="N38" i="8"/>
  <c r="N20" i="8"/>
  <c r="O20" i="8"/>
  <c r="P20" i="8"/>
  <c r="Q20" i="8"/>
  <c r="Q39" i="8"/>
  <c r="P39" i="8"/>
  <c r="O39" i="8"/>
  <c r="N39" i="8"/>
  <c r="M39" i="8"/>
  <c r="M21" i="8"/>
  <c r="N21" i="8"/>
  <c r="O21" i="8"/>
  <c r="P21" i="8"/>
  <c r="Q21" i="8"/>
  <c r="Q40" i="8"/>
  <c r="P40" i="8"/>
  <c r="O40" i="8"/>
  <c r="N40" i="8"/>
  <c r="M40" i="8"/>
  <c r="L40" i="8"/>
  <c r="L22" i="8"/>
  <c r="M22" i="8"/>
  <c r="N22" i="8"/>
  <c r="O22" i="8"/>
  <c r="P22" i="8"/>
  <c r="Q22" i="8"/>
  <c r="Q41" i="8"/>
  <c r="P41" i="8"/>
  <c r="O41" i="8"/>
  <c r="N41" i="8"/>
  <c r="M41" i="8"/>
  <c r="L41" i="8"/>
  <c r="K41" i="8"/>
  <c r="K23" i="8"/>
  <c r="L23" i="8"/>
  <c r="M23" i="8"/>
  <c r="N23" i="8"/>
  <c r="O23" i="8"/>
  <c r="P23" i="8"/>
  <c r="Q23" i="8"/>
  <c r="Q42" i="8"/>
  <c r="P42" i="8"/>
  <c r="O42" i="8"/>
  <c r="N42" i="8"/>
  <c r="M42" i="8"/>
  <c r="L42" i="8"/>
  <c r="K42" i="8"/>
  <c r="J42" i="8"/>
  <c r="J24" i="8"/>
  <c r="K24" i="8"/>
  <c r="L24" i="8"/>
  <c r="M24" i="8"/>
  <c r="N24" i="8"/>
  <c r="O24" i="8"/>
  <c r="P24" i="8"/>
  <c r="Q24" i="8"/>
  <c r="Q43" i="8"/>
  <c r="P43" i="8"/>
  <c r="O43" i="8"/>
  <c r="N43" i="8"/>
  <c r="M43" i="8"/>
  <c r="L43" i="8"/>
  <c r="K43" i="8"/>
  <c r="J43" i="8"/>
  <c r="I43" i="8"/>
  <c r="I25" i="8"/>
  <c r="J25" i="8"/>
  <c r="K25" i="8"/>
  <c r="L25" i="8"/>
  <c r="M25" i="8"/>
  <c r="N25" i="8"/>
  <c r="O25" i="8"/>
  <c r="P25" i="8"/>
  <c r="Q25" i="8"/>
  <c r="Q44" i="8"/>
  <c r="P44" i="8"/>
  <c r="O44" i="8"/>
  <c r="N44" i="8"/>
  <c r="M44" i="8"/>
  <c r="L44" i="8"/>
  <c r="K44" i="8"/>
  <c r="J44" i="8"/>
  <c r="I44" i="8"/>
  <c r="H44" i="8"/>
  <c r="H26" i="8"/>
  <c r="I26" i="8"/>
  <c r="J26" i="8"/>
  <c r="K26" i="8"/>
  <c r="L26" i="8"/>
  <c r="M26" i="8"/>
  <c r="N26" i="8"/>
  <c r="O26" i="8"/>
  <c r="P26" i="8"/>
  <c r="Q26" i="8"/>
  <c r="Q45" i="8"/>
  <c r="P45" i="8"/>
  <c r="O45" i="8"/>
  <c r="N45" i="8"/>
  <c r="M45" i="8"/>
  <c r="L45" i="8"/>
  <c r="K45" i="8"/>
  <c r="J45" i="8"/>
  <c r="I45" i="8"/>
  <c r="H45" i="8"/>
  <c r="G45" i="8"/>
  <c r="G27" i="8"/>
  <c r="H27" i="8"/>
  <c r="I27" i="8"/>
  <c r="J27" i="8"/>
  <c r="K27" i="8"/>
  <c r="L27" i="8"/>
  <c r="M27" i="8"/>
  <c r="N27" i="8"/>
  <c r="O27" i="8"/>
  <c r="P27" i="8"/>
  <c r="Q27" i="8"/>
  <c r="Q46" i="8"/>
  <c r="P46" i="8"/>
  <c r="O46" i="8"/>
  <c r="N46" i="8"/>
  <c r="M46" i="8"/>
  <c r="L46" i="8"/>
  <c r="K46" i="8"/>
  <c r="J46" i="8"/>
  <c r="I46" i="8"/>
  <c r="H46" i="8"/>
  <c r="G46" i="8"/>
  <c r="F46" i="8"/>
  <c r="F28" i="8"/>
  <c r="G28" i="8"/>
  <c r="H28" i="8"/>
  <c r="I28" i="8"/>
  <c r="J28" i="8"/>
  <c r="K28" i="8"/>
  <c r="L28" i="8"/>
  <c r="M28" i="8"/>
  <c r="N28" i="8"/>
  <c r="O28" i="8"/>
  <c r="P28" i="8"/>
  <c r="Q2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B76" i="8"/>
  <c r="C76" i="8"/>
  <c r="D76" i="8"/>
  <c r="E76" i="8"/>
  <c r="F76" i="8"/>
  <c r="G76" i="8"/>
  <c r="H76" i="8"/>
  <c r="I76" i="8"/>
  <c r="J76" i="8"/>
  <c r="K76" i="8"/>
  <c r="L76" i="8"/>
  <c r="M76" i="8"/>
  <c r="B77" i="8"/>
  <c r="C77" i="8"/>
  <c r="D77" i="8"/>
  <c r="E77" i="8"/>
  <c r="F77" i="8"/>
  <c r="G77" i="8"/>
  <c r="H77" i="8"/>
  <c r="I77" i="8"/>
  <c r="J77" i="8"/>
  <c r="K77" i="8"/>
  <c r="L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B83" i="8"/>
  <c r="C83" i="8"/>
  <c r="D83" i="8"/>
  <c r="E83" i="8"/>
  <c r="F83" i="8"/>
  <c r="B84" i="8"/>
  <c r="C84" i="8"/>
  <c r="D84" i="8"/>
  <c r="E84" i="8"/>
  <c r="B85" i="8"/>
  <c r="C85" i="8"/>
  <c r="D85" i="8"/>
  <c r="B86" i="8"/>
  <c r="C86" i="8"/>
  <c r="B87" i="8"/>
  <c r="B8" i="8"/>
  <c r="B9" i="8"/>
  <c r="B10" i="8"/>
  <c r="B11" i="8"/>
  <c r="B8" i="5"/>
  <c r="E17" i="5"/>
  <c r="E26" i="5"/>
  <c r="P73" i="8"/>
  <c r="O73" i="8"/>
  <c r="N73" i="8"/>
  <c r="M73" i="8"/>
  <c r="L73" i="8"/>
  <c r="K73" i="8"/>
  <c r="K35" i="8"/>
  <c r="L35" i="8"/>
  <c r="M35" i="8"/>
  <c r="N35" i="8"/>
  <c r="O35" i="8"/>
  <c r="P35" i="8"/>
  <c r="K36" i="8"/>
  <c r="L36" i="8"/>
  <c r="M36" i="8"/>
  <c r="N36" i="8"/>
  <c r="O36" i="8"/>
  <c r="K37" i="8"/>
  <c r="L37" i="8"/>
  <c r="M37" i="8"/>
  <c r="N37" i="8"/>
  <c r="K38" i="8"/>
  <c r="L38" i="8"/>
  <c r="M38" i="8"/>
  <c r="K39" i="8"/>
  <c r="L39" i="8"/>
  <c r="K40" i="8"/>
  <c r="M56" i="8"/>
  <c r="N56" i="8"/>
  <c r="B69" i="8"/>
  <c r="C67" i="8"/>
  <c r="D66" i="8"/>
  <c r="C66" i="8"/>
  <c r="E65" i="8"/>
  <c r="D65" i="8"/>
  <c r="C65" i="8"/>
  <c r="F64" i="8"/>
  <c r="E64" i="8"/>
  <c r="D64" i="8"/>
  <c r="C64" i="8"/>
  <c r="G63" i="8"/>
  <c r="F63" i="8"/>
  <c r="E63" i="8"/>
  <c r="D63" i="8"/>
  <c r="C63" i="8"/>
  <c r="H62" i="8"/>
  <c r="G62" i="8"/>
  <c r="F62" i="8"/>
  <c r="E62" i="8"/>
  <c r="D62" i="8"/>
  <c r="C62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K59" i="8"/>
  <c r="J59" i="8"/>
  <c r="I59" i="8"/>
  <c r="H59" i="8"/>
  <c r="G59" i="8"/>
  <c r="F59" i="8"/>
  <c r="E59" i="8"/>
  <c r="D59" i="8"/>
  <c r="C59" i="8"/>
  <c r="M57" i="8"/>
  <c r="O55" i="8"/>
  <c r="N55" i="8"/>
  <c r="M55" i="8"/>
  <c r="P54" i="8"/>
  <c r="O54" i="8"/>
  <c r="N54" i="8"/>
  <c r="M54" i="8"/>
  <c r="B31" i="8"/>
  <c r="D17" i="5"/>
  <c r="B9" i="5"/>
  <c r="E16" i="5"/>
  <c r="E25" i="5"/>
  <c r="B10" i="5"/>
  <c r="D26" i="5"/>
  <c r="M16" i="8"/>
  <c r="N16" i="8"/>
  <c r="O16" i="8"/>
  <c r="P16" i="8"/>
  <c r="M17" i="8"/>
  <c r="N17" i="8"/>
  <c r="O17" i="8"/>
  <c r="M18" i="8"/>
  <c r="N18" i="8"/>
  <c r="M19" i="8"/>
  <c r="R21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C25" i="8"/>
  <c r="D25" i="8"/>
  <c r="E25" i="8"/>
  <c r="F25" i="8"/>
  <c r="G25" i="8"/>
  <c r="C26" i="8"/>
  <c r="D26" i="8"/>
  <c r="E26" i="8"/>
  <c r="F26" i="8"/>
  <c r="C27" i="8"/>
  <c r="D27" i="8"/>
  <c r="E27" i="8"/>
  <c r="C28" i="8"/>
  <c r="D28" i="8"/>
  <c r="C29" i="8"/>
  <c r="K52" i="6"/>
  <c r="K55" i="6"/>
  <c r="K47" i="6"/>
  <c r="B49" i="8"/>
  <c r="C48" i="8"/>
  <c r="B48" i="8"/>
  <c r="D47" i="8"/>
  <c r="C47" i="8"/>
  <c r="B47" i="8"/>
  <c r="E46" i="8"/>
  <c r="D46" i="8"/>
  <c r="C46" i="8"/>
  <c r="B46" i="8"/>
  <c r="F45" i="8"/>
  <c r="E45" i="8"/>
  <c r="D45" i="8"/>
  <c r="C45" i="8"/>
  <c r="B45" i="8"/>
  <c r="G44" i="8"/>
  <c r="F44" i="8"/>
  <c r="E44" i="8"/>
  <c r="D44" i="8"/>
  <c r="C44" i="8"/>
  <c r="B44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16" i="6"/>
  <c r="J32" i="6"/>
  <c r="B8" i="6"/>
  <c r="B9" i="6"/>
  <c r="L15" i="6"/>
  <c r="L31" i="6"/>
  <c r="L47" i="6"/>
  <c r="L16" i="6"/>
  <c r="L32" i="6"/>
  <c r="L48" i="6"/>
  <c r="L17" i="6"/>
  <c r="L33" i="6"/>
  <c r="L49" i="6"/>
  <c r="L18" i="6"/>
  <c r="L34" i="6"/>
  <c r="L50" i="6"/>
  <c r="L19" i="6"/>
  <c r="L35" i="6"/>
  <c r="L51" i="6"/>
  <c r="L20" i="6"/>
  <c r="L36" i="6"/>
  <c r="L52" i="6"/>
  <c r="L21" i="6"/>
  <c r="L37" i="6"/>
  <c r="L53" i="6"/>
  <c r="L22" i="6"/>
  <c r="L38" i="6"/>
  <c r="L54" i="6"/>
  <c r="L23" i="6"/>
  <c r="L39" i="6"/>
  <c r="L55" i="6"/>
  <c r="L24" i="6"/>
  <c r="L40" i="6"/>
  <c r="L56" i="6"/>
  <c r="L14" i="6"/>
  <c r="L30" i="6"/>
  <c r="B8" i="7"/>
  <c r="B9" i="7"/>
  <c r="B26" i="7"/>
  <c r="C26" i="7"/>
  <c r="D26" i="7"/>
  <c r="E26" i="7"/>
  <c r="F26" i="7"/>
  <c r="G26" i="7"/>
  <c r="H26" i="7"/>
  <c r="I26" i="7"/>
  <c r="J26" i="7"/>
  <c r="K26" i="7"/>
  <c r="L26" i="7"/>
  <c r="L41" i="7"/>
  <c r="B10" i="7"/>
  <c r="B11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10" i="6"/>
  <c r="B11" i="6"/>
  <c r="K56" i="6"/>
  <c r="J56" i="6"/>
  <c r="K54" i="6"/>
  <c r="J55" i="6"/>
  <c r="I56" i="6"/>
  <c r="K53" i="6"/>
  <c r="J54" i="6"/>
  <c r="I55" i="6"/>
  <c r="H56" i="6"/>
  <c r="J53" i="6"/>
  <c r="I54" i="6"/>
  <c r="H55" i="6"/>
  <c r="G56" i="6"/>
  <c r="K51" i="6"/>
  <c r="J52" i="6"/>
  <c r="I53" i="6"/>
  <c r="H54" i="6"/>
  <c r="G55" i="6"/>
  <c r="F56" i="6"/>
  <c r="K50" i="6"/>
  <c r="J51" i="6"/>
  <c r="I52" i="6"/>
  <c r="H53" i="6"/>
  <c r="G54" i="6"/>
  <c r="F55" i="6"/>
  <c r="E56" i="6"/>
  <c r="K49" i="6"/>
  <c r="J50" i="6"/>
  <c r="I51" i="6"/>
  <c r="H52" i="6"/>
  <c r="G53" i="6"/>
  <c r="F54" i="6"/>
  <c r="E55" i="6"/>
  <c r="D56" i="6"/>
  <c r="J49" i="6"/>
  <c r="I50" i="6"/>
  <c r="H51" i="6"/>
  <c r="G52" i="6"/>
  <c r="F53" i="6"/>
  <c r="E54" i="6"/>
  <c r="D55" i="6"/>
  <c r="C56" i="6"/>
  <c r="J48" i="6"/>
  <c r="I49" i="6"/>
  <c r="H50" i="6"/>
  <c r="G51" i="6"/>
  <c r="F52" i="6"/>
  <c r="E53" i="6"/>
  <c r="D54" i="6"/>
  <c r="C55" i="6"/>
  <c r="B56" i="6"/>
  <c r="K40" i="6"/>
  <c r="K39" i="6"/>
  <c r="J40" i="6"/>
  <c r="K38" i="6"/>
  <c r="J39" i="6"/>
  <c r="I40" i="6"/>
  <c r="K37" i="6"/>
  <c r="J38" i="6"/>
  <c r="I39" i="6"/>
  <c r="H40" i="6"/>
  <c r="K36" i="6"/>
  <c r="J37" i="6"/>
  <c r="I38" i="6"/>
  <c r="H39" i="6"/>
  <c r="G40" i="6"/>
  <c r="K35" i="6"/>
  <c r="J36" i="6"/>
  <c r="I37" i="6"/>
  <c r="H38" i="6"/>
  <c r="G39" i="6"/>
  <c r="F40" i="6"/>
  <c r="K34" i="6"/>
  <c r="J35" i="6"/>
  <c r="I36" i="6"/>
  <c r="H37" i="6"/>
  <c r="G38" i="6"/>
  <c r="F39" i="6"/>
  <c r="E40" i="6"/>
  <c r="K33" i="6"/>
  <c r="J34" i="6"/>
  <c r="I35" i="6"/>
  <c r="H36" i="6"/>
  <c r="G37" i="6"/>
  <c r="F38" i="6"/>
  <c r="E39" i="6"/>
  <c r="D40" i="6"/>
  <c r="K32" i="6"/>
  <c r="J33" i="6"/>
  <c r="I34" i="6"/>
  <c r="H35" i="6"/>
  <c r="G36" i="6"/>
  <c r="F37" i="6"/>
  <c r="E38" i="6"/>
  <c r="D39" i="6"/>
  <c r="C40" i="6"/>
  <c r="I33" i="6"/>
  <c r="H34" i="6"/>
  <c r="G35" i="6"/>
  <c r="F36" i="6"/>
  <c r="E37" i="6"/>
  <c r="D38" i="6"/>
  <c r="C39" i="6"/>
  <c r="B40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K21" i="6"/>
  <c r="J21" i="6"/>
  <c r="I21" i="6"/>
  <c r="H21" i="6"/>
  <c r="G21" i="6"/>
  <c r="F21" i="6"/>
  <c r="E21" i="6"/>
  <c r="K20" i="6"/>
  <c r="J20" i="6"/>
  <c r="I20" i="6"/>
  <c r="H20" i="6"/>
  <c r="G20" i="6"/>
  <c r="F20" i="6"/>
  <c r="K19" i="6"/>
  <c r="J19" i="6"/>
  <c r="I19" i="6"/>
  <c r="H19" i="6"/>
  <c r="G19" i="6"/>
  <c r="K18" i="6"/>
  <c r="J18" i="6"/>
  <c r="I18" i="6"/>
  <c r="H18" i="6"/>
  <c r="K17" i="6"/>
  <c r="J17" i="6"/>
  <c r="I17" i="6"/>
  <c r="K16" i="6"/>
  <c r="K15" i="6"/>
  <c r="C17" i="5"/>
  <c r="D16" i="5"/>
  <c r="E15" i="5"/>
  <c r="E24" i="5"/>
  <c r="D25" i="5"/>
  <c r="C26" i="5"/>
  <c r="B17" i="5"/>
  <c r="C16" i="5"/>
  <c r="D15" i="5"/>
  <c r="E14" i="5"/>
  <c r="E23" i="5"/>
  <c r="D24" i="5"/>
  <c r="C25" i="5"/>
  <c r="B26" i="5"/>
  <c r="B8" i="4"/>
  <c r="E17" i="4"/>
  <c r="E26" i="4"/>
  <c r="B9" i="4"/>
  <c r="E16" i="4"/>
  <c r="E25" i="4"/>
  <c r="B10" i="4"/>
  <c r="D26" i="4"/>
  <c r="E15" i="4"/>
  <c r="E24" i="4"/>
  <c r="D25" i="4"/>
  <c r="C26" i="4"/>
  <c r="E14" i="4"/>
  <c r="E23" i="4"/>
  <c r="D24" i="4"/>
  <c r="C25" i="4"/>
  <c r="B26" i="4"/>
  <c r="D17" i="4"/>
  <c r="C17" i="4"/>
  <c r="B17" i="4"/>
  <c r="D16" i="4"/>
  <c r="C16" i="4"/>
  <c r="D15" i="4"/>
  <c r="K41" i="7"/>
  <c r="E23" i="7"/>
  <c r="J41" i="7"/>
  <c r="F22" i="7"/>
  <c r="F23" i="7"/>
  <c r="G23" i="7"/>
  <c r="H23" i="7"/>
  <c r="I23" i="7"/>
  <c r="J23" i="7"/>
  <c r="K23" i="7"/>
  <c r="L23" i="7"/>
  <c r="L38" i="7"/>
  <c r="K39" i="7"/>
  <c r="J40" i="7"/>
  <c r="I41" i="7"/>
  <c r="G21" i="7"/>
  <c r="G22" i="7"/>
  <c r="H22" i="7"/>
  <c r="I22" i="7"/>
  <c r="J22" i="7"/>
  <c r="K22" i="7"/>
  <c r="L22" i="7"/>
  <c r="L37" i="7"/>
  <c r="K38" i="7"/>
  <c r="J39" i="7"/>
  <c r="I40" i="7"/>
  <c r="H41" i="7"/>
  <c r="H20" i="7"/>
  <c r="H21" i="7"/>
  <c r="I21" i="7"/>
  <c r="J21" i="7"/>
  <c r="K21" i="7"/>
  <c r="L21" i="7"/>
  <c r="L36" i="7"/>
  <c r="K37" i="7"/>
  <c r="J38" i="7"/>
  <c r="I39" i="7"/>
  <c r="H40" i="7"/>
  <c r="G41" i="7"/>
  <c r="I19" i="7"/>
  <c r="I20" i="7"/>
  <c r="J20" i="7"/>
  <c r="K20" i="7"/>
  <c r="L20" i="7"/>
  <c r="L35" i="7"/>
  <c r="K36" i="7"/>
  <c r="J37" i="7"/>
  <c r="I38" i="7"/>
  <c r="H39" i="7"/>
  <c r="G40" i="7"/>
  <c r="F41" i="7"/>
  <c r="J18" i="7"/>
  <c r="J19" i="7"/>
  <c r="K19" i="7"/>
  <c r="L19" i="7"/>
  <c r="L34" i="7"/>
  <c r="K35" i="7"/>
  <c r="J36" i="7"/>
  <c r="I37" i="7"/>
  <c r="H38" i="7"/>
  <c r="G39" i="7"/>
  <c r="F40" i="7"/>
  <c r="E41" i="7"/>
  <c r="K17" i="7"/>
  <c r="K18" i="7"/>
  <c r="L18" i="7"/>
  <c r="L33" i="7"/>
  <c r="K34" i="7"/>
  <c r="J35" i="7"/>
  <c r="I36" i="7"/>
  <c r="H37" i="7"/>
  <c r="G38" i="7"/>
  <c r="F39" i="7"/>
  <c r="E40" i="7"/>
  <c r="D41" i="7"/>
  <c r="L16" i="7"/>
  <c r="L31" i="7"/>
  <c r="L17" i="7"/>
  <c r="L32" i="7"/>
  <c r="K32" i="7"/>
  <c r="K33" i="7"/>
  <c r="J33" i="7"/>
  <c r="J34" i="7"/>
  <c r="I34" i="7"/>
  <c r="I35" i="7"/>
  <c r="H35" i="7"/>
  <c r="H36" i="7"/>
  <c r="G36" i="7"/>
  <c r="G37" i="7"/>
  <c r="F37" i="7"/>
  <c r="F38" i="7"/>
  <c r="E38" i="7"/>
  <c r="E39" i="7"/>
  <c r="D39" i="7"/>
  <c r="D40" i="7"/>
  <c r="C40" i="7"/>
  <c r="C41" i="7"/>
  <c r="B41" i="7"/>
</calcChain>
</file>

<file path=xl/comments1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<sst xmlns="http://schemas.openxmlformats.org/spreadsheetml/2006/main" count="145" uniqueCount="43">
  <si>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</si>
  <si>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</si>
  <si>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</si>
  <si>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</si>
  <si>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</si>
  <si>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</si>
  <si>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</si>
  <si>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</si>
  <si>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</si>
  <si>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</si>
  <si>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</si>
  <si>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</si>
  <si>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</si>
  <si>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</si>
  <si>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</si>
  <si>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</si>
  <si>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</si>
  <si>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</si>
  <si>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</si>
  <si>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</si>
  <si>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</si>
  <si>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</si>
  <si>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</si>
  <si>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</si>
  <si>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</si>
  <si>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</si>
  <si>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</si>
  <si>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</si>
  <si>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</si>
  <si>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</si>
  <si>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</si>
  <si>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</si>
  <si>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</si>
  <si>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</si>
  <si>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</si>
  <si>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</si>
  <si>
    <t>American Option Payoff</t>
  </si>
  <si>
    <t>Comparison Chart</t>
  </si>
  <si>
    <t>Futures</t>
  </si>
  <si>
    <t>European 'Chooser' Option Payoff</t>
  </si>
  <si>
    <t>European Call Option Payoff</t>
  </si>
  <si>
    <t>European Put Option Payoff</t>
  </si>
  <si>
    <t>Lattice Extra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</si>
</sst>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69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1" fontId="3" fillId="0" borderId="0" xfId="4" applyNumberFormat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  <xf numFmtId="1" fontId="3" fillId="0" borderId="0" xfId="4" applyNumberFormat="1" applyFont="1"/>
    <xf numFmtId="2" fontId="2" fillId="0" borderId="0" xfId="4" applyNumberFormat="1" applyFont="1" applyAlignment="1">
      <alignment horizontal="right"/>
    </xf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28"/>
  <sheetViews>
    <sheetView showGridLines="0" workbookViewId="0">
      <selection activeCell="E26" sqref="E26"/>
    </sheetView>
  </sheetViews>
  <sheetFormatPr baseColWidth="10" defaultColWidth="8.83203125" defaultRowHeight="13" x14ac:dyDescent="0.15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8" ht="14" thickBot="1" x14ac:dyDescent="0.2">
      <c r="A1" s="61" t="s">
        <v>0</v>
      </c>
      <c r="B1" s="62"/>
      <c r="E1" s="2"/>
      <c r="G1" s="63" t="s">
        <v>1</v>
      </c>
      <c r="H1" s="64"/>
    </row>
    <row r="2" spans="1:8" ht="14" thickBot="1" x14ac:dyDescent="0.2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">
      <c r="A3" s="7" t="s">
        <v>4</v>
      </c>
      <c r="B3" s="8">
        <v>0.25</v>
      </c>
      <c r="D3" s="9"/>
    </row>
    <row r="4" spans="1:8" ht="15" x14ac:dyDescent="0.2">
      <c r="A4" s="7" t="s">
        <v>5</v>
      </c>
      <c r="B4" s="10">
        <v>0.23438000000000001</v>
      </c>
      <c r="D4" s="9"/>
    </row>
    <row r="5" spans="1:8" x14ac:dyDescent="0.15">
      <c r="A5" s="7" t="s">
        <v>6</v>
      </c>
      <c r="B5" s="11">
        <v>3</v>
      </c>
      <c r="D5" s="12"/>
    </row>
    <row r="6" spans="1:8" ht="16" thickBot="1" x14ac:dyDescent="0.25">
      <c r="A6" s="7" t="s">
        <v>7</v>
      </c>
      <c r="B6" s="8">
        <v>1.0100100000000001</v>
      </c>
      <c r="D6" s="12"/>
    </row>
    <row r="7" spans="1:8" x14ac:dyDescent="0.15">
      <c r="A7" s="13" t="s">
        <v>8</v>
      </c>
      <c r="B7" s="14">
        <v>1.07</v>
      </c>
    </row>
    <row r="8" spans="1:8" x14ac:dyDescent="0.15">
      <c r="A8" s="15" t="s">
        <v>9</v>
      </c>
      <c r="B8" s="16">
        <f>1/B7</f>
        <v>0.93457943925233644</v>
      </c>
      <c r="G8" s="17"/>
    </row>
    <row r="9" spans="1:8" x14ac:dyDescent="0.15">
      <c r="A9" s="15" t="s">
        <v>10</v>
      </c>
      <c r="B9" s="18">
        <f>(B6 - B8) / (B7 - B8)</f>
        <v>0.55700966183574907</v>
      </c>
      <c r="G9" s="17"/>
    </row>
    <row r="10" spans="1:8" ht="14" thickBot="1" x14ac:dyDescent="0.2">
      <c r="A10" s="19" t="s">
        <v>11</v>
      </c>
      <c r="B10" s="20">
        <f>1 - B9</f>
        <v>0.44299033816425093</v>
      </c>
      <c r="D10" s="21"/>
      <c r="F10" s="17"/>
    </row>
    <row r="11" spans="1:8" x14ac:dyDescent="0.15">
      <c r="D11" s="21"/>
      <c r="F11" s="17"/>
      <c r="G11" s="22"/>
    </row>
    <row r="12" spans="1:8" ht="14" thickBot="1" x14ac:dyDescent="0.2">
      <c r="G12" s="22"/>
    </row>
    <row r="13" spans="1:8" ht="14" thickBot="1" x14ac:dyDescent="0.2">
      <c r="A13" s="22"/>
      <c r="B13" s="65" t="s">
        <v>12</v>
      </c>
      <c r="C13" s="66"/>
      <c r="D13" s="23"/>
      <c r="E13" s="24"/>
      <c r="F13" s="22"/>
      <c r="G13" s="22"/>
    </row>
    <row r="14" spans="1:8" x14ac:dyDescent="0.15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15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15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15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15">
      <c r="A18" s="22"/>
      <c r="B18" s="29"/>
      <c r="C18" s="30"/>
      <c r="D18" s="30"/>
      <c r="E18" s="31"/>
      <c r="F18" s="22"/>
    </row>
    <row r="19" spans="1:7" ht="14" thickBot="1" x14ac:dyDescent="0.2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15">
      <c r="G20" s="22"/>
    </row>
    <row r="21" spans="1:7" ht="14" thickBot="1" x14ac:dyDescent="0.2">
      <c r="G21" s="22"/>
    </row>
    <row r="22" spans="1:7" ht="14" thickBot="1" x14ac:dyDescent="0.2">
      <c r="A22" s="22"/>
      <c r="B22" s="65" t="s">
        <v>17</v>
      </c>
      <c r="C22" s="66"/>
      <c r="D22" s="23"/>
      <c r="E22" s="24"/>
      <c r="F22" s="22"/>
      <c r="G22" s="22"/>
    </row>
    <row r="23" spans="1:7" x14ac:dyDescent="0.15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15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 x14ac:dyDescent="0.15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 x14ac:dyDescent="0.15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15">
      <c r="A27" s="22"/>
      <c r="B27" s="25"/>
      <c r="C27" s="26"/>
      <c r="D27" s="26"/>
      <c r="E27" s="27"/>
      <c r="F27" s="22"/>
    </row>
    <row r="28" spans="1:7" ht="14" thickBot="1" x14ac:dyDescent="0.2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28"/>
  <sheetViews>
    <sheetView showGridLines="0" workbookViewId="0">
      <selection activeCell="E26" sqref="E26"/>
    </sheetView>
  </sheetViews>
  <sheetFormatPr baseColWidth="10" defaultColWidth="8.83203125" defaultRowHeight="13" x14ac:dyDescent="0.15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8" ht="14" thickBot="1" x14ac:dyDescent="0.2">
      <c r="A1" s="61" t="s">
        <v>0</v>
      </c>
      <c r="B1" s="62"/>
      <c r="E1" s="2"/>
      <c r="G1" s="63" t="s">
        <v>1</v>
      </c>
      <c r="H1" s="64"/>
    </row>
    <row r="2" spans="1:8" ht="14" thickBot="1" x14ac:dyDescent="0.2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">
      <c r="A3" s="7" t="s">
        <v>4</v>
      </c>
      <c r="B3" s="8">
        <v>0.25</v>
      </c>
      <c r="D3" s="9"/>
    </row>
    <row r="4" spans="1:8" ht="15" x14ac:dyDescent="0.2">
      <c r="A4" s="7" t="s">
        <v>5</v>
      </c>
      <c r="B4" s="10">
        <v>0.23438000000000001</v>
      </c>
      <c r="D4" s="9"/>
    </row>
    <row r="5" spans="1:8" x14ac:dyDescent="0.15">
      <c r="A5" s="7" t="s">
        <v>6</v>
      </c>
      <c r="B5" s="11">
        <v>3</v>
      </c>
      <c r="D5" s="12"/>
    </row>
    <row r="6" spans="1:8" ht="16" thickBot="1" x14ac:dyDescent="0.25">
      <c r="A6" s="7" t="s">
        <v>7</v>
      </c>
      <c r="B6" s="8">
        <v>1.0100100000000001</v>
      </c>
      <c r="D6" s="12"/>
    </row>
    <row r="7" spans="1:8" x14ac:dyDescent="0.15">
      <c r="A7" s="13" t="s">
        <v>8</v>
      </c>
      <c r="B7" s="14">
        <v>1.07</v>
      </c>
      <c r="G7" s="17"/>
    </row>
    <row r="8" spans="1:8" x14ac:dyDescent="0.15">
      <c r="A8" s="15" t="s">
        <v>9</v>
      </c>
      <c r="B8" s="16">
        <f>1/B7</f>
        <v>0.93457943925233644</v>
      </c>
      <c r="G8" s="17"/>
    </row>
    <row r="9" spans="1:8" x14ac:dyDescent="0.15">
      <c r="A9" s="15" t="s">
        <v>10</v>
      </c>
      <c r="B9" s="18">
        <f>(B6 - B8) / (B7 - B8)</f>
        <v>0.55700966183574907</v>
      </c>
    </row>
    <row r="10" spans="1:8" ht="14" thickBot="1" x14ac:dyDescent="0.2">
      <c r="A10" s="19" t="s">
        <v>11</v>
      </c>
      <c r="B10" s="20">
        <f>1 - B9</f>
        <v>0.44299033816425093</v>
      </c>
      <c r="D10" s="21"/>
      <c r="F10" s="17"/>
      <c r="G10" s="22"/>
    </row>
    <row r="11" spans="1:8" x14ac:dyDescent="0.15">
      <c r="D11" s="21"/>
      <c r="F11" s="17"/>
      <c r="G11" s="22"/>
    </row>
    <row r="12" spans="1:8" ht="14" thickBot="1" x14ac:dyDescent="0.2">
      <c r="G12" s="22"/>
    </row>
    <row r="13" spans="1:8" ht="14" thickBot="1" x14ac:dyDescent="0.2">
      <c r="A13" s="22"/>
      <c r="B13" s="65" t="s">
        <v>12</v>
      </c>
      <c r="C13" s="66"/>
      <c r="D13" s="23"/>
      <c r="E13" s="24"/>
      <c r="F13" s="22"/>
      <c r="G13" s="22"/>
    </row>
    <row r="14" spans="1:8" x14ac:dyDescent="0.15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15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15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15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15">
      <c r="A18" s="22"/>
      <c r="B18" s="29"/>
      <c r="C18" s="30"/>
      <c r="D18" s="30"/>
      <c r="E18" s="31"/>
      <c r="F18" s="22"/>
    </row>
    <row r="19" spans="1:7" ht="14" thickBot="1" x14ac:dyDescent="0.2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15">
      <c r="G20" s="22"/>
    </row>
    <row r="21" spans="1:7" ht="14" thickBot="1" x14ac:dyDescent="0.2">
      <c r="G21" s="22"/>
    </row>
    <row r="22" spans="1:7" ht="14" thickBot="1" x14ac:dyDescent="0.2">
      <c r="A22" s="22"/>
      <c r="B22" s="65" t="s">
        <v>17</v>
      </c>
      <c r="C22" s="66"/>
      <c r="D22" s="23"/>
      <c r="E22" s="24"/>
      <c r="F22" s="22"/>
      <c r="G22" s="22"/>
    </row>
    <row r="23" spans="1:7" x14ac:dyDescent="0.15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15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 x14ac:dyDescent="0.15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 x14ac:dyDescent="0.15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 x14ac:dyDescent="0.15">
      <c r="A27" s="22"/>
      <c r="B27" s="29"/>
      <c r="C27" s="30"/>
      <c r="D27" s="30"/>
      <c r="E27" s="31"/>
      <c r="F27" s="22"/>
    </row>
    <row r="28" spans="1:7" ht="14" thickBot="1" x14ac:dyDescent="0.2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N58"/>
  <sheetViews>
    <sheetView showGridLines="0" topLeftCell="A28" workbookViewId="0">
      <selection activeCell="H53" sqref="H53"/>
    </sheetView>
  </sheetViews>
  <sheetFormatPr baseColWidth="10" defaultColWidth="8.83203125" defaultRowHeight="13" x14ac:dyDescent="0.15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14" ht="14" thickBot="1" x14ac:dyDescent="0.2">
      <c r="A1" s="61" t="s">
        <v>0</v>
      </c>
      <c r="B1" s="62"/>
      <c r="E1" s="61" t="s">
        <v>18</v>
      </c>
      <c r="F1" s="62"/>
      <c r="I1" s="61" t="s">
        <v>1</v>
      </c>
      <c r="J1" s="62"/>
    </row>
    <row r="2" spans="1:14" ht="14" thickBot="1" x14ac:dyDescent="0.2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14" ht="15" x14ac:dyDescent="0.2">
      <c r="A3" s="7" t="s">
        <v>4</v>
      </c>
      <c r="B3" s="8">
        <v>0.5</v>
      </c>
      <c r="D3" s="9"/>
      <c r="I3" s="43" t="s">
        <v>3</v>
      </c>
      <c r="J3" s="11">
        <v>100</v>
      </c>
    </row>
    <row r="4" spans="1:14" ht="15" x14ac:dyDescent="0.2">
      <c r="A4" s="7" t="s">
        <v>5</v>
      </c>
      <c r="B4" s="10">
        <v>0.2</v>
      </c>
      <c r="D4" s="9"/>
      <c r="I4" s="43" t="s">
        <v>19</v>
      </c>
      <c r="J4" s="11">
        <v>10</v>
      </c>
    </row>
    <row r="5" spans="1:14" ht="14" thickBot="1" x14ac:dyDescent="0.2">
      <c r="A5" s="7" t="s">
        <v>6</v>
      </c>
      <c r="B5" s="11">
        <v>10</v>
      </c>
      <c r="D5" s="12"/>
      <c r="G5" s="17"/>
      <c r="H5" s="17"/>
      <c r="I5" s="44" t="s">
        <v>21</v>
      </c>
      <c r="J5" s="45" t="s">
        <v>22</v>
      </c>
    </row>
    <row r="6" spans="1:14" ht="15" x14ac:dyDescent="0.2">
      <c r="A6" s="7" t="s">
        <v>23</v>
      </c>
      <c r="B6" s="46">
        <v>0.02</v>
      </c>
      <c r="D6" s="12"/>
    </row>
    <row r="7" spans="1:14" ht="16" thickBot="1" x14ac:dyDescent="0.25">
      <c r="A7" s="47" t="s">
        <v>24</v>
      </c>
      <c r="B7" s="48">
        <v>0.01</v>
      </c>
    </row>
    <row r="8" spans="1:14" x14ac:dyDescent="0.15">
      <c r="A8" s="13" t="s">
        <v>8</v>
      </c>
      <c r="B8" s="14">
        <f>EXP(B4*SQRT(B3/B5))</f>
        <v>1.0457364348384068</v>
      </c>
    </row>
    <row r="9" spans="1:14" x14ac:dyDescent="0.15">
      <c r="A9" s="15" t="s">
        <v>9</v>
      </c>
      <c r="B9" s="16">
        <f>1/B8</f>
        <v>0.95626389851714955</v>
      </c>
    </row>
    <row r="10" spans="1:14" x14ac:dyDescent="0.15">
      <c r="A10" s="15" t="s">
        <v>10</v>
      </c>
      <c r="B10" s="18">
        <f>(EXP((B6 - B7) * B3/B5) - B9) / (B8 - B9)</f>
        <v>0.49441122742796845</v>
      </c>
      <c r="D10" s="21"/>
      <c r="F10" s="17"/>
      <c r="G10" s="17"/>
    </row>
    <row r="11" spans="1:14" ht="14" thickBot="1" x14ac:dyDescent="0.2">
      <c r="A11" s="19" t="s">
        <v>11</v>
      </c>
      <c r="B11" s="20">
        <f>1 - B10</f>
        <v>0.50558877257203161</v>
      </c>
      <c r="D11" s="21"/>
      <c r="F11" s="17"/>
      <c r="G11" s="17"/>
    </row>
    <row r="12" spans="1:14" ht="14" thickBot="1" x14ac:dyDescent="0.2"/>
    <row r="13" spans="1:14" ht="14" thickBot="1" x14ac:dyDescent="0.2">
      <c r="A13" s="22"/>
      <c r="B13" s="65" t="s">
        <v>12</v>
      </c>
      <c r="C13" s="66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15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156.39483159353705</v>
      </c>
      <c r="M14" s="22"/>
      <c r="N14" s="22"/>
    </row>
    <row r="15" spans="1:14" x14ac:dyDescent="0.15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149.55473136756879</v>
      </c>
      <c r="L15" s="31">
        <f>B2 * (B8 ^ (9)) * (B9 ^ (1))</f>
        <v>143.01379045923636</v>
      </c>
      <c r="M15" s="22"/>
      <c r="N15" s="22"/>
    </row>
    <row r="16" spans="1:14" x14ac:dyDescent="0.15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143.01379045923636</v>
      </c>
      <c r="K16" s="30">
        <f>B2 * (B8 ^ (8)) * (B9 ^ (1))</f>
        <v>136.75892480626408</v>
      </c>
      <c r="L16" s="31">
        <f>B2 * (B8 ^ (8)) * (B9 ^ (2))</f>
        <v>130.77762259225182</v>
      </c>
      <c r="M16" s="22"/>
      <c r="N16" s="22"/>
    </row>
    <row r="17" spans="1:14" x14ac:dyDescent="0.15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136.7589248062641</v>
      </c>
      <c r="J17" s="30">
        <f>B2 * (B8 ^ (7)) * (B9 ^ (1))</f>
        <v>130.77762259225182</v>
      </c>
      <c r="K17" s="30">
        <f>B2 * (B8 ^ (7)) * (B9 ^ (2))</f>
        <v>125.05791921887119</v>
      </c>
      <c r="L17" s="31">
        <f>B2 * (B8 ^ (7)) * (B9 ^ (3))</f>
        <v>119.58837337268052</v>
      </c>
      <c r="M17" s="22"/>
      <c r="N17" s="22"/>
    </row>
    <row r="18" spans="1:14" x14ac:dyDescent="0.15">
      <c r="A18" s="22"/>
      <c r="B18" s="29"/>
      <c r="C18" s="30"/>
      <c r="D18" s="30"/>
      <c r="E18" s="30"/>
      <c r="F18" s="30"/>
      <c r="G18" s="30"/>
      <c r="H18" s="30">
        <f>B2 * (B8 ^ (6)) * (B9 ^ (0))</f>
        <v>130.77762259225182</v>
      </c>
      <c r="I18" s="30">
        <f>B2 * (B8 ^ (6)) * (B9 ^ (1))</f>
        <v>125.05791921887118</v>
      </c>
      <c r="J18" s="30">
        <f>B2 * (B8 ^ (6)) * (B9 ^ (2))</f>
        <v>119.58837337268052</v>
      </c>
      <c r="K18" s="30">
        <f>B2 * (B8 ^ (6)) * (B9 ^ (3))</f>
        <v>114.35804413868395</v>
      </c>
      <c r="L18" s="31">
        <f>B2 * (B8 ^ (6)) * (B9 ^ (4))</f>
        <v>109.35646911485418</v>
      </c>
      <c r="M18" s="22"/>
      <c r="N18" s="22"/>
    </row>
    <row r="19" spans="1:14" x14ac:dyDescent="0.15">
      <c r="A19" s="22"/>
      <c r="B19" s="29"/>
      <c r="C19" s="30"/>
      <c r="D19" s="30"/>
      <c r="E19" s="30"/>
      <c r="F19" s="30"/>
      <c r="G19" s="30">
        <f>B2 * (B8 ^ (5)) * (B9 ^ (0))</f>
        <v>125.05791921887115</v>
      </c>
      <c r="H19" s="30">
        <f>B2 * (B8 ^ (5)) * (B9 ^ (1))</f>
        <v>119.58837337268048</v>
      </c>
      <c r="I19" s="30">
        <f>B2 * (B8 ^ (5)) * (B9 ^ (2))</f>
        <v>114.35804413868392</v>
      </c>
      <c r="J19" s="30">
        <f>B2 * (B8 ^ (5)) * (B9 ^ (3))</f>
        <v>109.35646911485415</v>
      </c>
      <c r="K19" s="30">
        <f>B2 * (B8 ^ (5)) * (B9 ^ (4))</f>
        <v>104.5736434838407</v>
      </c>
      <c r="L19" s="31">
        <f>B2 * (B8 ^ (5)) * (B9 ^ (5))</f>
        <v>100.00000000000003</v>
      </c>
      <c r="M19" s="22"/>
      <c r="N19" s="22"/>
    </row>
    <row r="20" spans="1:14" x14ac:dyDescent="0.15">
      <c r="A20" s="22"/>
      <c r="B20" s="29"/>
      <c r="C20" s="30"/>
      <c r="D20" s="30"/>
      <c r="E20" s="30"/>
      <c r="F20" s="30">
        <f>B2 * (B8 ^ (4)) * (B9 ^ (0))</f>
        <v>119.58837337268049</v>
      </c>
      <c r="G20" s="30">
        <f>B2 * (B8 ^ (4)) * (B9 ^ (1))</f>
        <v>114.35804413868392</v>
      </c>
      <c r="H20" s="30">
        <f>B2 * (B8 ^ (4)) * (B9 ^ (2))</f>
        <v>109.35646911485416</v>
      </c>
      <c r="I20" s="30">
        <f>B2 * (B8 ^ (4)) * (B9 ^ (3))</f>
        <v>104.5736434838407</v>
      </c>
      <c r="J20" s="30">
        <f>B2 * (B8 ^ (4)) * (B9 ^ (4))</f>
        <v>100.00000000000003</v>
      </c>
      <c r="K20" s="30">
        <f>B2 * (B8 ^ (4)) * (B9 ^ (5))</f>
        <v>95.626389851714976</v>
      </c>
      <c r="L20" s="31">
        <f>B2 * (B8 ^ (4)) * (B9 ^ (6))</f>
        <v>91.444064360721754</v>
      </c>
      <c r="M20" s="22"/>
      <c r="N20" s="22"/>
    </row>
    <row r="21" spans="1:14" x14ac:dyDescent="0.15">
      <c r="A21" s="22"/>
      <c r="B21" s="29"/>
      <c r="C21" s="30"/>
      <c r="D21" s="30"/>
      <c r="E21" s="30">
        <f>B2 * (B8 ^ (3)) * (B9 ^ (0))</f>
        <v>114.35804413868394</v>
      </c>
      <c r="F21" s="30">
        <f>B2 * (B8 ^ (3)) * (B9 ^ (1))</f>
        <v>109.35646911485416</v>
      </c>
      <c r="G21" s="30">
        <f>B2 * (B8 ^ (3)) * (B9 ^ (2))</f>
        <v>104.57364348384071</v>
      </c>
      <c r="H21" s="30">
        <f>B2 * (B8 ^ (3)) * (B9 ^ (3))</f>
        <v>100.00000000000003</v>
      </c>
      <c r="I21" s="30">
        <f>B2 * (B8 ^ (3)) * (B9 ^ (4))</f>
        <v>95.62638985171499</v>
      </c>
      <c r="J21" s="30">
        <f>B2 * (B8 ^ (3)) * (B9 ^ (5))</f>
        <v>91.444064360721754</v>
      </c>
      <c r="K21" s="30">
        <f>B2 * (B8 ^ (3)) * (B9 ^ (6))</f>
        <v>87.444657481836927</v>
      </c>
      <c r="L21" s="31">
        <f>B2 * (B8 ^ (3)) * (B9 ^ (7))</f>
        <v>83.620169068078198</v>
      </c>
      <c r="M21" s="22"/>
      <c r="N21" s="22"/>
    </row>
    <row r="22" spans="1:14" x14ac:dyDescent="0.15">
      <c r="A22" s="22"/>
      <c r="B22" s="29"/>
      <c r="C22" s="30"/>
      <c r="D22" s="30">
        <f>B2 * (B8 ^ (2)) * (B9 ^ (0))</f>
        <v>109.35646911485415</v>
      </c>
      <c r="E22" s="30">
        <f>B2 * (B8 ^ (2)) * (B9 ^ (1))</f>
        <v>104.57364348384068</v>
      </c>
      <c r="F22" s="30">
        <f>B2 * (B8 ^ (2)) * (B9 ^ (2))</f>
        <v>100.00000000000001</v>
      </c>
      <c r="G22" s="30">
        <f>B2 * (B8 ^ (2)) * (B9 ^ (3))</f>
        <v>95.626389851714961</v>
      </c>
      <c r="H22" s="30">
        <f>B2 * (B8 ^ (2)) * (B9 ^ (4))</f>
        <v>91.44406436072174</v>
      </c>
      <c r="I22" s="30">
        <f>B2 * (B8 ^ (2)) * (B9 ^ (5))</f>
        <v>87.444657481836913</v>
      </c>
      <c r="J22" s="30">
        <f>B2 * (B8 ^ (2)) * (B9 ^ (6))</f>
        <v>83.620169068078198</v>
      </c>
      <c r="K22" s="30">
        <f>B2 * (B8 ^ (2)) * (B9 ^ (7))</f>
        <v>79.962948867703616</v>
      </c>
      <c r="L22" s="31">
        <f>B2 * (B8 ^ (2)) * (B9 ^ (8))</f>
        <v>76.465681221157752</v>
      </c>
      <c r="M22" s="22"/>
      <c r="N22" s="22"/>
    </row>
    <row r="23" spans="1:14" x14ac:dyDescent="0.15">
      <c r="A23" s="22"/>
      <c r="B23" s="29"/>
      <c r="C23" s="30">
        <f>B2 * (B8 ^ (1)) * (B9 ^ (0))</f>
        <v>104.57364348384068</v>
      </c>
      <c r="D23" s="30">
        <f>B2 * (B8 ^ (1)) * (B9 ^ (1))</f>
        <v>100</v>
      </c>
      <c r="E23" s="30">
        <f>B2 * (B8 ^ (1)) * (B9 ^ (2))</f>
        <v>95.626389851714961</v>
      </c>
      <c r="F23" s="30">
        <f>B2 * (B8 ^ (1)) * (B9 ^ (3))</f>
        <v>91.44406436072174</v>
      </c>
      <c r="G23" s="30">
        <f>B2 * (B8 ^ (1)) * (B9 ^ (4))</f>
        <v>87.444657481836913</v>
      </c>
      <c r="H23" s="30">
        <f>B2 * (B8 ^ (1)) * (B9 ^ (5))</f>
        <v>83.620169068078198</v>
      </c>
      <c r="I23" s="30">
        <f>B2 * (B8 ^ (1)) * (B9 ^ (6))</f>
        <v>79.962948867703616</v>
      </c>
      <c r="J23" s="30">
        <f>B2 * (B8 ^ (1)) * (B9 ^ (7))</f>
        <v>76.465681221157737</v>
      </c>
      <c r="K23" s="30">
        <f>B2 * (B8 ^ (1)) * (B9 ^ (8))</f>
        <v>73.121370427313906</v>
      </c>
      <c r="L23" s="31">
        <f>B2 * (B8 ^ (1)) * (B9 ^ (9))</f>
        <v>69.923326749739815</v>
      </c>
      <c r="M23" s="22"/>
      <c r="N23" s="22"/>
    </row>
    <row r="24" spans="1:14" x14ac:dyDescent="0.15">
      <c r="A24" s="22"/>
      <c r="B24" s="29">
        <f>B2 * (B8 ^ (0)) * (B9 ^ (0))</f>
        <v>100</v>
      </c>
      <c r="C24" s="30">
        <f>B2 * (B8 ^ (0)) * (B9 ^ (1))</f>
        <v>95.626389851714961</v>
      </c>
      <c r="D24" s="30">
        <f>B2 * (B8 ^ (0)) * (B9 ^ (2))</f>
        <v>91.44406436072174</v>
      </c>
      <c r="E24" s="30">
        <f>B2 * (B8 ^ (0)) * (B9 ^ (3))</f>
        <v>87.444657481836899</v>
      </c>
      <c r="F24" s="30">
        <f>B2 * (B8 ^ (0)) * (B9 ^ (4))</f>
        <v>83.620169068078184</v>
      </c>
      <c r="G24" s="30">
        <f>B2 * (B8 ^ (0)) * (B9 ^ (5))</f>
        <v>79.962948867703602</v>
      </c>
      <c r="H24" s="30">
        <f>B2 * (B8 ^ (0)) * (B9 ^ (6))</f>
        <v>76.465681221157737</v>
      </c>
      <c r="I24" s="30">
        <f>B2 * (B8 ^ (0)) * (B9 ^ (7))</f>
        <v>73.121370427313892</v>
      </c>
      <c r="J24" s="30">
        <f>B2 * (B8 ^ (0)) * (B9 ^ (8))</f>
        <v>69.9233267497398</v>
      </c>
      <c r="K24" s="30">
        <f>B2 * (B8 ^ (0)) * (B9 ^ (9))</f>
        <v>66.865153034994677</v>
      </c>
      <c r="L24" s="31">
        <f>B2 * (B8 ^ (0)) * (B9 ^ (10))</f>
        <v>63.940731916189819</v>
      </c>
      <c r="M24" s="22"/>
      <c r="N24" s="22"/>
    </row>
    <row r="25" spans="1:14" x14ac:dyDescent="0.15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4" thickBot="1" x14ac:dyDescent="0.2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4" thickBot="1" x14ac:dyDescent="0.2"/>
    <row r="29" spans="1:14" ht="14" thickBot="1" x14ac:dyDescent="0.2">
      <c r="A29" s="22"/>
      <c r="B29" s="65" t="s">
        <v>32</v>
      </c>
      <c r="C29" s="66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15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156.39483159353705</v>
      </c>
      <c r="M30" s="22"/>
      <c r="N30" s="22"/>
    </row>
    <row r="31" spans="1:14" x14ac:dyDescent="0.15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149.62952743071011</v>
      </c>
      <c r="L31" s="31">
        <f>$L$15</f>
        <v>143.01379045923636</v>
      </c>
      <c r="M31" s="22"/>
      <c r="N31" s="22"/>
    </row>
    <row r="32" spans="1:14" x14ac:dyDescent="0.15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143.15687578043242</v>
      </c>
      <c r="K32" s="30">
        <f>($B$10 *$L$31 + $B$11 *$L$32)</f>
        <v>136.82732136638231</v>
      </c>
      <c r="L32" s="31">
        <f>$L$16</f>
        <v>130.77762259225182</v>
      </c>
      <c r="M32" s="22"/>
      <c r="N32" s="22"/>
    </row>
    <row r="33" spans="1:14" x14ac:dyDescent="0.15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136.96421712421963</v>
      </c>
      <c r="J33" s="30">
        <f>($B$10 *$K$32 + $B$11 *$K$33)</f>
        <v>130.90846562545707</v>
      </c>
      <c r="K33" s="30">
        <f>($B$10 *$L$32 + $B$11 *$L$33)</f>
        <v>125.12046381332621</v>
      </c>
      <c r="L33" s="31">
        <f>$L$17</f>
        <v>119.58837337268052</v>
      </c>
      <c r="M33" s="22"/>
      <c r="N33" s="22"/>
    </row>
    <row r="34" spans="1:14" x14ac:dyDescent="0.15">
      <c r="A34" s="22"/>
      <c r="B34" s="29"/>
      <c r="C34" s="30"/>
      <c r="D34" s="30"/>
      <c r="E34" s="30"/>
      <c r="F34" s="30"/>
      <c r="G34" s="30"/>
      <c r="H34" s="30">
        <f>($B$10 *$I$33 + $B$11 *$I$34)</f>
        <v>131.03943956713886</v>
      </c>
      <c r="I34" s="30">
        <f>($B$10 *$J$33 + $B$11 *$J$34)</f>
        <v>125.24564685823006</v>
      </c>
      <c r="J34" s="30">
        <f>($B$10 *$K$33 + $B$11 *$K$34)</f>
        <v>119.70802156017626</v>
      </c>
      <c r="K34" s="30">
        <f>($B$10 *$L$33 + $B$11 *$L$34)</f>
        <v>114.41523745789156</v>
      </c>
      <c r="L34" s="31">
        <f>$L$18</f>
        <v>109.35646911485418</v>
      </c>
      <c r="M34" s="22"/>
      <c r="N34" s="22"/>
    </row>
    <row r="35" spans="1:14" x14ac:dyDescent="0.15">
      <c r="A35" s="22"/>
      <c r="B35" s="29"/>
      <c r="C35" s="30"/>
      <c r="D35" s="30"/>
      <c r="E35" s="30"/>
      <c r="F35" s="30"/>
      <c r="G35" s="30">
        <f>($B$10 *$H$34 + $B$11 *$H$35)</f>
        <v>125.37095514879118</v>
      </c>
      <c r="H35" s="30">
        <f>($B$10 *$I$34 + $B$11 *$I$35)</f>
        <v>119.82778945570351</v>
      </c>
      <c r="I35" s="30">
        <f>($B$10 *$J$34 + $B$11 *$J$35)</f>
        <v>114.52970992204214</v>
      </c>
      <c r="J35" s="30">
        <f>($B$10 *$K$34 + $B$11 *$K$35)</f>
        <v>109.46588028043422</v>
      </c>
      <c r="K35" s="30">
        <f>($B$10 *$L$34 + $B$11 *$L$35)</f>
        <v>104.62594337946695</v>
      </c>
      <c r="L35" s="31">
        <f>$L$19</f>
        <v>100.00000000000003</v>
      </c>
      <c r="M35" s="22"/>
      <c r="N35" s="22"/>
    </row>
    <row r="36" spans="1:14" x14ac:dyDescent="0.15">
      <c r="A36" s="22"/>
      <c r="B36" s="29"/>
      <c r="C36" s="30"/>
      <c r="D36" s="30"/>
      <c r="E36" s="30"/>
      <c r="F36" s="30">
        <f>($B$10 *$G$35 + $B$11 *$G$36)</f>
        <v>119.94767717903022</v>
      </c>
      <c r="G36" s="30">
        <f>($B$10 *$H$35 + $B$11 *$H$36)</f>
        <v>114.64429691591218</v>
      </c>
      <c r="H36" s="30">
        <f>($B$10 *$I$35 + $B$11 *$I$36)</f>
        <v>109.57540091190364</v>
      </c>
      <c r="I36" s="30">
        <f>($B$10 *$J$35 + $B$11 *$J$36)</f>
        <v>104.73062165326012</v>
      </c>
      <c r="J36" s="30">
        <f>($B$10 *$K$35 + $B$11 *$K$36)</f>
        <v>100.10005001667085</v>
      </c>
      <c r="K36" s="30">
        <f>($B$10 *$L$35 + $B$11 *$L$36)</f>
        <v>95.674215001932026</v>
      </c>
      <c r="L36" s="31">
        <f>$L$20</f>
        <v>91.444064360721754</v>
      </c>
      <c r="M36" s="22"/>
      <c r="N36" s="22"/>
    </row>
    <row r="37" spans="1:14" x14ac:dyDescent="0.15">
      <c r="A37" s="22"/>
      <c r="B37" s="29"/>
      <c r="C37" s="30"/>
      <c r="D37" s="30"/>
      <c r="E37" s="30">
        <f>($B$10 *$F$36 + $B$11 *$F$37)</f>
        <v>114.75899855408869</v>
      </c>
      <c r="F37" s="30">
        <f>($B$10 *$G$36 + $B$11 *$G$37)</f>
        <v>109.68503111878312</v>
      </c>
      <c r="G37" s="30">
        <f>($B$10 *$H$36 + $B$11 *$H$37)</f>
        <v>104.83540465768365</v>
      </c>
      <c r="H37" s="30">
        <f>($B$10 *$I$36 + $B$11 *$I$37)</f>
        <v>100.20020013340002</v>
      </c>
      <c r="I37" s="30">
        <f>($B$10 *$J$36 + $B$11 *$J$37)</f>
        <v>95.76993706999113</v>
      </c>
      <c r="J37" s="30">
        <f>($B$10 *$K$36 + $B$11 *$K$37)</f>
        <v>91.535554162359119</v>
      </c>
      <c r="K37" s="30">
        <f>($B$10 *$L$36 + $B$11 *$L$37)</f>
        <v>87.488390742982006</v>
      </c>
      <c r="L37" s="31">
        <f>$L$21</f>
        <v>83.620169068078198</v>
      </c>
      <c r="M37" s="22"/>
      <c r="N37" s="22"/>
    </row>
    <row r="38" spans="1:14" x14ac:dyDescent="0.15">
      <c r="A38" s="22"/>
      <c r="B38" s="29"/>
      <c r="C38" s="30"/>
      <c r="D38" s="30">
        <f>($B$10 *$E$37 + $B$11 *$E$38)</f>
        <v>109.79477101070285</v>
      </c>
      <c r="E38" s="30">
        <f>($B$10 *$F$37 + $B$11 *$F$38)</f>
        <v>104.94029249752057</v>
      </c>
      <c r="F38" s="30">
        <f>($B$10 *$G$37 + $B$11 *$G$38)</f>
        <v>100.30045045033769</v>
      </c>
      <c r="G38" s="30">
        <f>($B$10 *$H$37 + $B$11 *$H$38)</f>
        <v>95.865754907995296</v>
      </c>
      <c r="H38" s="30">
        <f>($B$10 *$I$37 + $B$11 *$I$38)</f>
        <v>91.627135499558293</v>
      </c>
      <c r="I38" s="30">
        <f>($B$10 *$J$37 + $B$11 *$J$38)</f>
        <v>87.575922892505389</v>
      </c>
      <c r="J38" s="30">
        <f>($B$10 *$K$37 + $B$11 *$K$38)</f>
        <v>83.703831061170973</v>
      </c>
      <c r="K38" s="30">
        <f>($B$10 *$L$37 + $B$11 *$L$38)</f>
        <v>80.00294033917217</v>
      </c>
      <c r="L38" s="31">
        <f>$L$22</f>
        <v>76.465681221157752</v>
      </c>
      <c r="M38" s="22"/>
      <c r="N38" s="22"/>
    </row>
    <row r="39" spans="1:14" x14ac:dyDescent="0.15">
      <c r="A39" s="22"/>
      <c r="B39" s="29"/>
      <c r="C39" s="30">
        <f>($B$10 *$D$38 + $B$11 *$D$39)</f>
        <v>105.04528527765876</v>
      </c>
      <c r="D39" s="30">
        <f>($B$10 *$E$38 + $B$11 *$E$39)</f>
        <v>100.40080106773416</v>
      </c>
      <c r="E39" s="30">
        <f>($B$10 *$F$38 + $B$11 *$F$39)</f>
        <v>95.961668611762363</v>
      </c>
      <c r="F39" s="30">
        <f>($B$10 *$G$38 + $B$11 *$G$39)</f>
        <v>91.718808463900601</v>
      </c>
      <c r="G39" s="30">
        <f>($B$10 *$H$38 + $B$11 *$H$39)</f>
        <v>87.663542617958967</v>
      </c>
      <c r="H39" s="30">
        <f>($B$10 *$I$38 + $B$11 *$I$39)</f>
        <v>83.787576758101807</v>
      </c>
      <c r="I39" s="30">
        <f>($B$10 *$J$38 + $B$11 *$J$39)</f>
        <v>80.082983294318666</v>
      </c>
      <c r="J39" s="30">
        <f>($B$10 *$K$38 + $B$11 *$K$39)</f>
        <v>76.542185147966961</v>
      </c>
      <c r="K39" s="30">
        <f>($B$10 *$L$38 + $B$11 *$L$39)</f>
        <v>73.15794025422241</v>
      </c>
      <c r="L39" s="31">
        <f>$L$23</f>
        <v>69.923326749739815</v>
      </c>
      <c r="M39" s="22"/>
      <c r="N39" s="22"/>
    </row>
    <row r="40" spans="1:14" x14ac:dyDescent="0.15">
      <c r="A40" s="22"/>
      <c r="B40" s="35">
        <f>($B$10 *$C$39 + $B$11 *$C$40)</f>
        <v>100.50125208594008</v>
      </c>
      <c r="C40" s="30">
        <f>($B$10 *$D$39 + $B$11 *$D$40)</f>
        <v>96.057678277206037</v>
      </c>
      <c r="D40" s="30">
        <f>($B$10 *$E$39 + $B$11 *$E$40)</f>
        <v>91.810573147059017</v>
      </c>
      <c r="E40" s="30">
        <f>($B$10 *$F$39 + $B$11 *$F$40)</f>
        <v>87.751250006962465</v>
      </c>
      <c r="F40" s="30">
        <f>($B$10 *$G$39 + $B$11 *$G$40)</f>
        <v>83.871406242616359</v>
      </c>
      <c r="G40" s="30">
        <f>($B$10 *$H$39 + $B$11 *$H$40)</f>
        <v>80.163106332455129</v>
      </c>
      <c r="H40" s="30">
        <f>($B$10 *$I$39 + $B$11 *$I$40)</f>
        <v>76.618765616967721</v>
      </c>
      <c r="I40" s="30">
        <f>($B$10 *$J$39 + $B$11 *$J$40)</f>
        <v>73.23113478564278</v>
      </c>
      <c r="J40" s="30">
        <f>($B$10 *$K$39 + $B$11 *$K$40)</f>
        <v>69.993285049809714</v>
      </c>
      <c r="K40" s="30">
        <f>($B$10 *$L$39 + $B$11 *$L$40)</f>
        <v>66.898593971049507</v>
      </c>
      <c r="L40" s="31">
        <f>$L$24</f>
        <v>63.940731916189819</v>
      </c>
      <c r="M40" s="22"/>
      <c r="N40" s="22"/>
    </row>
    <row r="41" spans="1:14" x14ac:dyDescent="0.15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4" thickBot="1" x14ac:dyDescent="0.2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4" thickBot="1" x14ac:dyDescent="0.2"/>
    <row r="45" spans="1:14" ht="14" thickBot="1" x14ac:dyDescent="0.2">
      <c r="A45" s="22"/>
      <c r="B45" s="65" t="s">
        <v>17</v>
      </c>
      <c r="C45" s="66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 x14ac:dyDescent="0.15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0</v>
      </c>
      <c r="M46" s="22"/>
      <c r="N46" s="22"/>
    </row>
    <row r="47" spans="1:14" x14ac:dyDescent="0.15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0</v>
      </c>
      <c r="L47" s="31">
        <f t="shared" ref="L47:L56" si="0">MAX($J$2*( L31-$J$3), 0)</f>
        <v>0</v>
      </c>
      <c r="M47" s="22"/>
      <c r="N47" s="22"/>
    </row>
    <row r="48" spans="1:14" x14ac:dyDescent="0.15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0</v>
      </c>
      <c r="K48" s="30">
        <f>EXP(-$B$6 * $B$3/$B$5) * ($B$10 *$L$47 + $B$11 *$L$48)</f>
        <v>0</v>
      </c>
      <c r="L48" s="31">
        <f t="shared" si="0"/>
        <v>0</v>
      </c>
      <c r="M48" s="22"/>
      <c r="N48" s="22"/>
    </row>
    <row r="49" spans="1:14" x14ac:dyDescent="0.15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0</v>
      </c>
      <c r="J49" s="30">
        <f>EXP(-$B$6 * $B$3/$B$5) * ($B$10 *$K$48 + $B$11 *$K$49)</f>
        <v>0</v>
      </c>
      <c r="K49" s="30">
        <f>EXP(-$B$6 * $B$3/$B$5) * ($B$10 *$L$48 + $B$11 *$L$49)</f>
        <v>0</v>
      </c>
      <c r="L49" s="31">
        <f t="shared" si="0"/>
        <v>0</v>
      </c>
      <c r="M49" s="22"/>
      <c r="N49" s="22"/>
    </row>
    <row r="50" spans="1:14" x14ac:dyDescent="0.15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0</v>
      </c>
      <c r="I50" s="30">
        <f>EXP(-$B$6 * $B$3/$B$5) * ($B$10 *$J$49 + $B$11 *$J$50)</f>
        <v>0</v>
      </c>
      <c r="J50" s="30">
        <f>EXP(-$B$6 * $B$3/$B$5) * ($B$10 *$K$49 + $B$11 *$K$50)</f>
        <v>0</v>
      </c>
      <c r="K50" s="30">
        <f>EXP(-$B$6 * $B$3/$B$5) * ($B$10 *$L$49 + $B$11 *$L$50)</f>
        <v>0</v>
      </c>
      <c r="L50" s="31">
        <f t="shared" si="0"/>
        <v>0</v>
      </c>
      <c r="M50" s="22"/>
      <c r="N50" s="22"/>
    </row>
    <row r="51" spans="1:14" x14ac:dyDescent="0.15">
      <c r="A51" s="22"/>
      <c r="B51" s="29"/>
      <c r="C51" s="30"/>
      <c r="D51" s="30"/>
      <c r="E51" s="30"/>
      <c r="F51" s="30"/>
      <c r="G51" s="30">
        <f>EXP(-$B$6 * $B$3/$B$5) * ($B$10 *$H$50 + $B$11 *$H$51)</f>
        <v>0</v>
      </c>
      <c r="H51" s="30">
        <f>EXP(-$B$6 * $B$3/$B$5) * ($B$10 *$I$50 + $B$11 *$I$51)</f>
        <v>0</v>
      </c>
      <c r="I51" s="30">
        <f>EXP(-$B$6 * $B$3/$B$5) * ($B$10 *$J$50 + $B$11 *$J$51)</f>
        <v>0</v>
      </c>
      <c r="J51" s="30">
        <f>EXP(-$B$6 * $B$3/$B$5) * ($B$10 *$K$50 + $B$11 *$K$51)</f>
        <v>0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 x14ac:dyDescent="0.15">
      <c r="A52" s="22"/>
      <c r="B52" s="29"/>
      <c r="C52" s="30"/>
      <c r="D52" s="30"/>
      <c r="E52" s="30"/>
      <c r="F52" s="30">
        <f>EXP(-$B$6 * $B$3/$B$5) * ($B$10 *$G$51 + $B$11 *$G$52)</f>
        <v>0.14205164556275252</v>
      </c>
      <c r="G52" s="30">
        <f>EXP(-$B$6 * $B$3/$B$5) * ($B$10 *$H$51 + $B$11 *$H$52)</f>
        <v>0.28124391990441361</v>
      </c>
      <c r="H52" s="30">
        <f>EXP(-$B$6 * $B$3/$B$5) * ($B$10 *$I$51 + $B$11 *$I$52)</f>
        <v>0.55682665392466668</v>
      </c>
      <c r="I52" s="30">
        <f>EXP(-$B$6 * $B$3/$B$5) * ($B$10 *$J$51 + $B$11 *$J$52)</f>
        <v>1.1024448906355708</v>
      </c>
      <c r="J52" s="30">
        <f>EXP(-$B$6 * $B$3/$B$5) * ($B$10 *$K$51 + $B$11 *$K$52)</f>
        <v>2.182698562150557</v>
      </c>
      <c r="K52" s="30">
        <f>EXP(-$B$6 * $B$3/$B$5) * ($B$10 *$L$51 + $B$11 *$L$52)</f>
        <v>4.3214613752416362</v>
      </c>
      <c r="L52" s="31">
        <f t="shared" si="0"/>
        <v>8.5559356392782462</v>
      </c>
      <c r="M52" s="22"/>
      <c r="N52" s="22"/>
    </row>
    <row r="53" spans="1:14" x14ac:dyDescent="0.15">
      <c r="A53" s="22"/>
      <c r="B53" s="29"/>
      <c r="C53" s="30"/>
      <c r="D53" s="30"/>
      <c r="E53" s="30">
        <f>EXP(-$B$6 * $B$3/$B$5) * ($B$10 *$F$52 + $B$11 *$F$53)</f>
        <v>0.62848928092611778</v>
      </c>
      <c r="F53" s="30">
        <f>EXP(-$B$6 * $B$3/$B$5) * ($B$10 *$G$52 + $B$11 *$G$53)</f>
        <v>1.1054164697377467</v>
      </c>
      <c r="G53" s="30">
        <f>EXP(-$B$6 * $B$3/$B$5) * ($B$10 *$H$52 + $B$11 *$H$53)</f>
        <v>1.9135557194667938</v>
      </c>
      <c r="H53" s="30">
        <f>EXP(-$B$6 * $B$3/$B$5) * ($B$10 *$I$52 + $B$11 *$I$53)</f>
        <v>3.2440769491532704</v>
      </c>
      <c r="I53" s="30">
        <f>EXP(-$B$6 * $B$3/$B$5) * ($B$10 *$J$52 + $B$11 *$J$53)</f>
        <v>5.3447814977851289</v>
      </c>
      <c r="J53" s="30">
        <f>EXP(-$B$6 * $B$3/$B$5) * ($B$10 *$K$52 + $B$11 *$K$53)</f>
        <v>8.4475338635769912</v>
      </c>
      <c r="K53" s="30">
        <f>EXP(-$B$6 * $B$3/$B$5) * ($B$10 *$L$52 + $B$11 *$L$53)</f>
        <v>12.499103901480861</v>
      </c>
      <c r="L53" s="31">
        <f t="shared" si="0"/>
        <v>16.379830931921802</v>
      </c>
      <c r="M53" s="22"/>
      <c r="N53" s="22"/>
    </row>
    <row r="54" spans="1:14" x14ac:dyDescent="0.15">
      <c r="A54" s="22"/>
      <c r="B54" s="29"/>
      <c r="C54" s="30"/>
      <c r="D54" s="30">
        <f>EXP(-$B$6 * $B$3/$B$5) * ($B$10 *$E$53 + $B$11 *$E$54)</f>
        <v>1.6127381817862809</v>
      </c>
      <c r="E54" s="30">
        <f>EXP(-$B$6 * $B$3/$B$5) * ($B$10 *$F$53 + $B$11 *$F$54)</f>
        <v>2.5784187476439344</v>
      </c>
      <c r="F54" s="30">
        <f>EXP(-$B$6 * $B$3/$B$5) * ($B$10 *$G$53 + $B$11 *$G$54)</f>
        <v>4.0239583091588775</v>
      </c>
      <c r="G54" s="30">
        <f>EXP(-$B$6 * $B$3/$B$5) * ($B$10 *$H$53 + $B$11 *$H$54)</f>
        <v>6.0956671019935502</v>
      </c>
      <c r="H54" s="30">
        <f>EXP(-$B$6 * $B$3/$B$5) * ($B$10 *$I$53 + $B$11 *$I$54)</f>
        <v>8.8962769658869991</v>
      </c>
      <c r="I54" s="30">
        <f>EXP(-$B$6 * $B$3/$B$5) * ($B$10 *$J$53 + $B$11 *$J$54)</f>
        <v>12.386860728652685</v>
      </c>
      <c r="J54" s="30">
        <f>EXP(-$B$6 * $B$3/$B$5) * ($B$10 *$K$53 + $B$11 *$K$54)</f>
        <v>16.263609171571886</v>
      </c>
      <c r="K54" s="30">
        <f>EXP(-$B$6 * $B$3/$B$5) * ($B$10 *$L$53 + $B$11 *$L$54)</f>
        <v>19.977072596364824</v>
      </c>
      <c r="L54" s="31">
        <f t="shared" si="0"/>
        <v>23.534318778842248</v>
      </c>
      <c r="M54" s="22"/>
      <c r="N54" s="22"/>
    </row>
    <row r="55" spans="1:14" x14ac:dyDescent="0.15">
      <c r="A55" s="22"/>
      <c r="B55" s="29"/>
      <c r="C55" s="30">
        <f>EXP(-$B$6 * $B$3/$B$5) * ($B$10 *$D$54 + $B$11 *$D$55)</f>
        <v>3.1515262467941501</v>
      </c>
      <c r="D55" s="30">
        <f>EXP(-$B$6 * $B$3/$B$5) * ($B$10 *$E$54 + $B$11 *$E$55)</f>
        <v>4.6625313164300906</v>
      </c>
      <c r="E55" s="30">
        <f>EXP(-$B$6 * $B$3/$B$5) * ($B$10 *$F$54 + $B$11 *$F$55)</f>
        <v>6.7097949677278894</v>
      </c>
      <c r="F55" s="30">
        <f>EXP(-$B$6 * $B$3/$B$5) * ($B$10 *$G$54 + $B$11 *$G$55)</f>
        <v>9.3495310979992254</v>
      </c>
      <c r="G55" s="30">
        <f>EXP(-$B$6 * $B$3/$B$5) * ($B$10 *$H$54 + $B$11 *$H$55)</f>
        <v>12.549960354644755</v>
      </c>
      <c r="H55" s="30">
        <f>EXP(-$B$6 * $B$3/$B$5) * ($B$10 *$I$54 + $B$11 *$I$55)</f>
        <v>16.147703075556844</v>
      </c>
      <c r="I55" s="30">
        <f>EXP(-$B$6 * $B$3/$B$5) * ($B$10 *$J$54 + $B$11 *$J$55)</f>
        <v>19.857355192580084</v>
      </c>
      <c r="J55" s="30">
        <f>EXP(-$B$6 * $B$3/$B$5) * ($B$10 *$K$54 + $B$11 *$K$55)</f>
        <v>23.410946106697217</v>
      </c>
      <c r="K55" s="30">
        <f>EXP(-$B$6 * $B$3/$B$5) * ($B$10 *$L$54 + $B$11 *$L$55)</f>
        <v>26.815231102589127</v>
      </c>
      <c r="L55" s="31">
        <f t="shared" si="0"/>
        <v>30.076673250260185</v>
      </c>
      <c r="M55" s="22"/>
      <c r="N55" s="22"/>
    </row>
    <row r="56" spans="1:14" x14ac:dyDescent="0.15">
      <c r="A56" s="22"/>
      <c r="B56" s="25">
        <f>EXP(-$B$6 * $B$3/$B$5) * ($B$10 *$C$55 + $B$11 *$C$56)</f>
        <v>5.2124490701033386</v>
      </c>
      <c r="C56" s="30">
        <f>EXP(-$B$6 * $B$3/$B$5) * ($B$10 *$D$55 + $B$11 *$D$56)</f>
        <v>7.2381238762508477</v>
      </c>
      <c r="D56" s="30">
        <f>EXP(-$B$6 * $B$3/$B$5) * ($B$10 *$E$55 + $B$11 *$E$56)</f>
        <v>9.7710986820110239</v>
      </c>
      <c r="E56" s="30">
        <f>EXP(-$B$6 * $B$3/$B$5) * ($B$10 *$F$55 + $B$11 *$F$56)</f>
        <v>12.784059007493271</v>
      </c>
      <c r="F56" s="30">
        <f>EXP(-$B$6 * $B$3/$B$5) * ($B$10 *$G$55 + $B$11 *$G$56)</f>
        <v>16.167954586964477</v>
      </c>
      <c r="G56" s="30">
        <f>EXP(-$B$6 * $B$3/$B$5) * ($B$10 *$H$55 + $B$11 *$H$56)</f>
        <v>19.737956747625475</v>
      </c>
      <c r="H56" s="30">
        <f>EXP(-$B$6 * $B$3/$B$5) * ($B$10 *$I$55 + $B$11 *$I$56)</f>
        <v>23.287896246224594</v>
      </c>
      <c r="I56" s="30">
        <f>EXP(-$B$6 * $B$3/$B$5) * ($B$10 *$J$55 + $B$11 *$J$56)</f>
        <v>26.688678958238015</v>
      </c>
      <c r="J56" s="30">
        <f>EXP(-$B$6 * $B$3/$B$5) * ($B$10 *$K$55 + $B$11 *$K$56)</f>
        <v>29.946761493730861</v>
      </c>
      <c r="K56" s="30">
        <f>EXP(-$B$6 * $B$3/$B$5) * ($B$10 *$L$55 + $B$11 *$L$56)</f>
        <v>33.068321168109051</v>
      </c>
      <c r="L56" s="31">
        <f t="shared" si="0"/>
        <v>36.059268083810181</v>
      </c>
      <c r="M56" s="22"/>
      <c r="N56" s="22"/>
    </row>
    <row r="57" spans="1:14" x14ac:dyDescent="0.15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4" thickBot="1" x14ac:dyDescent="0.2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X46"/>
  <sheetViews>
    <sheetView showGridLines="0" workbookViewId="0">
      <selection activeCell="K40" sqref="K40"/>
    </sheetView>
  </sheetViews>
  <sheetFormatPr baseColWidth="10" defaultColWidth="8.83203125" defaultRowHeight="13" x14ac:dyDescent="0.15"/>
  <cols>
    <col min="1" max="5" width="8.83203125" style="49"/>
    <col min="6" max="6" width="9.33203125" style="49" customWidth="1"/>
    <col min="7" max="7" width="8.33203125" style="49" bestFit="1" customWidth="1"/>
    <col min="8" max="262" width="8.83203125" style="49"/>
    <col min="263" max="263" width="8.33203125" style="49" bestFit="1" customWidth="1"/>
    <col min="264" max="518" width="8.83203125" style="49"/>
    <col min="519" max="519" width="8.33203125" style="49" bestFit="1" customWidth="1"/>
    <col min="520" max="774" width="8.83203125" style="49"/>
    <col min="775" max="775" width="8.33203125" style="49" bestFit="1" customWidth="1"/>
    <col min="776" max="1030" width="8.83203125" style="49"/>
    <col min="1031" max="1031" width="8.33203125" style="49" bestFit="1" customWidth="1"/>
    <col min="1032" max="1286" width="8.83203125" style="49"/>
    <col min="1287" max="1287" width="8.33203125" style="49" bestFit="1" customWidth="1"/>
    <col min="1288" max="1542" width="8.83203125" style="49"/>
    <col min="1543" max="1543" width="8.33203125" style="49" bestFit="1" customWidth="1"/>
    <col min="1544" max="1798" width="8.83203125" style="49"/>
    <col min="1799" max="1799" width="8.33203125" style="49" bestFit="1" customWidth="1"/>
    <col min="1800" max="2054" width="8.83203125" style="49"/>
    <col min="2055" max="2055" width="8.33203125" style="49" bestFit="1" customWidth="1"/>
    <col min="2056" max="2310" width="8.83203125" style="49"/>
    <col min="2311" max="2311" width="8.33203125" style="49" bestFit="1" customWidth="1"/>
    <col min="2312" max="2566" width="8.83203125" style="49"/>
    <col min="2567" max="2567" width="8.33203125" style="49" bestFit="1" customWidth="1"/>
    <col min="2568" max="2822" width="8.83203125" style="49"/>
    <col min="2823" max="2823" width="8.33203125" style="49" bestFit="1" customWidth="1"/>
    <col min="2824" max="3078" width="8.83203125" style="49"/>
    <col min="3079" max="3079" width="8.33203125" style="49" bestFit="1" customWidth="1"/>
    <col min="3080" max="3334" width="8.83203125" style="49"/>
    <col min="3335" max="3335" width="8.33203125" style="49" bestFit="1" customWidth="1"/>
    <col min="3336" max="3590" width="8.83203125" style="49"/>
    <col min="3591" max="3591" width="8.33203125" style="49" bestFit="1" customWidth="1"/>
    <col min="3592" max="3846" width="8.83203125" style="49"/>
    <col min="3847" max="3847" width="8.33203125" style="49" bestFit="1" customWidth="1"/>
    <col min="3848" max="4102" width="8.83203125" style="49"/>
    <col min="4103" max="4103" width="8.33203125" style="49" bestFit="1" customWidth="1"/>
    <col min="4104" max="4358" width="8.83203125" style="49"/>
    <col min="4359" max="4359" width="8.33203125" style="49" bestFit="1" customWidth="1"/>
    <col min="4360" max="4614" width="8.83203125" style="49"/>
    <col min="4615" max="4615" width="8.33203125" style="49" bestFit="1" customWidth="1"/>
    <col min="4616" max="4870" width="8.83203125" style="49"/>
    <col min="4871" max="4871" width="8.33203125" style="49" bestFit="1" customWidth="1"/>
    <col min="4872" max="5126" width="8.83203125" style="49"/>
    <col min="5127" max="5127" width="8.33203125" style="49" bestFit="1" customWidth="1"/>
    <col min="5128" max="5382" width="8.83203125" style="49"/>
    <col min="5383" max="5383" width="8.33203125" style="49" bestFit="1" customWidth="1"/>
    <col min="5384" max="5638" width="8.83203125" style="49"/>
    <col min="5639" max="5639" width="8.33203125" style="49" bestFit="1" customWidth="1"/>
    <col min="5640" max="5894" width="8.83203125" style="49"/>
    <col min="5895" max="5895" width="8.33203125" style="49" bestFit="1" customWidth="1"/>
    <col min="5896" max="6150" width="8.83203125" style="49"/>
    <col min="6151" max="6151" width="8.33203125" style="49" bestFit="1" customWidth="1"/>
    <col min="6152" max="6406" width="8.83203125" style="49"/>
    <col min="6407" max="6407" width="8.33203125" style="49" bestFit="1" customWidth="1"/>
    <col min="6408" max="6662" width="8.83203125" style="49"/>
    <col min="6663" max="6663" width="8.33203125" style="49" bestFit="1" customWidth="1"/>
    <col min="6664" max="6918" width="8.83203125" style="49"/>
    <col min="6919" max="6919" width="8.33203125" style="49" bestFit="1" customWidth="1"/>
    <col min="6920" max="7174" width="8.83203125" style="49"/>
    <col min="7175" max="7175" width="8.33203125" style="49" bestFit="1" customWidth="1"/>
    <col min="7176" max="7430" width="8.83203125" style="49"/>
    <col min="7431" max="7431" width="8.33203125" style="49" bestFit="1" customWidth="1"/>
    <col min="7432" max="7686" width="8.83203125" style="49"/>
    <col min="7687" max="7687" width="8.33203125" style="49" bestFit="1" customWidth="1"/>
    <col min="7688" max="7942" width="8.83203125" style="49"/>
    <col min="7943" max="7943" width="8.33203125" style="49" bestFit="1" customWidth="1"/>
    <col min="7944" max="8198" width="8.83203125" style="49"/>
    <col min="8199" max="8199" width="8.33203125" style="49" bestFit="1" customWidth="1"/>
    <col min="8200" max="8454" width="8.83203125" style="49"/>
    <col min="8455" max="8455" width="8.33203125" style="49" bestFit="1" customWidth="1"/>
    <col min="8456" max="8710" width="8.83203125" style="49"/>
    <col min="8711" max="8711" width="8.33203125" style="49" bestFit="1" customWidth="1"/>
    <col min="8712" max="8966" width="8.83203125" style="49"/>
    <col min="8967" max="8967" width="8.33203125" style="49" bestFit="1" customWidth="1"/>
    <col min="8968" max="9222" width="8.83203125" style="49"/>
    <col min="9223" max="9223" width="8.33203125" style="49" bestFit="1" customWidth="1"/>
    <col min="9224" max="9478" width="8.83203125" style="49"/>
    <col min="9479" max="9479" width="8.33203125" style="49" bestFit="1" customWidth="1"/>
    <col min="9480" max="9734" width="8.83203125" style="49"/>
    <col min="9735" max="9735" width="8.33203125" style="49" bestFit="1" customWidth="1"/>
    <col min="9736" max="9990" width="8.83203125" style="49"/>
    <col min="9991" max="9991" width="8.33203125" style="49" bestFit="1" customWidth="1"/>
    <col min="9992" max="10246" width="8.83203125" style="49"/>
    <col min="10247" max="10247" width="8.33203125" style="49" bestFit="1" customWidth="1"/>
    <col min="10248" max="10502" width="8.83203125" style="49"/>
    <col min="10503" max="10503" width="8.33203125" style="49" bestFit="1" customWidth="1"/>
    <col min="10504" max="10758" width="8.83203125" style="49"/>
    <col min="10759" max="10759" width="8.33203125" style="49" bestFit="1" customWidth="1"/>
    <col min="10760" max="11014" width="8.83203125" style="49"/>
    <col min="11015" max="11015" width="8.33203125" style="49" bestFit="1" customWidth="1"/>
    <col min="11016" max="11270" width="8.83203125" style="49"/>
    <col min="11271" max="11271" width="8.33203125" style="49" bestFit="1" customWidth="1"/>
    <col min="11272" max="11526" width="8.83203125" style="49"/>
    <col min="11527" max="11527" width="8.33203125" style="49" bestFit="1" customWidth="1"/>
    <col min="11528" max="11782" width="8.83203125" style="49"/>
    <col min="11783" max="11783" width="8.33203125" style="49" bestFit="1" customWidth="1"/>
    <col min="11784" max="12038" width="8.83203125" style="49"/>
    <col min="12039" max="12039" width="8.33203125" style="49" bestFit="1" customWidth="1"/>
    <col min="12040" max="12294" width="8.83203125" style="49"/>
    <col min="12295" max="12295" width="8.33203125" style="49" bestFit="1" customWidth="1"/>
    <col min="12296" max="12550" width="8.83203125" style="49"/>
    <col min="12551" max="12551" width="8.33203125" style="49" bestFit="1" customWidth="1"/>
    <col min="12552" max="12806" width="8.83203125" style="49"/>
    <col min="12807" max="12807" width="8.33203125" style="49" bestFit="1" customWidth="1"/>
    <col min="12808" max="13062" width="8.83203125" style="49"/>
    <col min="13063" max="13063" width="8.33203125" style="49" bestFit="1" customWidth="1"/>
    <col min="13064" max="13318" width="8.83203125" style="49"/>
    <col min="13319" max="13319" width="8.33203125" style="49" bestFit="1" customWidth="1"/>
    <col min="13320" max="13574" width="8.83203125" style="49"/>
    <col min="13575" max="13575" width="8.33203125" style="49" bestFit="1" customWidth="1"/>
    <col min="13576" max="13830" width="8.83203125" style="49"/>
    <col min="13831" max="13831" width="8.33203125" style="49" bestFit="1" customWidth="1"/>
    <col min="13832" max="14086" width="8.83203125" style="49"/>
    <col min="14087" max="14087" width="8.33203125" style="49" bestFit="1" customWidth="1"/>
    <col min="14088" max="14342" width="8.83203125" style="49"/>
    <col min="14343" max="14343" width="8.33203125" style="49" bestFit="1" customWidth="1"/>
    <col min="14344" max="14598" width="8.83203125" style="49"/>
    <col min="14599" max="14599" width="8.33203125" style="49" bestFit="1" customWidth="1"/>
    <col min="14600" max="14854" width="8.83203125" style="49"/>
    <col min="14855" max="14855" width="8.33203125" style="49" bestFit="1" customWidth="1"/>
    <col min="14856" max="15110" width="8.83203125" style="49"/>
    <col min="15111" max="15111" width="8.33203125" style="49" bestFit="1" customWidth="1"/>
    <col min="15112" max="15366" width="8.83203125" style="49"/>
    <col min="15367" max="15367" width="8.33203125" style="49" bestFit="1" customWidth="1"/>
    <col min="15368" max="15622" width="8.83203125" style="49"/>
    <col min="15623" max="15623" width="8.33203125" style="49" bestFit="1" customWidth="1"/>
    <col min="15624" max="15878" width="8.83203125" style="49"/>
    <col min="15879" max="15879" width="8.33203125" style="49" bestFit="1" customWidth="1"/>
    <col min="15880" max="16134" width="8.83203125" style="49"/>
    <col min="16135" max="16135" width="8.33203125" style="49" bestFit="1" customWidth="1"/>
    <col min="16136" max="16384" width="8.83203125" style="49"/>
  </cols>
  <sheetData>
    <row r="1" spans="1:23" ht="14" thickBot="1" x14ac:dyDescent="0.2">
      <c r="A1" s="61" t="s">
        <v>0</v>
      </c>
      <c r="B1" s="62"/>
      <c r="F1" s="61" t="s">
        <v>1</v>
      </c>
      <c r="G1" s="62"/>
    </row>
    <row r="2" spans="1:23" x14ac:dyDescent="0.15">
      <c r="A2" s="3" t="s">
        <v>2</v>
      </c>
      <c r="B2" s="4">
        <v>100</v>
      </c>
      <c r="F2" s="50" t="s">
        <v>20</v>
      </c>
      <c r="G2" s="42">
        <v>1</v>
      </c>
    </row>
    <row r="3" spans="1:23" ht="16" thickBot="1" x14ac:dyDescent="0.25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">
      <c r="A4" s="7" t="s">
        <v>5</v>
      </c>
      <c r="B4" s="10">
        <v>0.23438000000000001</v>
      </c>
    </row>
    <row r="5" spans="1:23" x14ac:dyDescent="0.15">
      <c r="A5" s="7" t="s">
        <v>6</v>
      </c>
      <c r="B5" s="11">
        <v>10</v>
      </c>
    </row>
    <row r="6" spans="1:23" ht="15" x14ac:dyDescent="0.2">
      <c r="A6" s="7" t="s">
        <v>23</v>
      </c>
      <c r="B6" s="46">
        <v>0.11941</v>
      </c>
    </row>
    <row r="7" spans="1:23" ht="16" thickBot="1" x14ac:dyDescent="0.25">
      <c r="A7" s="47" t="s">
        <v>24</v>
      </c>
      <c r="B7" s="48">
        <v>0</v>
      </c>
    </row>
    <row r="8" spans="1:23" x14ac:dyDescent="0.15">
      <c r="A8" s="13" t="s">
        <v>8</v>
      </c>
      <c r="B8" s="14">
        <f>EXP(B4*SQRT(B3/B5))</f>
        <v>1.0377539683101453</v>
      </c>
    </row>
    <row r="9" spans="1:23" x14ac:dyDescent="0.15">
      <c r="A9" s="15" t="s">
        <v>9</v>
      </c>
      <c r="B9" s="16">
        <f>1/B8</f>
        <v>0.9636195384811459</v>
      </c>
    </row>
    <row r="10" spans="1:23" x14ac:dyDescent="0.15">
      <c r="A10" s="15" t="s">
        <v>10</v>
      </c>
      <c r="B10" s="18">
        <f>(EXP((B6 - B7) * B3/B5) - B9) / (B8 - B9)</f>
        <v>0.53106460663027533</v>
      </c>
    </row>
    <row r="11" spans="1:23" ht="14" thickBot="1" x14ac:dyDescent="0.2">
      <c r="A11" s="19" t="s">
        <v>11</v>
      </c>
      <c r="B11" s="20">
        <f>1 - B10</f>
        <v>0.46893539336972467</v>
      </c>
    </row>
    <row r="14" spans="1:23" x14ac:dyDescent="0.15">
      <c r="A14" s="53" t="s">
        <v>33</v>
      </c>
      <c r="M14" s="53"/>
    </row>
    <row r="15" spans="1:23" x14ac:dyDescent="0.15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15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15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15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15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15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15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15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15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15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15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15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15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15">
      <c r="A29" s="58" t="s">
        <v>34</v>
      </c>
    </row>
    <row r="30" spans="1:24" x14ac:dyDescent="0.15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15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15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15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15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15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15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15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15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15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15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15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15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8"/>
  <sheetViews>
    <sheetView showGridLines="0" tabSelected="1" topLeftCell="A175" workbookViewId="0">
      <selection activeCell="G3" sqref="G3"/>
    </sheetView>
  </sheetViews>
  <sheetFormatPr baseColWidth="10" defaultColWidth="8.83203125" defaultRowHeight="13" x14ac:dyDescent="0.15"/>
  <cols>
    <col min="1" max="5" width="8.83203125" style="49"/>
    <col min="6" max="6" width="9.33203125" style="49" customWidth="1"/>
    <col min="7" max="7" width="8.33203125" style="49" bestFit="1" customWidth="1"/>
    <col min="8" max="262" width="8.83203125" style="49"/>
    <col min="263" max="263" width="8.33203125" style="49" bestFit="1" customWidth="1"/>
    <col min="264" max="518" width="8.83203125" style="49"/>
    <col min="519" max="519" width="8.33203125" style="49" bestFit="1" customWidth="1"/>
    <col min="520" max="774" width="8.83203125" style="49"/>
    <col min="775" max="775" width="8.33203125" style="49" bestFit="1" customWidth="1"/>
    <col min="776" max="1030" width="8.83203125" style="49"/>
    <col min="1031" max="1031" width="8.33203125" style="49" bestFit="1" customWidth="1"/>
    <col min="1032" max="1286" width="8.83203125" style="49"/>
    <col min="1287" max="1287" width="8.33203125" style="49" bestFit="1" customWidth="1"/>
    <col min="1288" max="1542" width="8.83203125" style="49"/>
    <col min="1543" max="1543" width="8.33203125" style="49" bestFit="1" customWidth="1"/>
    <col min="1544" max="1798" width="8.83203125" style="49"/>
    <col min="1799" max="1799" width="8.33203125" style="49" bestFit="1" customWidth="1"/>
    <col min="1800" max="2054" width="8.83203125" style="49"/>
    <col min="2055" max="2055" width="8.33203125" style="49" bestFit="1" customWidth="1"/>
    <col min="2056" max="2310" width="8.83203125" style="49"/>
    <col min="2311" max="2311" width="8.33203125" style="49" bestFit="1" customWidth="1"/>
    <col min="2312" max="2566" width="8.83203125" style="49"/>
    <col min="2567" max="2567" width="8.33203125" style="49" bestFit="1" customWidth="1"/>
    <col min="2568" max="2822" width="8.83203125" style="49"/>
    <col min="2823" max="2823" width="8.33203125" style="49" bestFit="1" customWidth="1"/>
    <col min="2824" max="3078" width="8.83203125" style="49"/>
    <col min="3079" max="3079" width="8.33203125" style="49" bestFit="1" customWidth="1"/>
    <col min="3080" max="3334" width="8.83203125" style="49"/>
    <col min="3335" max="3335" width="8.33203125" style="49" bestFit="1" customWidth="1"/>
    <col min="3336" max="3590" width="8.83203125" style="49"/>
    <col min="3591" max="3591" width="8.33203125" style="49" bestFit="1" customWidth="1"/>
    <col min="3592" max="3846" width="8.83203125" style="49"/>
    <col min="3847" max="3847" width="8.33203125" style="49" bestFit="1" customWidth="1"/>
    <col min="3848" max="4102" width="8.83203125" style="49"/>
    <col min="4103" max="4103" width="8.33203125" style="49" bestFit="1" customWidth="1"/>
    <col min="4104" max="4358" width="8.83203125" style="49"/>
    <col min="4359" max="4359" width="8.33203125" style="49" bestFit="1" customWidth="1"/>
    <col min="4360" max="4614" width="8.83203125" style="49"/>
    <col min="4615" max="4615" width="8.33203125" style="49" bestFit="1" customWidth="1"/>
    <col min="4616" max="4870" width="8.83203125" style="49"/>
    <col min="4871" max="4871" width="8.33203125" style="49" bestFit="1" customWidth="1"/>
    <col min="4872" max="5126" width="8.83203125" style="49"/>
    <col min="5127" max="5127" width="8.33203125" style="49" bestFit="1" customWidth="1"/>
    <col min="5128" max="5382" width="8.83203125" style="49"/>
    <col min="5383" max="5383" width="8.33203125" style="49" bestFit="1" customWidth="1"/>
    <col min="5384" max="5638" width="8.83203125" style="49"/>
    <col min="5639" max="5639" width="8.33203125" style="49" bestFit="1" customWidth="1"/>
    <col min="5640" max="5894" width="8.83203125" style="49"/>
    <col min="5895" max="5895" width="8.33203125" style="49" bestFit="1" customWidth="1"/>
    <col min="5896" max="6150" width="8.83203125" style="49"/>
    <col min="6151" max="6151" width="8.33203125" style="49" bestFit="1" customWidth="1"/>
    <col min="6152" max="6406" width="8.83203125" style="49"/>
    <col min="6407" max="6407" width="8.33203125" style="49" bestFit="1" customWidth="1"/>
    <col min="6408" max="6662" width="8.83203125" style="49"/>
    <col min="6663" max="6663" width="8.33203125" style="49" bestFit="1" customWidth="1"/>
    <col min="6664" max="6918" width="8.83203125" style="49"/>
    <col min="6919" max="6919" width="8.33203125" style="49" bestFit="1" customWidth="1"/>
    <col min="6920" max="7174" width="8.83203125" style="49"/>
    <col min="7175" max="7175" width="8.33203125" style="49" bestFit="1" customWidth="1"/>
    <col min="7176" max="7430" width="8.83203125" style="49"/>
    <col min="7431" max="7431" width="8.33203125" style="49" bestFit="1" customWidth="1"/>
    <col min="7432" max="7686" width="8.83203125" style="49"/>
    <col min="7687" max="7687" width="8.33203125" style="49" bestFit="1" customWidth="1"/>
    <col min="7688" max="7942" width="8.83203125" style="49"/>
    <col min="7943" max="7943" width="8.33203125" style="49" bestFit="1" customWidth="1"/>
    <col min="7944" max="8198" width="8.83203125" style="49"/>
    <col min="8199" max="8199" width="8.33203125" style="49" bestFit="1" customWidth="1"/>
    <col min="8200" max="8454" width="8.83203125" style="49"/>
    <col min="8455" max="8455" width="8.33203125" style="49" bestFit="1" customWidth="1"/>
    <col min="8456" max="8710" width="8.83203125" style="49"/>
    <col min="8711" max="8711" width="8.33203125" style="49" bestFit="1" customWidth="1"/>
    <col min="8712" max="8966" width="8.83203125" style="49"/>
    <col min="8967" max="8967" width="8.33203125" style="49" bestFit="1" customWidth="1"/>
    <col min="8968" max="9222" width="8.83203125" style="49"/>
    <col min="9223" max="9223" width="8.33203125" style="49" bestFit="1" customWidth="1"/>
    <col min="9224" max="9478" width="8.83203125" style="49"/>
    <col min="9479" max="9479" width="8.33203125" style="49" bestFit="1" customWidth="1"/>
    <col min="9480" max="9734" width="8.83203125" style="49"/>
    <col min="9735" max="9735" width="8.33203125" style="49" bestFit="1" customWidth="1"/>
    <col min="9736" max="9990" width="8.83203125" style="49"/>
    <col min="9991" max="9991" width="8.33203125" style="49" bestFit="1" customWidth="1"/>
    <col min="9992" max="10246" width="8.83203125" style="49"/>
    <col min="10247" max="10247" width="8.33203125" style="49" bestFit="1" customWidth="1"/>
    <col min="10248" max="10502" width="8.83203125" style="49"/>
    <col min="10503" max="10503" width="8.33203125" style="49" bestFit="1" customWidth="1"/>
    <col min="10504" max="10758" width="8.83203125" style="49"/>
    <col min="10759" max="10759" width="8.33203125" style="49" bestFit="1" customWidth="1"/>
    <col min="10760" max="11014" width="8.83203125" style="49"/>
    <col min="11015" max="11015" width="8.33203125" style="49" bestFit="1" customWidth="1"/>
    <col min="11016" max="11270" width="8.83203125" style="49"/>
    <col min="11271" max="11271" width="8.33203125" style="49" bestFit="1" customWidth="1"/>
    <col min="11272" max="11526" width="8.83203125" style="49"/>
    <col min="11527" max="11527" width="8.33203125" style="49" bestFit="1" customWidth="1"/>
    <col min="11528" max="11782" width="8.83203125" style="49"/>
    <col min="11783" max="11783" width="8.33203125" style="49" bestFit="1" customWidth="1"/>
    <col min="11784" max="12038" width="8.83203125" style="49"/>
    <col min="12039" max="12039" width="8.33203125" style="49" bestFit="1" customWidth="1"/>
    <col min="12040" max="12294" width="8.83203125" style="49"/>
    <col min="12295" max="12295" width="8.33203125" style="49" bestFit="1" customWidth="1"/>
    <col min="12296" max="12550" width="8.83203125" style="49"/>
    <col min="12551" max="12551" width="8.33203125" style="49" bestFit="1" customWidth="1"/>
    <col min="12552" max="12806" width="8.83203125" style="49"/>
    <col min="12807" max="12807" width="8.33203125" style="49" bestFit="1" customWidth="1"/>
    <col min="12808" max="13062" width="8.83203125" style="49"/>
    <col min="13063" max="13063" width="8.33203125" style="49" bestFit="1" customWidth="1"/>
    <col min="13064" max="13318" width="8.83203125" style="49"/>
    <col min="13319" max="13319" width="8.33203125" style="49" bestFit="1" customWidth="1"/>
    <col min="13320" max="13574" width="8.83203125" style="49"/>
    <col min="13575" max="13575" width="8.33203125" style="49" bestFit="1" customWidth="1"/>
    <col min="13576" max="13830" width="8.83203125" style="49"/>
    <col min="13831" max="13831" width="8.33203125" style="49" bestFit="1" customWidth="1"/>
    <col min="13832" max="14086" width="8.83203125" style="49"/>
    <col min="14087" max="14087" width="8.33203125" style="49" bestFit="1" customWidth="1"/>
    <col min="14088" max="14342" width="8.83203125" style="49"/>
    <col min="14343" max="14343" width="8.33203125" style="49" bestFit="1" customWidth="1"/>
    <col min="14344" max="14598" width="8.83203125" style="49"/>
    <col min="14599" max="14599" width="8.33203125" style="49" bestFit="1" customWidth="1"/>
    <col min="14600" max="14854" width="8.83203125" style="49"/>
    <col min="14855" max="14855" width="8.33203125" style="49" bestFit="1" customWidth="1"/>
    <col min="14856" max="15110" width="8.83203125" style="49"/>
    <col min="15111" max="15111" width="8.33203125" style="49" bestFit="1" customWidth="1"/>
    <col min="15112" max="15366" width="8.83203125" style="49"/>
    <col min="15367" max="15367" width="8.33203125" style="49" bestFit="1" customWidth="1"/>
    <col min="15368" max="15622" width="8.83203125" style="49"/>
    <col min="15623" max="15623" width="8.33203125" style="49" bestFit="1" customWidth="1"/>
    <col min="15624" max="15878" width="8.83203125" style="49"/>
    <col min="15879" max="15879" width="8.33203125" style="49" bestFit="1" customWidth="1"/>
    <col min="15880" max="16134" width="8.83203125" style="49"/>
    <col min="16135" max="16135" width="8.33203125" style="49" bestFit="1" customWidth="1"/>
    <col min="16136" max="16384" width="8.83203125" style="49"/>
  </cols>
  <sheetData>
    <row r="1" spans="1:23" ht="14" thickBot="1" x14ac:dyDescent="0.2">
      <c r="A1" s="61" t="s">
        <v>0</v>
      </c>
      <c r="B1" s="62"/>
      <c r="C1" s="49" t="s">
        <v>42</v>
      </c>
      <c r="F1" s="61" t="s">
        <v>1</v>
      </c>
      <c r="G1" s="62"/>
    </row>
    <row r="2" spans="1:23" x14ac:dyDescent="0.15">
      <c r="A2" s="3" t="s">
        <v>2</v>
      </c>
      <c r="B2" s="4">
        <v>100</v>
      </c>
      <c r="F2" s="50" t="s">
        <v>20</v>
      </c>
      <c r="G2" s="42">
        <v>-1</v>
      </c>
    </row>
    <row r="3" spans="1:23" ht="16" thickBot="1" x14ac:dyDescent="0.25">
      <c r="A3" s="7" t="s">
        <v>4</v>
      </c>
      <c r="B3" s="8">
        <v>0.25</v>
      </c>
      <c r="F3" s="51" t="s">
        <v>3</v>
      </c>
      <c r="G3" s="52">
        <v>110</v>
      </c>
    </row>
    <row r="4" spans="1:23" ht="15" x14ac:dyDescent="0.2">
      <c r="A4" s="7" t="s">
        <v>5</v>
      </c>
      <c r="B4" s="10">
        <v>0.3</v>
      </c>
    </row>
    <row r="5" spans="1:23" x14ac:dyDescent="0.15">
      <c r="A5" s="7" t="s">
        <v>6</v>
      </c>
      <c r="B5" s="11">
        <v>15</v>
      </c>
      <c r="C5" s="49">
        <v>10</v>
      </c>
    </row>
    <row r="6" spans="1:23" ht="15" x14ac:dyDescent="0.2">
      <c r="A6" s="7" t="s">
        <v>23</v>
      </c>
      <c r="B6" s="46">
        <v>0.02</v>
      </c>
    </row>
    <row r="7" spans="1:23" ht="16" thickBot="1" x14ac:dyDescent="0.25">
      <c r="A7" s="47" t="s">
        <v>24</v>
      </c>
      <c r="B7" s="48">
        <v>0.01</v>
      </c>
    </row>
    <row r="8" spans="1:23" x14ac:dyDescent="0.15">
      <c r="A8" s="13" t="s">
        <v>8</v>
      </c>
      <c r="B8" s="14">
        <f>EXP(B4*SQRT(B3/B5))</f>
        <v>1.0394896104013376</v>
      </c>
    </row>
    <row r="9" spans="1:23" x14ac:dyDescent="0.15">
      <c r="A9" s="15" t="s">
        <v>9</v>
      </c>
      <c r="B9" s="16">
        <f>1/B8</f>
        <v>0.96201057710803761</v>
      </c>
    </row>
    <row r="10" spans="1:23" x14ac:dyDescent="0.15">
      <c r="A10" s="15" t="s">
        <v>10</v>
      </c>
      <c r="B10" s="18">
        <f>(EXP((B6 - B7) * B3/B5) - B9) / (B8 - B9)</f>
        <v>0.49247005062451049</v>
      </c>
    </row>
    <row r="11" spans="1:23" ht="14" thickBot="1" x14ac:dyDescent="0.2">
      <c r="A11" s="19" t="s">
        <v>11</v>
      </c>
      <c r="B11" s="20">
        <f>1 - B10</f>
        <v>0.50752994937548945</v>
      </c>
    </row>
    <row r="14" spans="1:23" x14ac:dyDescent="0.15">
      <c r="A14" s="53" t="s">
        <v>33</v>
      </c>
      <c r="M14" s="53"/>
    </row>
    <row r="15" spans="1:23" x14ac:dyDescent="0.15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49">
        <v>12</v>
      </c>
      <c r="O15" s="49">
        <v>13</v>
      </c>
      <c r="P15" s="49">
        <v>14</v>
      </c>
      <c r="Q15" s="49">
        <v>15</v>
      </c>
      <c r="R15" s="54"/>
      <c r="S15" s="54"/>
      <c r="T15" s="54"/>
      <c r="U15" s="54"/>
      <c r="V15" s="54"/>
      <c r="W15" s="54"/>
    </row>
    <row r="16" spans="1:23" x14ac:dyDescent="0.15">
      <c r="A16" s="49">
        <v>15</v>
      </c>
      <c r="M16" s="55" t="str">
        <f t="shared" ref="M16:Q20" ca="1" si="0">IF($A16&lt;M$15,$B$9*OFFSET(M16,0,-1),IF($A16=M$15,$B$8*OFFSET(M16,1,-1),""))</f>
        <v/>
      </c>
      <c r="N16" s="55" t="str">
        <f t="shared" ca="1" si="0"/>
        <v/>
      </c>
      <c r="O16" s="55" t="str">
        <f t="shared" ca="1" si="0"/>
        <v/>
      </c>
      <c r="P16" s="55" t="str">
        <f t="shared" ca="1" si="0"/>
        <v/>
      </c>
      <c r="Q16" s="55">
        <f t="shared" ca="1" si="0"/>
        <v>178.77315075823685</v>
      </c>
      <c r="S16" s="54"/>
      <c r="T16" s="54"/>
      <c r="U16" s="54"/>
      <c r="V16" s="54"/>
      <c r="W16" s="54"/>
    </row>
    <row r="17" spans="1:24" x14ac:dyDescent="0.15">
      <c r="A17" s="49">
        <v>14</v>
      </c>
      <c r="M17" s="55" t="str">
        <f t="shared" ca="1" si="0"/>
        <v/>
      </c>
      <c r="N17" s="55" t="str">
        <f t="shared" ca="1" si="0"/>
        <v/>
      </c>
      <c r="O17" s="55" t="str">
        <f t="shared" ca="1" si="0"/>
        <v/>
      </c>
      <c r="P17" s="55">
        <f t="shared" ca="1" si="0"/>
        <v>171.98166193235366</v>
      </c>
      <c r="Q17" s="55">
        <f t="shared" ca="1" si="0"/>
        <v>165.44817784754298</v>
      </c>
      <c r="S17" s="54"/>
      <c r="T17" s="54"/>
      <c r="U17" s="54"/>
      <c r="V17" s="54"/>
      <c r="W17" s="54"/>
    </row>
    <row r="18" spans="1:24" x14ac:dyDescent="0.15">
      <c r="A18" s="49">
        <v>13</v>
      </c>
      <c r="M18" s="55" t="str">
        <f t="shared" ca="1" si="0"/>
        <v/>
      </c>
      <c r="N18" s="55" t="str">
        <f t="shared" ca="1" si="0"/>
        <v/>
      </c>
      <c r="O18" s="55">
        <f t="shared" ca="1" si="0"/>
        <v>165.44817784754298</v>
      </c>
      <c r="P18" s="55">
        <f t="shared" ca="1" si="0"/>
        <v>159.16289705258808</v>
      </c>
      <c r="Q18" s="55">
        <f t="shared" ca="1" si="0"/>
        <v>153.11639044774745</v>
      </c>
      <c r="S18" s="54"/>
      <c r="T18" s="54"/>
      <c r="U18" s="54"/>
      <c r="V18" s="54"/>
      <c r="W18" s="54"/>
    </row>
    <row r="19" spans="1:24" x14ac:dyDescent="0.15">
      <c r="A19" s="49">
        <v>12</v>
      </c>
      <c r="M19" s="55" t="str">
        <f t="shared" ca="1" si="0"/>
        <v/>
      </c>
      <c r="N19" s="55">
        <f t="shared" ca="1" si="0"/>
        <v>159.16289705258808</v>
      </c>
      <c r="O19" s="55">
        <f t="shared" ca="1" si="0"/>
        <v>153.11639044774745</v>
      </c>
      <c r="P19" s="55">
        <f t="shared" ca="1" si="0"/>
        <v>147.29958713933715</v>
      </c>
      <c r="Q19" s="55">
        <f t="shared" ca="1" si="0"/>
        <v>141.70376083168941</v>
      </c>
      <c r="S19" s="54"/>
      <c r="T19" s="54"/>
      <c r="U19" s="54"/>
      <c r="V19" s="54"/>
      <c r="W19" s="54"/>
    </row>
    <row r="20" spans="1:24" x14ac:dyDescent="0.15">
      <c r="A20" s="49">
        <v>11</v>
      </c>
      <c r="M20" s="55">
        <f t="shared" ca="1" si="0"/>
        <v>153.11639044774745</v>
      </c>
      <c r="N20" s="55">
        <f t="shared" ca="1" si="0"/>
        <v>147.29958713933715</v>
      </c>
      <c r="O20" s="55">
        <f t="shared" ca="1" si="0"/>
        <v>141.70376083168941</v>
      </c>
      <c r="P20" s="55">
        <f t="shared" ca="1" si="0"/>
        <v>136.32051673607288</v>
      </c>
      <c r="Q20" s="55">
        <f t="shared" ca="1" si="0"/>
        <v>131.14177897693537</v>
      </c>
      <c r="S20" s="54"/>
      <c r="T20" s="54"/>
      <c r="U20" s="54"/>
      <c r="V20" s="54"/>
      <c r="W20" s="54"/>
    </row>
    <row r="21" spans="1:24" x14ac:dyDescent="0.15">
      <c r="A21" s="49">
        <v>10</v>
      </c>
      <c r="B21" s="54"/>
      <c r="C21" s="55" t="str">
        <f t="shared" ref="C21:L31" ca="1" si="1">IF($A21&lt;C$15,$B$9*OFFSET(C21,0,-1),IF($A21=C$15,$B$8*OFFSET(C21,1,-1),""))</f>
        <v/>
      </c>
      <c r="D21" s="55" t="str">
        <f t="shared" ca="1" si="1"/>
        <v/>
      </c>
      <c r="E21" s="55" t="str">
        <f t="shared" ca="1" si="1"/>
        <v/>
      </c>
      <c r="F21" s="55" t="str">
        <f t="shared" ca="1" si="1"/>
        <v/>
      </c>
      <c r="G21" s="55" t="str">
        <f t="shared" ca="1" si="1"/>
        <v/>
      </c>
      <c r="H21" s="55" t="str">
        <f t="shared" ca="1" si="1"/>
        <v/>
      </c>
      <c r="I21" s="55" t="str">
        <f t="shared" ca="1" si="1"/>
        <v/>
      </c>
      <c r="J21" s="55" t="str">
        <f t="shared" ca="1" si="1"/>
        <v/>
      </c>
      <c r="K21" s="55" t="str">
        <f t="shared" ca="1" si="1"/>
        <v/>
      </c>
      <c r="L21" s="55">
        <f t="shared" ca="1" si="1"/>
        <v>147.29958713933715</v>
      </c>
      <c r="M21" s="55">
        <f t="shared" ref="M21:R31" ca="1" si="2">IF($A21&lt;M$15,$B$9*OFFSET(M21,0,-1),IF($A21=M$15,$B$8*OFFSET(M21,1,-1),""))</f>
        <v>141.70376083168941</v>
      </c>
      <c r="N21" s="55">
        <f t="shared" ca="1" si="2"/>
        <v>136.32051673607288</v>
      </c>
      <c r="O21" s="55">
        <f t="shared" ca="1" si="2"/>
        <v>131.14177897693537</v>
      </c>
      <c r="P21" s="55">
        <f t="shared" ca="1" si="2"/>
        <v>126.15977847657631</v>
      </c>
      <c r="Q21" s="55">
        <f t="shared" ca="1" si="2"/>
        <v>121.36704130007335</v>
      </c>
      <c r="R21" s="55" t="str">
        <f t="shared" ca="1" si="2"/>
        <v/>
      </c>
      <c r="S21" s="56"/>
      <c r="T21" s="56"/>
      <c r="U21" s="56"/>
      <c r="V21" s="56"/>
      <c r="W21" s="56"/>
    </row>
    <row r="22" spans="1:24" x14ac:dyDescent="0.15">
      <c r="A22" s="49">
        <v>9</v>
      </c>
      <c r="B22" s="54"/>
      <c r="C22" s="55" t="str">
        <f t="shared" ca="1" si="1"/>
        <v/>
      </c>
      <c r="D22" s="55" t="str">
        <f t="shared" ca="1" si="1"/>
        <v/>
      </c>
      <c r="E22" s="55" t="str">
        <f t="shared" ca="1" si="1"/>
        <v/>
      </c>
      <c r="F22" s="55" t="str">
        <f t="shared" ca="1" si="1"/>
        <v/>
      </c>
      <c r="G22" s="55" t="str">
        <f t="shared" ca="1" si="1"/>
        <v/>
      </c>
      <c r="H22" s="55" t="str">
        <f t="shared" ca="1" si="1"/>
        <v/>
      </c>
      <c r="I22" s="55" t="str">
        <f t="shared" ca="1" si="1"/>
        <v/>
      </c>
      <c r="J22" s="55" t="str">
        <f t="shared" ca="1" si="1"/>
        <v/>
      </c>
      <c r="K22" s="55">
        <f t="shared" ca="1" si="1"/>
        <v>141.70376083168941</v>
      </c>
      <c r="L22" s="55">
        <f t="shared" ca="1" si="1"/>
        <v>136.32051673607288</v>
      </c>
      <c r="M22" s="55">
        <f t="shared" ca="1" si="2"/>
        <v>131.14177897693537</v>
      </c>
      <c r="N22" s="55">
        <f t="shared" ca="1" si="2"/>
        <v>126.15977847657631</v>
      </c>
      <c r="O22" s="55">
        <f t="shared" ca="1" si="2"/>
        <v>121.36704130007335</v>
      </c>
      <c r="P22" s="55">
        <f t="shared" ca="1" si="2"/>
        <v>116.7563774429786</v>
      </c>
      <c r="Q22" s="55">
        <f t="shared" ca="1" si="2"/>
        <v>112.32087004496371</v>
      </c>
      <c r="R22" s="56"/>
      <c r="S22" s="56"/>
      <c r="T22" s="56"/>
      <c r="U22" s="56"/>
      <c r="V22" s="56"/>
      <c r="W22" s="56"/>
    </row>
    <row r="23" spans="1:24" x14ac:dyDescent="0.15">
      <c r="A23" s="49">
        <v>8</v>
      </c>
      <c r="B23" s="54"/>
      <c r="C23" s="55" t="str">
        <f t="shared" ca="1" si="1"/>
        <v/>
      </c>
      <c r="D23" s="55" t="str">
        <f t="shared" ca="1" si="1"/>
        <v/>
      </c>
      <c r="E23" s="55" t="str">
        <f t="shared" ca="1" si="1"/>
        <v/>
      </c>
      <c r="F23" s="55" t="str">
        <f t="shared" ca="1" si="1"/>
        <v/>
      </c>
      <c r="G23" s="55" t="str">
        <f t="shared" ca="1" si="1"/>
        <v/>
      </c>
      <c r="H23" s="55" t="str">
        <f t="shared" ca="1" si="1"/>
        <v/>
      </c>
      <c r="I23" s="55" t="str">
        <f t="shared" ca="1" si="1"/>
        <v/>
      </c>
      <c r="J23" s="55">
        <f t="shared" ca="1" si="1"/>
        <v>136.32051673607288</v>
      </c>
      <c r="K23" s="55">
        <f t="shared" ca="1" si="1"/>
        <v>131.14177897693537</v>
      </c>
      <c r="L23" s="55">
        <f t="shared" ca="1" si="1"/>
        <v>126.15977847657631</v>
      </c>
      <c r="M23" s="55">
        <f t="shared" ca="1" si="2"/>
        <v>121.36704130007335</v>
      </c>
      <c r="N23" s="55">
        <f t="shared" ca="1" si="2"/>
        <v>116.7563774429786</v>
      </c>
      <c r="O23" s="55">
        <f t="shared" ca="1" si="2"/>
        <v>112.32087004496371</v>
      </c>
      <c r="P23" s="55">
        <f t="shared" ca="1" si="2"/>
        <v>108.05386501323244</v>
      </c>
      <c r="Q23" s="55">
        <f t="shared" ca="1" si="2"/>
        <v>103.94896104013374</v>
      </c>
      <c r="R23" s="56"/>
      <c r="S23" s="56"/>
      <c r="T23" s="56"/>
      <c r="U23" s="56"/>
      <c r="V23" s="56"/>
      <c r="W23" s="56"/>
    </row>
    <row r="24" spans="1:24" x14ac:dyDescent="0.15">
      <c r="A24" s="49">
        <v>7</v>
      </c>
      <c r="B24" s="54"/>
      <c r="C24" s="55" t="str">
        <f t="shared" ca="1" si="1"/>
        <v/>
      </c>
      <c r="D24" s="55" t="str">
        <f t="shared" ca="1" si="1"/>
        <v/>
      </c>
      <c r="E24" s="55" t="str">
        <f t="shared" ca="1" si="1"/>
        <v/>
      </c>
      <c r="F24" s="55" t="str">
        <f t="shared" ca="1" si="1"/>
        <v/>
      </c>
      <c r="G24" s="55" t="str">
        <f t="shared" ca="1" si="1"/>
        <v/>
      </c>
      <c r="H24" s="55" t="str">
        <f t="shared" ca="1" si="1"/>
        <v/>
      </c>
      <c r="I24" s="55">
        <f t="shared" ca="1" si="1"/>
        <v>131.14177897693537</v>
      </c>
      <c r="J24" s="55">
        <f t="shared" ca="1" si="1"/>
        <v>126.15977847657631</v>
      </c>
      <c r="K24" s="55">
        <f t="shared" ca="1" si="1"/>
        <v>121.36704130007335</v>
      </c>
      <c r="L24" s="55">
        <f t="shared" ca="1" si="1"/>
        <v>116.7563774429786</v>
      </c>
      <c r="M24" s="55">
        <f t="shared" ca="1" si="2"/>
        <v>112.32087004496371</v>
      </c>
      <c r="N24" s="55">
        <f t="shared" ca="1" si="2"/>
        <v>108.05386501323244</v>
      </c>
      <c r="O24" s="55">
        <f t="shared" ca="1" si="2"/>
        <v>103.94896104013374</v>
      </c>
      <c r="P24" s="55">
        <f t="shared" ca="1" si="2"/>
        <v>99.999999999999972</v>
      </c>
      <c r="Q24" s="55">
        <f t="shared" ca="1" si="2"/>
        <v>96.201057710803738</v>
      </c>
      <c r="R24" s="56"/>
      <c r="S24" s="56"/>
      <c r="T24" s="56"/>
      <c r="U24" s="56"/>
      <c r="V24" s="56"/>
      <c r="W24" s="56"/>
    </row>
    <row r="25" spans="1:24" x14ac:dyDescent="0.15">
      <c r="A25" s="49">
        <v>6</v>
      </c>
      <c r="B25" s="54"/>
      <c r="C25" s="55" t="str">
        <f t="shared" ca="1" si="1"/>
        <v/>
      </c>
      <c r="D25" s="55" t="str">
        <f t="shared" ca="1" si="1"/>
        <v/>
      </c>
      <c r="E25" s="55" t="str">
        <f t="shared" ca="1" si="1"/>
        <v/>
      </c>
      <c r="F25" s="55" t="str">
        <f t="shared" ca="1" si="1"/>
        <v/>
      </c>
      <c r="G25" s="55" t="str">
        <f t="shared" ca="1" si="1"/>
        <v/>
      </c>
      <c r="H25" s="55">
        <f t="shared" ca="1" si="1"/>
        <v>126.15977847657631</v>
      </c>
      <c r="I25" s="55">
        <f t="shared" ca="1" si="1"/>
        <v>121.36704130007335</v>
      </c>
      <c r="J25" s="55">
        <f t="shared" ca="1" si="1"/>
        <v>116.7563774429786</v>
      </c>
      <c r="K25" s="55">
        <f t="shared" ca="1" si="1"/>
        <v>112.32087004496371</v>
      </c>
      <c r="L25" s="55">
        <f t="shared" ca="1" si="1"/>
        <v>108.05386501323244</v>
      </c>
      <c r="M25" s="55">
        <f t="shared" ca="1" si="2"/>
        <v>103.94896104013374</v>
      </c>
      <c r="N25" s="55">
        <f t="shared" ca="1" si="2"/>
        <v>99.999999999999972</v>
      </c>
      <c r="O25" s="55">
        <f t="shared" ca="1" si="2"/>
        <v>96.201057710803738</v>
      </c>
      <c r="P25" s="55">
        <f t="shared" ca="1" si="2"/>
        <v>92.546435046773937</v>
      </c>
      <c r="Q25" s="55">
        <f t="shared" ca="1" si="2"/>
        <v>89.030649388638508</v>
      </c>
      <c r="R25" s="56"/>
      <c r="S25" s="56"/>
      <c r="T25" s="56"/>
      <c r="U25" s="56"/>
      <c r="V25" s="56"/>
      <c r="W25" s="56"/>
    </row>
    <row r="26" spans="1:24" x14ac:dyDescent="0.15">
      <c r="A26" s="49">
        <v>5</v>
      </c>
      <c r="C26" s="55" t="str">
        <f t="shared" ca="1" si="1"/>
        <v/>
      </c>
      <c r="D26" s="55" t="str">
        <f t="shared" ca="1" si="1"/>
        <v/>
      </c>
      <c r="E26" s="55" t="str">
        <f t="shared" ca="1" si="1"/>
        <v/>
      </c>
      <c r="F26" s="55" t="str">
        <f t="shared" ca="1" si="1"/>
        <v/>
      </c>
      <c r="G26" s="55">
        <f t="shared" ca="1" si="1"/>
        <v>121.36704130007337</v>
      </c>
      <c r="H26" s="55">
        <f t="shared" ca="1" si="1"/>
        <v>116.75637744297862</v>
      </c>
      <c r="I26" s="55">
        <f t="shared" ca="1" si="1"/>
        <v>112.32087004496373</v>
      </c>
      <c r="J26" s="55">
        <f t="shared" ca="1" si="1"/>
        <v>108.05386501323245</v>
      </c>
      <c r="K26" s="55">
        <f t="shared" ca="1" si="1"/>
        <v>103.94896104013375</v>
      </c>
      <c r="L26" s="55">
        <f t="shared" ca="1" si="1"/>
        <v>99.999999999999986</v>
      </c>
      <c r="M26" s="55">
        <f t="shared" ca="1" si="2"/>
        <v>96.201057710803752</v>
      </c>
      <c r="N26" s="55">
        <f t="shared" ca="1" si="2"/>
        <v>92.546435046773951</v>
      </c>
      <c r="O26" s="55">
        <f t="shared" ca="1" si="2"/>
        <v>89.030649388638523</v>
      </c>
      <c r="P26" s="55">
        <f t="shared" ca="1" si="2"/>
        <v>85.648426398667496</v>
      </c>
      <c r="Q26" s="55">
        <f t="shared" ca="1" si="2"/>
        <v>82.394692108177395</v>
      </c>
      <c r="R26" s="56"/>
      <c r="S26" s="56"/>
      <c r="T26" s="56"/>
      <c r="U26" s="56"/>
      <c r="V26" s="56"/>
      <c r="W26" s="56"/>
    </row>
    <row r="27" spans="1:24" x14ac:dyDescent="0.15">
      <c r="A27" s="49">
        <v>4</v>
      </c>
      <c r="C27" s="55" t="str">
        <f t="shared" ca="1" si="1"/>
        <v/>
      </c>
      <c r="D27" s="55" t="str">
        <f t="shared" ca="1" si="1"/>
        <v/>
      </c>
      <c r="E27" s="55" t="str">
        <f t="shared" ca="1" si="1"/>
        <v/>
      </c>
      <c r="F27" s="55">
        <f t="shared" ca="1" si="1"/>
        <v>116.75637744297862</v>
      </c>
      <c r="G27" s="55">
        <f t="shared" ca="1" si="1"/>
        <v>112.32087004496373</v>
      </c>
      <c r="H27" s="55">
        <f t="shared" ca="1" si="1"/>
        <v>108.05386501323245</v>
      </c>
      <c r="I27" s="55">
        <f t="shared" ca="1" si="1"/>
        <v>103.94896104013375</v>
      </c>
      <c r="J27" s="55">
        <f t="shared" ca="1" si="1"/>
        <v>99.999999999999986</v>
      </c>
      <c r="K27" s="55">
        <f t="shared" ca="1" si="1"/>
        <v>96.201057710803752</v>
      </c>
      <c r="L27" s="55">
        <f t="shared" ca="1" si="1"/>
        <v>92.546435046773951</v>
      </c>
      <c r="M27" s="55">
        <f t="shared" ca="1" si="2"/>
        <v>89.030649388638523</v>
      </c>
      <c r="N27" s="55">
        <f t="shared" ca="1" si="2"/>
        <v>85.648426398667496</v>
      </c>
      <c r="O27" s="55">
        <f t="shared" ca="1" si="2"/>
        <v>82.394692108177395</v>
      </c>
      <c r="P27" s="55">
        <f t="shared" ca="1" si="2"/>
        <v>79.264565305626803</v>
      </c>
      <c r="Q27" s="55">
        <f t="shared" ca="1" si="2"/>
        <v>76.253350213883778</v>
      </c>
      <c r="R27" s="56"/>
      <c r="S27" s="56"/>
      <c r="T27" s="56"/>
      <c r="U27" s="56"/>
      <c r="V27" s="56"/>
      <c r="W27" s="56"/>
    </row>
    <row r="28" spans="1:24" x14ac:dyDescent="0.15">
      <c r="A28" s="49">
        <v>3</v>
      </c>
      <c r="C28" s="55" t="str">
        <f t="shared" ca="1" si="1"/>
        <v/>
      </c>
      <c r="D28" s="55" t="str">
        <f t="shared" ca="1" si="1"/>
        <v/>
      </c>
      <c r="E28" s="55">
        <f t="shared" ca="1" si="1"/>
        <v>112.32087004496373</v>
      </c>
      <c r="F28" s="55">
        <f t="shared" ca="1" si="1"/>
        <v>108.05386501323245</v>
      </c>
      <c r="G28" s="55">
        <f t="shared" ca="1" si="1"/>
        <v>103.94896104013375</v>
      </c>
      <c r="H28" s="55">
        <f t="shared" ca="1" si="1"/>
        <v>99.999999999999986</v>
      </c>
      <c r="I28" s="55">
        <f t="shared" ca="1" si="1"/>
        <v>96.201057710803752</v>
      </c>
      <c r="J28" s="55">
        <f t="shared" ca="1" si="1"/>
        <v>92.546435046773951</v>
      </c>
      <c r="K28" s="55">
        <f t="shared" ca="1" si="1"/>
        <v>89.030649388638523</v>
      </c>
      <c r="L28" s="55">
        <f t="shared" ca="1" si="1"/>
        <v>85.648426398667496</v>
      </c>
      <c r="M28" s="55">
        <f t="shared" ca="1" si="2"/>
        <v>82.394692108177395</v>
      </c>
      <c r="N28" s="55">
        <f t="shared" ca="1" si="2"/>
        <v>79.264565305626803</v>
      </c>
      <c r="O28" s="55">
        <f t="shared" ca="1" si="2"/>
        <v>76.253350213883778</v>
      </c>
      <c r="P28" s="55">
        <f t="shared" ca="1" si="2"/>
        <v>73.356529445679641</v>
      </c>
      <c r="Q28" s="55">
        <f t="shared" ca="1" si="2"/>
        <v>70.56975722668102</v>
      </c>
      <c r="R28" s="56"/>
      <c r="S28" s="56"/>
      <c r="T28" s="56"/>
      <c r="U28" s="56"/>
      <c r="V28" s="56"/>
      <c r="W28" s="56"/>
    </row>
    <row r="29" spans="1:24" x14ac:dyDescent="0.15">
      <c r="A29" s="49">
        <v>2</v>
      </c>
      <c r="C29" s="55" t="str">
        <f t="shared" ca="1" si="1"/>
        <v/>
      </c>
      <c r="D29" s="55">
        <f t="shared" ca="1" si="1"/>
        <v>108.05386501323245</v>
      </c>
      <c r="E29" s="55">
        <f t="shared" ca="1" si="1"/>
        <v>103.94896104013375</v>
      </c>
      <c r="F29" s="55">
        <f t="shared" ca="1" si="1"/>
        <v>99.999999999999986</v>
      </c>
      <c r="G29" s="55">
        <f t="shared" ca="1" si="1"/>
        <v>96.201057710803752</v>
      </c>
      <c r="H29" s="55">
        <f t="shared" ca="1" si="1"/>
        <v>92.546435046773951</v>
      </c>
      <c r="I29" s="55">
        <f t="shared" ca="1" si="1"/>
        <v>89.030649388638523</v>
      </c>
      <c r="J29" s="55">
        <f t="shared" ca="1" si="1"/>
        <v>85.648426398667496</v>
      </c>
      <c r="K29" s="55">
        <f t="shared" ca="1" si="1"/>
        <v>82.394692108177395</v>
      </c>
      <c r="L29" s="55">
        <f t="shared" ca="1" si="1"/>
        <v>79.264565305626803</v>
      </c>
      <c r="M29" s="55">
        <f t="shared" ca="1" si="2"/>
        <v>76.253350213883778</v>
      </c>
      <c r="N29" s="55">
        <f t="shared" ca="1" si="2"/>
        <v>73.356529445679641</v>
      </c>
      <c r="O29" s="55">
        <f t="shared" ca="1" si="2"/>
        <v>70.56975722668102</v>
      </c>
      <c r="P29" s="55">
        <f t="shared" ca="1" si="2"/>
        <v>67.888852876013516</v>
      </c>
      <c r="Q29" s="55">
        <f t="shared" ca="1" si="2"/>
        <v>65.309794534456415</v>
      </c>
    </row>
    <row r="30" spans="1:24" x14ac:dyDescent="0.15">
      <c r="A30" s="49">
        <v>1</v>
      </c>
      <c r="C30" s="55">
        <f t="shared" ca="1" si="1"/>
        <v>103.94896104013375</v>
      </c>
      <c r="D30" s="55">
        <f t="shared" ca="1" si="1"/>
        <v>99.999999999999986</v>
      </c>
      <c r="E30" s="55">
        <f t="shared" ca="1" si="1"/>
        <v>96.201057710803752</v>
      </c>
      <c r="F30" s="55">
        <f t="shared" ca="1" si="1"/>
        <v>92.546435046773951</v>
      </c>
      <c r="G30" s="55">
        <f t="shared" ca="1" si="1"/>
        <v>89.030649388638523</v>
      </c>
      <c r="H30" s="55">
        <f t="shared" ca="1" si="1"/>
        <v>85.648426398667496</v>
      </c>
      <c r="I30" s="55">
        <f t="shared" ca="1" si="1"/>
        <v>82.394692108177395</v>
      </c>
      <c r="J30" s="55">
        <f t="shared" ca="1" si="1"/>
        <v>79.264565305626803</v>
      </c>
      <c r="K30" s="55">
        <f t="shared" ca="1" si="1"/>
        <v>76.253350213883778</v>
      </c>
      <c r="L30" s="55">
        <f t="shared" ca="1" si="1"/>
        <v>73.356529445679641</v>
      </c>
      <c r="M30" s="55">
        <f t="shared" ca="1" si="2"/>
        <v>70.56975722668102</v>
      </c>
      <c r="N30" s="55">
        <f t="shared" ca="1" si="2"/>
        <v>67.888852876013516</v>
      </c>
      <c r="O30" s="55">
        <f t="shared" ca="1" si="2"/>
        <v>65.309794534456415</v>
      </c>
      <c r="P30" s="55">
        <f t="shared" ca="1" si="2"/>
        <v>62.828713130899779</v>
      </c>
      <c r="Q30" s="55">
        <f t="shared" ca="1" si="2"/>
        <v>60.441886578012237</v>
      </c>
    </row>
    <row r="31" spans="1:24" x14ac:dyDescent="0.15">
      <c r="A31" s="49">
        <v>0</v>
      </c>
      <c r="B31" s="55">
        <f>$B$2</f>
        <v>100</v>
      </c>
      <c r="C31" s="55">
        <f t="shared" ca="1" si="1"/>
        <v>96.201057710803767</v>
      </c>
      <c r="D31" s="55">
        <f t="shared" ca="1" si="1"/>
        <v>92.546435046773965</v>
      </c>
      <c r="E31" s="55">
        <f t="shared" ca="1" si="1"/>
        <v>89.030649388638537</v>
      </c>
      <c r="F31" s="55">
        <f t="shared" ca="1" si="1"/>
        <v>85.64842639866751</v>
      </c>
      <c r="G31" s="55">
        <f t="shared" ca="1" si="1"/>
        <v>82.394692108177409</v>
      </c>
      <c r="H31" s="55">
        <f t="shared" ca="1" si="1"/>
        <v>79.264565305626817</v>
      </c>
      <c r="I31" s="55">
        <f t="shared" ca="1" si="1"/>
        <v>76.253350213883792</v>
      </c>
      <c r="J31" s="55">
        <f t="shared" ca="1" si="1"/>
        <v>73.356529445679655</v>
      </c>
      <c r="K31" s="55">
        <f t="shared" ca="1" si="1"/>
        <v>70.569757226681034</v>
      </c>
      <c r="L31" s="55">
        <f t="shared" ca="1" si="1"/>
        <v>67.88885287601353</v>
      </c>
      <c r="M31" s="55">
        <f t="shared" ca="1" si="2"/>
        <v>65.309794534456429</v>
      </c>
      <c r="N31" s="55">
        <f t="shared" ca="1" si="2"/>
        <v>62.828713130899793</v>
      </c>
      <c r="O31" s="55">
        <f t="shared" ca="1" si="2"/>
        <v>60.441886578012252</v>
      </c>
      <c r="P31" s="55">
        <f t="shared" ca="1" si="2"/>
        <v>58.145734188412121</v>
      </c>
      <c r="Q31" s="55">
        <f t="shared" ca="1" si="2"/>
        <v>55.936811302964898</v>
      </c>
      <c r="R31" s="55"/>
      <c r="S31" s="55"/>
      <c r="T31" s="55"/>
      <c r="U31" s="55"/>
      <c r="V31" s="55"/>
      <c r="W31" s="55"/>
      <c r="X31" s="55"/>
    </row>
    <row r="32" spans="1:24" x14ac:dyDescent="0.15"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15">
      <c r="A33" s="58" t="s">
        <v>34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15">
      <c r="B34" s="54">
        <v>0</v>
      </c>
      <c r="C34" s="54">
        <v>1</v>
      </c>
      <c r="D34" s="54">
        <v>2</v>
      </c>
      <c r="E34" s="54">
        <v>3</v>
      </c>
      <c r="F34" s="54">
        <v>4</v>
      </c>
      <c r="G34" s="54">
        <v>5</v>
      </c>
      <c r="H34" s="54">
        <v>6</v>
      </c>
      <c r="I34" s="54">
        <v>7</v>
      </c>
      <c r="J34" s="54">
        <v>8</v>
      </c>
      <c r="K34" s="54">
        <v>9</v>
      </c>
      <c r="L34" s="49">
        <v>10</v>
      </c>
      <c r="M34" s="49">
        <v>11</v>
      </c>
      <c r="N34" s="49">
        <v>12</v>
      </c>
      <c r="O34" s="54">
        <v>13</v>
      </c>
      <c r="P34" s="60">
        <v>14</v>
      </c>
      <c r="Q34" s="60">
        <v>15</v>
      </c>
      <c r="R34" s="56"/>
      <c r="S34" s="57"/>
      <c r="T34" s="57"/>
      <c r="U34" s="57"/>
      <c r="V34" s="57"/>
      <c r="W34" s="57"/>
      <c r="X34" s="57"/>
    </row>
    <row r="35" spans="1:24" x14ac:dyDescent="0.15">
      <c r="A35" s="49">
        <v>15</v>
      </c>
      <c r="K35" s="59" t="str">
        <f t="shared" ref="K35:P35" si="3">IF($A35 &lt;= K$34, ($B$10*L34+$B$11*L35)/EXP($B$6 * $B$3/$B$5),"")</f>
        <v/>
      </c>
      <c r="L35" s="59" t="str">
        <f t="shared" si="3"/>
        <v/>
      </c>
      <c r="M35" s="59" t="str">
        <f t="shared" si="3"/>
        <v/>
      </c>
      <c r="N35" s="59" t="str">
        <f t="shared" si="3"/>
        <v/>
      </c>
      <c r="O35" s="59" t="str">
        <f t="shared" si="3"/>
        <v/>
      </c>
      <c r="P35" s="59" t="str">
        <f t="shared" si="3"/>
        <v/>
      </c>
      <c r="Q35" s="56">
        <f t="shared" ref="Q35:Q40" ca="1" si="4">MAX($G$2*(Q16-$G$3),0)</f>
        <v>0</v>
      </c>
      <c r="R35" s="57"/>
      <c r="S35" s="57"/>
      <c r="T35" s="57"/>
      <c r="U35" s="57"/>
      <c r="V35" s="57"/>
      <c r="W35" s="57"/>
      <c r="X35" s="57"/>
    </row>
    <row r="36" spans="1:24" x14ac:dyDescent="0.15">
      <c r="A36" s="49">
        <v>14</v>
      </c>
      <c r="K36" s="59" t="str">
        <f t="shared" ref="K36:P36" si="5">IF($A36 &lt;= K$34, ($B$10*L35+$B$11*L36)/EXP($B$6 * $B$3/$B$5),"")</f>
        <v/>
      </c>
      <c r="L36" s="59" t="str">
        <f t="shared" si="5"/>
        <v/>
      </c>
      <c r="M36" s="59" t="str">
        <f t="shared" si="5"/>
        <v/>
      </c>
      <c r="N36" s="59" t="str">
        <f t="shared" si="5"/>
        <v/>
      </c>
      <c r="O36" s="59" t="str">
        <f t="shared" si="5"/>
        <v/>
      </c>
      <c r="P36" s="59">
        <f t="shared" ca="1" si="5"/>
        <v>0</v>
      </c>
      <c r="Q36" s="56">
        <f t="shared" ca="1" si="4"/>
        <v>0</v>
      </c>
      <c r="R36" s="57"/>
      <c r="S36" s="57"/>
      <c r="T36" s="57"/>
      <c r="U36" s="57"/>
      <c r="V36" s="57"/>
      <c r="W36" s="57"/>
      <c r="X36" s="57"/>
    </row>
    <row r="37" spans="1:24" x14ac:dyDescent="0.15">
      <c r="A37" s="49">
        <v>13</v>
      </c>
      <c r="K37" s="59" t="str">
        <f t="shared" ref="K37:P37" si="6">IF($A37 &lt;= K$34, ($B$10*L36+$B$11*L37)/EXP($B$6 * $B$3/$B$5),"")</f>
        <v/>
      </c>
      <c r="L37" s="59" t="str">
        <f t="shared" si="6"/>
        <v/>
      </c>
      <c r="M37" s="59" t="str">
        <f t="shared" si="6"/>
        <v/>
      </c>
      <c r="N37" s="59" t="str">
        <f t="shared" si="6"/>
        <v/>
      </c>
      <c r="O37" s="59">
        <f t="shared" ca="1" si="6"/>
        <v>0</v>
      </c>
      <c r="P37" s="59">
        <f t="shared" ca="1" si="6"/>
        <v>0</v>
      </c>
      <c r="Q37" s="56">
        <f t="shared" ca="1" si="4"/>
        <v>0</v>
      </c>
      <c r="R37" s="57"/>
      <c r="S37" s="57"/>
      <c r="T37" s="57"/>
      <c r="U37" s="57"/>
      <c r="V37" s="57"/>
      <c r="W37" s="57"/>
      <c r="X37" s="57"/>
    </row>
    <row r="38" spans="1:24" x14ac:dyDescent="0.15">
      <c r="A38" s="49">
        <v>12</v>
      </c>
      <c r="K38" s="59" t="str">
        <f t="shared" ref="K38:P38" si="7">IF($A38 &lt;= K$34, ($B$10*L37+$B$11*L38)/EXP($B$6 * $B$3/$B$5),"")</f>
        <v/>
      </c>
      <c r="L38" s="59" t="str">
        <f t="shared" si="7"/>
        <v/>
      </c>
      <c r="M38" s="59" t="str">
        <f t="shared" si="7"/>
        <v/>
      </c>
      <c r="N38" s="59">
        <f t="shared" ca="1" si="7"/>
        <v>0</v>
      </c>
      <c r="O38" s="59">
        <f t="shared" ca="1" si="7"/>
        <v>0</v>
      </c>
      <c r="P38" s="59">
        <f t="shared" ca="1" si="7"/>
        <v>0</v>
      </c>
      <c r="Q38" s="56">
        <f t="shared" ca="1" si="4"/>
        <v>0</v>
      </c>
      <c r="R38" s="57"/>
      <c r="S38" s="57"/>
      <c r="T38" s="57"/>
      <c r="U38" s="57"/>
      <c r="V38" s="57"/>
      <c r="W38" s="57"/>
      <c r="X38" s="57"/>
    </row>
    <row r="39" spans="1:24" x14ac:dyDescent="0.15">
      <c r="A39" s="49">
        <v>11</v>
      </c>
      <c r="K39" s="59" t="str">
        <f t="shared" ref="K39:P39" si="8">IF($A39 &lt;= K$34, ($B$10*L38+$B$11*L39)/EXP($B$6 * $B$3/$B$5),"")</f>
        <v/>
      </c>
      <c r="L39" s="59" t="str">
        <f t="shared" si="8"/>
        <v/>
      </c>
      <c r="M39" s="59">
        <f t="shared" ca="1" si="8"/>
        <v>0</v>
      </c>
      <c r="N39" s="59">
        <f t="shared" ca="1" si="8"/>
        <v>0</v>
      </c>
      <c r="O39" s="59">
        <f t="shared" ca="1" si="8"/>
        <v>0</v>
      </c>
      <c r="P39" s="59">
        <f t="shared" ca="1" si="8"/>
        <v>0</v>
      </c>
      <c r="Q39" s="56">
        <f t="shared" ca="1" si="4"/>
        <v>0</v>
      </c>
      <c r="R39" s="57"/>
      <c r="S39" s="57"/>
      <c r="T39" s="57"/>
      <c r="U39" s="57"/>
      <c r="V39" s="57"/>
      <c r="W39" s="57"/>
      <c r="X39" s="57"/>
    </row>
    <row r="40" spans="1:24" x14ac:dyDescent="0.15">
      <c r="A40" s="49">
        <v>10</v>
      </c>
      <c r="B40" s="59" t="str">
        <f t="shared" ref="B40:K40" si="9">IF($A40 &lt;= B$34, ($B$10*C34+$B$11*C40)/EXP($B$6 * $B$3/$B$5),"")</f>
        <v/>
      </c>
      <c r="C40" s="59" t="str">
        <f t="shared" si="9"/>
        <v/>
      </c>
      <c r="D40" s="59" t="str">
        <f t="shared" si="9"/>
        <v/>
      </c>
      <c r="E40" s="59" t="str">
        <f t="shared" si="9"/>
        <v/>
      </c>
      <c r="F40" s="59" t="str">
        <f t="shared" si="9"/>
        <v/>
      </c>
      <c r="G40" s="59" t="str">
        <f t="shared" si="9"/>
        <v/>
      </c>
      <c r="H40" s="59" t="str">
        <f t="shared" si="9"/>
        <v/>
      </c>
      <c r="I40" s="59" t="str">
        <f t="shared" si="9"/>
        <v/>
      </c>
      <c r="J40" s="59" t="str">
        <f t="shared" si="9"/>
        <v/>
      </c>
      <c r="K40" s="59" t="str">
        <f t="shared" ref="K40:P40" si="10">IF($A40 &lt;= K$34, ($B$10*L39+$B$11*L40)/EXP($B$6 * $B$3/$B$5),"")</f>
        <v/>
      </c>
      <c r="L40" s="59">
        <f t="shared" ca="1" si="10"/>
        <v>0</v>
      </c>
      <c r="M40" s="59">
        <f t="shared" ca="1" si="10"/>
        <v>0</v>
      </c>
      <c r="N40" s="59">
        <f t="shared" ca="1" si="10"/>
        <v>0</v>
      </c>
      <c r="O40" s="59">
        <f t="shared" ca="1" si="10"/>
        <v>0</v>
      </c>
      <c r="P40" s="59">
        <f t="shared" ca="1" si="10"/>
        <v>0</v>
      </c>
      <c r="Q40" s="56">
        <f t="shared" ca="1" si="4"/>
        <v>0</v>
      </c>
    </row>
    <row r="41" spans="1:24" x14ac:dyDescent="0.15">
      <c r="A41" s="49">
        <v>9</v>
      </c>
      <c r="B41" s="59" t="str">
        <f t="shared" ref="B41:P41" si="11">IF($A41 &lt;= B$34, ($B$10*C40+$B$11*C41)/EXP($B$6 * $B$3/$B$5),"")</f>
        <v/>
      </c>
      <c r="C41" s="59" t="str">
        <f t="shared" si="11"/>
        <v/>
      </c>
      <c r="D41" s="59" t="str">
        <f t="shared" si="11"/>
        <v/>
      </c>
      <c r="E41" s="59" t="str">
        <f t="shared" si="11"/>
        <v/>
      </c>
      <c r="F41" s="59" t="str">
        <f t="shared" si="11"/>
        <v/>
      </c>
      <c r="G41" s="59" t="str">
        <f t="shared" si="11"/>
        <v/>
      </c>
      <c r="H41" s="59" t="str">
        <f t="shared" si="11"/>
        <v/>
      </c>
      <c r="I41" s="59" t="str">
        <f t="shared" si="11"/>
        <v/>
      </c>
      <c r="J41" s="59" t="str">
        <f t="shared" si="11"/>
        <v/>
      </c>
      <c r="K41" s="59">
        <f t="shared" ca="1" si="11"/>
        <v>0</v>
      </c>
      <c r="L41" s="59">
        <f t="shared" ca="1" si="11"/>
        <v>0</v>
      </c>
      <c r="M41" s="59">
        <f t="shared" ca="1" si="11"/>
        <v>0</v>
      </c>
      <c r="N41" s="59">
        <f t="shared" ca="1" si="11"/>
        <v>0</v>
      </c>
      <c r="O41" s="59">
        <f t="shared" ca="1" si="11"/>
        <v>0</v>
      </c>
      <c r="P41" s="59">
        <f t="shared" ca="1" si="11"/>
        <v>0</v>
      </c>
      <c r="Q41" s="56">
        <f t="shared" ref="L41:Q41" ca="1" si="12">MAX($G$2*(Q22-$G$3),0)</f>
        <v>0</v>
      </c>
    </row>
    <row r="42" spans="1:24" x14ac:dyDescent="0.15">
      <c r="A42" s="49">
        <v>8</v>
      </c>
      <c r="B42" s="59" t="str">
        <f t="shared" ref="B42:P42" si="13">IF($A42 &lt;= B$34, ($B$10*C41+$B$11*C42)/EXP($B$6 * $B$3/$B$5),"")</f>
        <v/>
      </c>
      <c r="C42" s="59" t="str">
        <f t="shared" si="13"/>
        <v/>
      </c>
      <c r="D42" s="59" t="str">
        <f t="shared" si="13"/>
        <v/>
      </c>
      <c r="E42" s="59" t="str">
        <f t="shared" si="13"/>
        <v/>
      </c>
      <c r="F42" s="59" t="str">
        <f t="shared" si="13"/>
        <v/>
      </c>
      <c r="G42" s="59" t="str">
        <f t="shared" si="13"/>
        <v/>
      </c>
      <c r="H42" s="59" t="str">
        <f t="shared" si="13"/>
        <v/>
      </c>
      <c r="I42" s="59" t="str">
        <f t="shared" si="13"/>
        <v/>
      </c>
      <c r="J42" s="59">
        <f t="shared" ca="1" si="13"/>
        <v>5.2365869727484728E-2</v>
      </c>
      <c r="K42" s="59">
        <f t="shared" ca="1" si="13"/>
        <v>0.10321228922823039</v>
      </c>
      <c r="L42" s="59">
        <f t="shared" ca="1" si="13"/>
        <v>0.20342976643316729</v>
      </c>
      <c r="M42" s="59">
        <f t="shared" ca="1" si="13"/>
        <v>0.40095680640841586</v>
      </c>
      <c r="N42" s="59">
        <f t="shared" ca="1" si="13"/>
        <v>0.79027943365432896</v>
      </c>
      <c r="O42" s="59">
        <f t="shared" ca="1" si="13"/>
        <v>1.5576280868040606</v>
      </c>
      <c r="P42" s="59">
        <f t="shared" ca="1" si="13"/>
        <v>3.070059973067842</v>
      </c>
      <c r="Q42" s="56">
        <f t="shared" ref="L42:Q42" ca="1" si="14">MAX($G$2*(Q23-$G$3),0)</f>
        <v>6.0510389598662613</v>
      </c>
    </row>
    <row r="43" spans="1:24" x14ac:dyDescent="0.15">
      <c r="A43" s="49">
        <v>7</v>
      </c>
      <c r="B43" s="59" t="str">
        <f t="shared" ref="B43:P43" si="15">IF($A43 &lt;= B$34, ($B$10*C42+$B$11*C43)/EXP($B$6 * $B$3/$B$5),"")</f>
        <v/>
      </c>
      <c r="C43" s="59" t="str">
        <f t="shared" si="15"/>
        <v/>
      </c>
      <c r="D43" s="59" t="str">
        <f t="shared" si="15"/>
        <v/>
      </c>
      <c r="E43" s="59" t="str">
        <f t="shared" si="15"/>
        <v/>
      </c>
      <c r="F43" s="59" t="str">
        <f t="shared" si="15"/>
        <v/>
      </c>
      <c r="G43" s="59" t="str">
        <f t="shared" si="15"/>
        <v/>
      </c>
      <c r="H43" s="59" t="str">
        <f t="shared" si="15"/>
        <v/>
      </c>
      <c r="I43" s="59">
        <f t="shared" ca="1" si="15"/>
        <v>0.26682744956029508</v>
      </c>
      <c r="J43" s="59">
        <f t="shared" ca="1" si="15"/>
        <v>0.47510060174752389</v>
      </c>
      <c r="K43" s="59">
        <f t="shared" ca="1" si="15"/>
        <v>0.83626598633862426</v>
      </c>
      <c r="L43" s="59">
        <f t="shared" ca="1" si="15"/>
        <v>1.4508734344918943</v>
      </c>
      <c r="M43" s="59">
        <f t="shared" ca="1" si="15"/>
        <v>2.4705890211519717</v>
      </c>
      <c r="N43" s="59">
        <f t="shared" ca="1" si="15"/>
        <v>4.1026617994835286</v>
      </c>
      <c r="O43" s="59">
        <f t="shared" ca="1" si="15"/>
        <v>6.5748718922128528</v>
      </c>
      <c r="P43" s="59">
        <f t="shared" ca="1" si="15"/>
        <v>9.9800047216204444</v>
      </c>
      <c r="Q43" s="56">
        <f t="shared" ref="L43:Q43" ca="1" si="16">MAX($G$2*(Q24-$G$3),0)</f>
        <v>13.798942289196262</v>
      </c>
    </row>
    <row r="44" spans="1:24" x14ac:dyDescent="0.15">
      <c r="A44" s="49">
        <v>6</v>
      </c>
      <c r="B44" s="59" t="str">
        <f t="shared" ref="B44:P44" si="17">IF($A44 &lt;= B$34, ($B$10*C43+$B$11*C44)/EXP($B$6 * $B$3/$B$5),"")</f>
        <v/>
      </c>
      <c r="C44" s="59" t="str">
        <f t="shared" si="17"/>
        <v/>
      </c>
      <c r="D44" s="59" t="str">
        <f t="shared" si="17"/>
        <v/>
      </c>
      <c r="E44" s="59" t="str">
        <f t="shared" si="17"/>
        <v/>
      </c>
      <c r="F44" s="59" t="str">
        <f t="shared" si="17"/>
        <v/>
      </c>
      <c r="G44" s="59" t="str">
        <f t="shared" si="17"/>
        <v/>
      </c>
      <c r="H44" s="59">
        <f t="shared" ca="1" si="17"/>
        <v>0.77205976634821527</v>
      </c>
      <c r="I44" s="59">
        <f t="shared" ca="1" si="17"/>
        <v>1.262807516475253</v>
      </c>
      <c r="J44" s="59">
        <f t="shared" ca="1" si="17"/>
        <v>2.0279703815508769</v>
      </c>
      <c r="K44" s="59">
        <f t="shared" ca="1" si="17"/>
        <v>3.1856455638082677</v>
      </c>
      <c r="L44" s="59">
        <f t="shared" ca="1" si="17"/>
        <v>4.8710345310082248</v>
      </c>
      <c r="M44" s="59">
        <f t="shared" ca="1" si="17"/>
        <v>7.2034515086407973</v>
      </c>
      <c r="N44" s="59">
        <f t="shared" ca="1" si="17"/>
        <v>10.216963553921499</v>
      </c>
      <c r="O44" s="59">
        <f t="shared" ca="1" si="17"/>
        <v>13.757695070203686</v>
      </c>
      <c r="P44" s="59">
        <f t="shared" ca="1" si="17"/>
        <v>17.432327517536933</v>
      </c>
      <c r="Q44" s="56">
        <f t="shared" ref="L44:Q44" ca="1" si="18">MAX($G$2*(Q25-$G$3),0)</f>
        <v>20.969350611361492</v>
      </c>
    </row>
    <row r="45" spans="1:24" x14ac:dyDescent="0.15">
      <c r="A45" s="49">
        <v>5</v>
      </c>
      <c r="B45" s="59" t="str">
        <f t="shared" ref="B45:P45" si="19">IF($A45 &lt;= B$34, ($B$10*C44+$B$11*C45)/EXP($B$6 * $B$3/$B$5),"")</f>
        <v/>
      </c>
      <c r="C45" s="59" t="str">
        <f t="shared" si="19"/>
        <v/>
      </c>
      <c r="D45" s="59" t="str">
        <f t="shared" si="19"/>
        <v/>
      </c>
      <c r="E45" s="59" t="str">
        <f t="shared" si="19"/>
        <v/>
      </c>
      <c r="F45" s="59" t="str">
        <f t="shared" si="19"/>
        <v/>
      </c>
      <c r="G45" s="59">
        <f t="shared" ca="1" si="19"/>
        <v>1.6717429893533784</v>
      </c>
      <c r="H45" s="59">
        <f t="shared" ca="1" si="19"/>
        <v>2.5458281216166063</v>
      </c>
      <c r="I45" s="59">
        <f t="shared" ca="1" si="19"/>
        <v>3.7924500677091779</v>
      </c>
      <c r="J45" s="59">
        <f t="shared" ca="1" si="19"/>
        <v>5.5070636824854997</v>
      </c>
      <c r="K45" s="59">
        <f t="shared" ca="1" si="19"/>
        <v>7.763216041002992</v>
      </c>
      <c r="L45" s="59">
        <f t="shared" ca="1" si="19"/>
        <v>10.574677603845192</v>
      </c>
      <c r="M45" s="59">
        <f t="shared" ca="1" si="19"/>
        <v>13.852815904651276</v>
      </c>
      <c r="N45" s="59">
        <f t="shared" ca="1" si="19"/>
        <v>17.389881586044122</v>
      </c>
      <c r="O45" s="59">
        <f t="shared" ca="1" si="19"/>
        <v>20.925713654573286</v>
      </c>
      <c r="P45" s="59">
        <f t="shared" ca="1" si="19"/>
        <v>24.329186593335717</v>
      </c>
      <c r="Q45" s="56">
        <f t="shared" ref="L45:Q45" ca="1" si="20">MAX($G$2*(Q26-$G$3),0)</f>
        <v>27.605307891822605</v>
      </c>
    </row>
    <row r="46" spans="1:24" x14ac:dyDescent="0.15">
      <c r="A46" s="49">
        <v>4</v>
      </c>
      <c r="B46" s="59" t="str">
        <f t="shared" ref="B46:P46" si="21">IF($A46 &lt;= B$34, ($B$10*C45+$B$11*C46)/EXP($B$6 * $B$3/$B$5),"")</f>
        <v/>
      </c>
      <c r="C46" s="59" t="str">
        <f t="shared" si="21"/>
        <v/>
      </c>
      <c r="D46" s="59" t="str">
        <f t="shared" si="21"/>
        <v/>
      </c>
      <c r="E46" s="59" t="str">
        <f t="shared" si="21"/>
        <v/>
      </c>
      <c r="F46" s="59">
        <f t="shared" ca="1" si="21"/>
        <v>3.0188932797708858</v>
      </c>
      <c r="G46" s="59">
        <f t="shared" ca="1" si="21"/>
        <v>4.3280527452037569</v>
      </c>
      <c r="H46" s="59">
        <f t="shared" ca="1" si="21"/>
        <v>6.0602365826432525</v>
      </c>
      <c r="I46" s="59">
        <f t="shared" ca="1" si="21"/>
        <v>8.2647121151118057</v>
      </c>
      <c r="J46" s="59">
        <f t="shared" ca="1" si="21"/>
        <v>10.945962015998665</v>
      </c>
      <c r="K46" s="59">
        <f t="shared" ca="1" si="21"/>
        <v>14.041456844522878</v>
      </c>
      <c r="L46" s="59">
        <f t="shared" ca="1" si="21"/>
        <v>17.41459022522201</v>
      </c>
      <c r="M46" s="59">
        <f t="shared" ca="1" si="21"/>
        <v>20.88211566509646</v>
      </c>
      <c r="N46" s="59">
        <f t="shared" ca="1" si="21"/>
        <v>24.284442091933901</v>
      </c>
      <c r="O46" s="59">
        <f t="shared" ca="1" si="21"/>
        <v>27.559459317897581</v>
      </c>
      <c r="P46" s="59">
        <f t="shared" ca="1" si="21"/>
        <v>30.711983798187369</v>
      </c>
      <c r="Q46" s="56">
        <f t="shared" ref="L46:Q46" ca="1" si="22">MAX($G$2*(Q27-$G$3),0)</f>
        <v>33.746649786116222</v>
      </c>
    </row>
    <row r="47" spans="1:24" x14ac:dyDescent="0.15">
      <c r="A47" s="49">
        <v>3</v>
      </c>
      <c r="B47" s="59" t="str">
        <f t="shared" ref="B47:P47" si="23">IF($A47 &lt;= B$34, ($B$10*C46+$B$11*C47)/EXP($B$6 * $B$3/$B$5),"")</f>
        <v/>
      </c>
      <c r="C47" s="59" t="str">
        <f t="shared" si="23"/>
        <v/>
      </c>
      <c r="D47" s="59" t="str">
        <f t="shared" si="23"/>
        <v/>
      </c>
      <c r="E47" s="59">
        <f t="shared" ca="1" si="23"/>
        <v>4.8121274205451217</v>
      </c>
      <c r="F47" s="59">
        <f t="shared" ca="1" si="23"/>
        <v>6.5553120720537876</v>
      </c>
      <c r="G47" s="59">
        <f t="shared" ca="1" si="23"/>
        <v>8.7207881844459756</v>
      </c>
      <c r="H47" s="59">
        <f t="shared" ca="1" si="23"/>
        <v>11.308121991212674</v>
      </c>
      <c r="I47" s="59">
        <f t="shared" ca="1" si="23"/>
        <v>14.268653128142217</v>
      </c>
      <c r="J47" s="59">
        <f t="shared" ca="1" si="23"/>
        <v>17.50212313858535</v>
      </c>
      <c r="K47" s="59">
        <f t="shared" ca="1" si="23"/>
        <v>20.871598222036425</v>
      </c>
      <c r="L47" s="59">
        <f t="shared" ca="1" si="23"/>
        <v>24.239736918823482</v>
      </c>
      <c r="M47" s="59">
        <f t="shared" ca="1" si="23"/>
        <v>27.513650448366793</v>
      </c>
      <c r="N47" s="59">
        <f t="shared" ca="1" si="23"/>
        <v>30.665112052277721</v>
      </c>
      <c r="O47" s="59">
        <f t="shared" ca="1" si="23"/>
        <v>33.698754439374191</v>
      </c>
      <c r="P47" s="59">
        <f t="shared" ca="1" si="23"/>
        <v>36.619035067542711</v>
      </c>
      <c r="Q47" s="56">
        <f t="shared" ref="L47:Q47" ca="1" si="24">MAX($G$2*(Q28-$G$3),0)</f>
        <v>39.43024277331898</v>
      </c>
    </row>
    <row r="48" spans="1:24" x14ac:dyDescent="0.15">
      <c r="A48" s="49">
        <v>2</v>
      </c>
      <c r="B48" s="59" t="str">
        <f t="shared" ref="B48:P48" si="25">IF($A48 &lt;= B$34, ($B$10*C47+$B$11*C48)/EXP($B$6 * $B$3/$B$5),"")</f>
        <v/>
      </c>
      <c r="C48" s="59" t="str">
        <f t="shared" si="25"/>
        <v/>
      </c>
      <c r="D48" s="59">
        <f t="shared" ca="1" si="25"/>
        <v>7.0067416869092636</v>
      </c>
      <c r="E48" s="59">
        <f t="shared" ca="1" si="25"/>
        <v>9.140837950704876</v>
      </c>
      <c r="F48" s="59">
        <f t="shared" ca="1" si="25"/>
        <v>11.655648191529362</v>
      </c>
      <c r="G48" s="59">
        <f t="shared" ca="1" si="25"/>
        <v>14.511078736503629</v>
      </c>
      <c r="H48" s="59">
        <f t="shared" ca="1" si="25"/>
        <v>17.628526494915832</v>
      </c>
      <c r="I48" s="59">
        <f t="shared" ca="1" si="25"/>
        <v>20.900282504664442</v>
      </c>
      <c r="J48" s="59">
        <f t="shared" ca="1" si="25"/>
        <v>24.211337624074901</v>
      </c>
      <c r="K48" s="59">
        <f t="shared" ca="1" si="25"/>
        <v>27.467881253720357</v>
      </c>
      <c r="L48" s="59">
        <f t="shared" ca="1" si="25"/>
        <v>30.618280343622793</v>
      </c>
      <c r="M48" s="59">
        <f t="shared" ca="1" si="25"/>
        <v>33.650899479170292</v>
      </c>
      <c r="N48" s="59">
        <f t="shared" ca="1" si="25"/>
        <v>36.570194632676326</v>
      </c>
      <c r="O48" s="59">
        <f t="shared" ca="1" si="25"/>
        <v>39.380453211301287</v>
      </c>
      <c r="P48" s="59">
        <f t="shared" ca="1" si="25"/>
        <v>42.08580043371628</v>
      </c>
      <c r="Q48" s="56">
        <f t="shared" ref="L48:Q48" ca="1" si="26">MAX($G$2*(Q29-$G$3),0)</f>
        <v>44.690205465543585</v>
      </c>
    </row>
    <row r="49" spans="1:17" x14ac:dyDescent="0.15">
      <c r="A49" s="49">
        <v>1</v>
      </c>
      <c r="B49" s="59" t="str">
        <f t="shared" ref="B49:P49" si="27">IF($A49 &lt;= B$34, ($B$10*C48+$B$11*C49)/EXP($B$6 * $B$3/$B$5),"")</f>
        <v/>
      </c>
      <c r="C49" s="59">
        <f t="shared" ca="1" si="27"/>
        <v>9.5315808580178079</v>
      </c>
      <c r="D49" s="59">
        <f t="shared" ca="1" si="27"/>
        <v>11.98776181671578</v>
      </c>
      <c r="E49" s="59">
        <f t="shared" ca="1" si="27"/>
        <v>14.758083703759013</v>
      </c>
      <c r="F49" s="59">
        <f t="shared" ca="1" si="27"/>
        <v>17.778155242142741</v>
      </c>
      <c r="G49" s="59">
        <f t="shared" ca="1" si="27"/>
        <v>20.959966234076798</v>
      </c>
      <c r="H49" s="59">
        <f t="shared" ca="1" si="27"/>
        <v>24.206320698493752</v>
      </c>
      <c r="I49" s="59">
        <f t="shared" ca="1" si="27"/>
        <v>27.430159837851342</v>
      </c>
      <c r="J49" s="59">
        <f t="shared" ca="1" si="27"/>
        <v>30.5714886426072</v>
      </c>
      <c r="K49" s="59">
        <f t="shared" ca="1" si="27"/>
        <v>33.603084875767316</v>
      </c>
      <c r="L49" s="59">
        <f t="shared" ca="1" si="27"/>
        <v>36.521394891184968</v>
      </c>
      <c r="M49" s="59">
        <f t="shared" ca="1" si="27"/>
        <v>39.330704667121616</v>
      </c>
      <c r="N49" s="59">
        <f t="shared" ca="1" si="27"/>
        <v>42.035138047403287</v>
      </c>
      <c r="O49" s="59">
        <f t="shared" ca="1" si="27"/>
        <v>44.63866287481617</v>
      </c>
      <c r="P49" s="59">
        <f t="shared" ca="1" si="27"/>
        <v>47.145096892481654</v>
      </c>
      <c r="Q49" s="56">
        <f t="shared" ref="L49:Q49" ca="1" si="28">MAX($G$2*(Q30-$G$3),0)</f>
        <v>49.558113421987763</v>
      </c>
    </row>
    <row r="50" spans="1:17" x14ac:dyDescent="0.15">
      <c r="A50" s="49">
        <v>0</v>
      </c>
      <c r="B50" s="59">
        <f t="shared" ref="B50:P50" ca="1" si="29">IF($A50 &lt;= B$34, ($B$10*C49+$B$11*C50)/EXP($B$6 * $B$3/$B$5),"")</f>
        <v>12.30513760441559</v>
      </c>
      <c r="C50" s="59">
        <f t="shared" ca="1" si="29"/>
        <v>15.004477868421215</v>
      </c>
      <c r="D50" s="59">
        <f t="shared" ca="1" si="29"/>
        <v>17.941535346181716</v>
      </c>
      <c r="E50" s="59">
        <f t="shared" ca="1" si="29"/>
        <v>21.042310191263944</v>
      </c>
      <c r="F50" s="59">
        <f t="shared" ca="1" si="29"/>
        <v>24.223430492776853</v>
      </c>
      <c r="G50" s="59">
        <f t="shared" ca="1" si="29"/>
        <v>27.405970229411974</v>
      </c>
      <c r="H50" s="59">
        <f t="shared" ca="1" si="29"/>
        <v>30.528679371118884</v>
      </c>
      <c r="I50" s="59">
        <f t="shared" ca="1" si="29"/>
        <v>33.555310599448781</v>
      </c>
      <c r="J50" s="59">
        <f t="shared" ca="1" si="29"/>
        <v>36.472635813234547</v>
      </c>
      <c r="K50" s="59">
        <f t="shared" ca="1" si="29"/>
        <v>39.280997110832331</v>
      </c>
      <c r="L50" s="59">
        <f t="shared" ca="1" si="29"/>
        <v>41.984516961681251</v>
      </c>
      <c r="M50" s="59">
        <f t="shared" ca="1" si="29"/>
        <v>44.587161886172289</v>
      </c>
      <c r="N50" s="59">
        <f t="shared" ca="1" si="29"/>
        <v>47.092748355056521</v>
      </c>
      <c r="O50" s="59">
        <f t="shared" ca="1" si="29"/>
        <v>49.504948465684151</v>
      </c>
      <c r="P50" s="59">
        <f t="shared" ca="1" si="29"/>
        <v>51.827295403516658</v>
      </c>
      <c r="Q50" s="56">
        <f t="shared" ref="L50:Q50" ca="1" si="30">MAX($G$2*(Q31-$G$3),0)</f>
        <v>54.063188697035102</v>
      </c>
    </row>
    <row r="52" spans="1:17" x14ac:dyDescent="0.15">
      <c r="A52" s="53" t="s">
        <v>33</v>
      </c>
      <c r="M52" s="53"/>
    </row>
    <row r="53" spans="1:17" x14ac:dyDescent="0.15">
      <c r="B53" s="54">
        <v>0</v>
      </c>
      <c r="C53" s="54">
        <v>1</v>
      </c>
      <c r="D53" s="54">
        <v>2</v>
      </c>
      <c r="E53" s="54">
        <v>3</v>
      </c>
      <c r="F53" s="54">
        <v>4</v>
      </c>
      <c r="G53" s="54">
        <v>5</v>
      </c>
      <c r="H53" s="54">
        <v>6</v>
      </c>
      <c r="I53" s="54">
        <v>7</v>
      </c>
      <c r="J53" s="54">
        <v>8</v>
      </c>
      <c r="K53" s="54">
        <v>9</v>
      </c>
      <c r="L53" s="49">
        <v>10</v>
      </c>
      <c r="M53" s="49">
        <v>11</v>
      </c>
      <c r="N53" s="49">
        <v>12</v>
      </c>
      <c r="O53" s="49">
        <v>13</v>
      </c>
      <c r="P53" s="49">
        <v>14</v>
      </c>
      <c r="Q53" s="49">
        <v>15</v>
      </c>
    </row>
    <row r="54" spans="1:17" x14ac:dyDescent="0.15">
      <c r="A54" s="49">
        <v>15</v>
      </c>
      <c r="M54" s="55" t="str">
        <f t="shared" ref="M54:Q69" ca="1" si="31">IF($A54&lt;M$15,$B$9*OFFSET(M54,0,-1),IF($A54=M$15,$B$8*OFFSET(M54,1,-1),""))</f>
        <v/>
      </c>
      <c r="N54" s="55" t="str">
        <f t="shared" ca="1" si="31"/>
        <v/>
      </c>
      <c r="O54" s="55" t="str">
        <f t="shared" ca="1" si="31"/>
        <v/>
      </c>
      <c r="P54" s="55" t="str">
        <f t="shared" ca="1" si="31"/>
        <v/>
      </c>
      <c r="Q54" s="55">
        <f t="shared" ca="1" si="31"/>
        <v>178.77315075823685</v>
      </c>
    </row>
    <row r="55" spans="1:17" x14ac:dyDescent="0.15">
      <c r="A55" s="49">
        <v>14</v>
      </c>
      <c r="M55" s="55" t="str">
        <f t="shared" ca="1" si="31"/>
        <v/>
      </c>
      <c r="N55" s="55" t="str">
        <f t="shared" ca="1" si="31"/>
        <v/>
      </c>
      <c r="O55" s="55" t="str">
        <f t="shared" ca="1" si="31"/>
        <v/>
      </c>
      <c r="P55" s="55">
        <f t="shared" ca="1" si="31"/>
        <v>171.98166193235366</v>
      </c>
      <c r="Q55" s="55">
        <f t="shared" ca="1" si="31"/>
        <v>165.44817784754298</v>
      </c>
    </row>
    <row r="56" spans="1:17" x14ac:dyDescent="0.15">
      <c r="A56" s="49">
        <v>13</v>
      </c>
      <c r="M56" s="55" t="str">
        <f t="shared" ca="1" si="31"/>
        <v/>
      </c>
      <c r="N56" s="55" t="str">
        <f t="shared" ca="1" si="31"/>
        <v/>
      </c>
      <c r="O56" s="55">
        <f t="shared" ca="1" si="31"/>
        <v>165.44817784754298</v>
      </c>
      <c r="P56" s="55">
        <f t="shared" ca="1" si="31"/>
        <v>159.16289705258808</v>
      </c>
      <c r="Q56" s="55">
        <f t="shared" ca="1" si="31"/>
        <v>153.11639044774745</v>
      </c>
    </row>
    <row r="57" spans="1:17" x14ac:dyDescent="0.15">
      <c r="A57" s="49">
        <v>12</v>
      </c>
      <c r="M57" s="55" t="str">
        <f t="shared" ca="1" si="31"/>
        <v/>
      </c>
      <c r="N57" s="55">
        <f t="shared" ca="1" si="31"/>
        <v>159.16289705258808</v>
      </c>
      <c r="O57" s="55">
        <f t="shared" ca="1" si="31"/>
        <v>153.11639044774745</v>
      </c>
      <c r="P57" s="55">
        <f t="shared" ca="1" si="31"/>
        <v>147.29958713933715</v>
      </c>
      <c r="Q57" s="55">
        <f t="shared" ca="1" si="31"/>
        <v>141.70376083168941</v>
      </c>
    </row>
    <row r="58" spans="1:17" x14ac:dyDescent="0.15">
      <c r="A58" s="49">
        <v>11</v>
      </c>
      <c r="M58" s="55">
        <f t="shared" ca="1" si="31"/>
        <v>153.11639044774745</v>
      </c>
      <c r="N58" s="55">
        <f t="shared" ca="1" si="31"/>
        <v>147.29958713933715</v>
      </c>
      <c r="O58" s="55">
        <f t="shared" ca="1" si="31"/>
        <v>141.70376083168941</v>
      </c>
      <c r="P58" s="55">
        <f t="shared" ca="1" si="31"/>
        <v>136.32051673607288</v>
      </c>
      <c r="Q58" s="55">
        <f t="shared" ca="1" si="31"/>
        <v>131.14177897693537</v>
      </c>
    </row>
    <row r="59" spans="1:17" x14ac:dyDescent="0.15">
      <c r="A59" s="49">
        <v>10</v>
      </c>
      <c r="B59" s="54"/>
      <c r="C59" s="55" t="str">
        <f t="shared" ref="C59:L69" ca="1" si="32">IF($A59&lt;C$15,$B$9*OFFSET(C59,0,-1),IF($A59=C$15,$B$8*OFFSET(C59,1,-1),""))</f>
        <v/>
      </c>
      <c r="D59" s="55" t="str">
        <f t="shared" ca="1" si="32"/>
        <v/>
      </c>
      <c r="E59" s="55" t="str">
        <f t="shared" ca="1" si="32"/>
        <v/>
      </c>
      <c r="F59" s="55" t="str">
        <f t="shared" ca="1" si="32"/>
        <v/>
      </c>
      <c r="G59" s="55" t="str">
        <f t="shared" ca="1" si="32"/>
        <v/>
      </c>
      <c r="H59" s="55" t="str">
        <f t="shared" ca="1" si="32"/>
        <v/>
      </c>
      <c r="I59" s="55" t="str">
        <f t="shared" ca="1" si="32"/>
        <v/>
      </c>
      <c r="J59" s="55" t="str">
        <f t="shared" ca="1" si="32"/>
        <v/>
      </c>
      <c r="K59" s="55" t="str">
        <f t="shared" ca="1" si="32"/>
        <v/>
      </c>
      <c r="L59" s="55">
        <f t="shared" ca="1" si="32"/>
        <v>147.29958713933715</v>
      </c>
      <c r="M59" s="55">
        <f t="shared" ca="1" si="31"/>
        <v>141.70376083168941</v>
      </c>
      <c r="N59" s="55">
        <f t="shared" ca="1" si="31"/>
        <v>136.32051673607288</v>
      </c>
      <c r="O59" s="55">
        <f t="shared" ca="1" si="31"/>
        <v>131.14177897693537</v>
      </c>
      <c r="P59" s="55">
        <f t="shared" ca="1" si="31"/>
        <v>126.15977847657631</v>
      </c>
      <c r="Q59" s="55">
        <f t="shared" ca="1" si="31"/>
        <v>121.36704130007335</v>
      </c>
    </row>
    <row r="60" spans="1:17" x14ac:dyDescent="0.15">
      <c r="A60" s="49">
        <v>9</v>
      </c>
      <c r="B60" s="54"/>
      <c r="C60" s="55" t="str">
        <f t="shared" ca="1" si="32"/>
        <v/>
      </c>
      <c r="D60" s="55" t="str">
        <f t="shared" ca="1" si="32"/>
        <v/>
      </c>
      <c r="E60" s="55" t="str">
        <f t="shared" ca="1" si="32"/>
        <v/>
      </c>
      <c r="F60" s="55" t="str">
        <f t="shared" ca="1" si="32"/>
        <v/>
      </c>
      <c r="G60" s="55" t="str">
        <f t="shared" ca="1" si="32"/>
        <v/>
      </c>
      <c r="H60" s="55" t="str">
        <f t="shared" ca="1" si="32"/>
        <v/>
      </c>
      <c r="I60" s="55" t="str">
        <f t="shared" ca="1" si="32"/>
        <v/>
      </c>
      <c r="J60" s="55" t="str">
        <f t="shared" ca="1" si="32"/>
        <v/>
      </c>
      <c r="K60" s="55">
        <f t="shared" ca="1" si="32"/>
        <v>141.70376083168941</v>
      </c>
      <c r="L60" s="55">
        <f t="shared" ca="1" si="32"/>
        <v>136.32051673607288</v>
      </c>
      <c r="M60" s="55">
        <f t="shared" ca="1" si="31"/>
        <v>131.14177897693537</v>
      </c>
      <c r="N60" s="55">
        <f t="shared" ca="1" si="31"/>
        <v>126.15977847657631</v>
      </c>
      <c r="O60" s="55">
        <f t="shared" ca="1" si="31"/>
        <v>121.36704130007335</v>
      </c>
      <c r="P60" s="55">
        <f t="shared" ca="1" si="31"/>
        <v>116.7563774429786</v>
      </c>
      <c r="Q60" s="55">
        <f t="shared" ca="1" si="31"/>
        <v>112.32087004496371</v>
      </c>
    </row>
    <row r="61" spans="1:17" x14ac:dyDescent="0.15">
      <c r="A61" s="49">
        <v>8</v>
      </c>
      <c r="B61" s="54"/>
      <c r="C61" s="55" t="str">
        <f t="shared" ca="1" si="32"/>
        <v/>
      </c>
      <c r="D61" s="55" t="str">
        <f t="shared" ca="1" si="32"/>
        <v/>
      </c>
      <c r="E61" s="55" t="str">
        <f t="shared" ca="1" si="32"/>
        <v/>
      </c>
      <c r="F61" s="55" t="str">
        <f t="shared" ca="1" si="32"/>
        <v/>
      </c>
      <c r="G61" s="55" t="str">
        <f t="shared" ca="1" si="32"/>
        <v/>
      </c>
      <c r="H61" s="55" t="str">
        <f t="shared" ca="1" si="32"/>
        <v/>
      </c>
      <c r="I61" s="55" t="str">
        <f t="shared" ca="1" si="32"/>
        <v/>
      </c>
      <c r="J61" s="55">
        <f t="shared" ca="1" si="32"/>
        <v>136.32051673607288</v>
      </c>
      <c r="K61" s="55">
        <f t="shared" ca="1" si="32"/>
        <v>131.14177897693537</v>
      </c>
      <c r="L61" s="55">
        <f t="shared" ca="1" si="32"/>
        <v>126.15977847657631</v>
      </c>
      <c r="M61" s="55">
        <f t="shared" ca="1" si="31"/>
        <v>121.36704130007335</v>
      </c>
      <c r="N61" s="55">
        <f t="shared" ca="1" si="31"/>
        <v>116.7563774429786</v>
      </c>
      <c r="O61" s="55">
        <f t="shared" ca="1" si="31"/>
        <v>112.32087004496371</v>
      </c>
      <c r="P61" s="55">
        <f t="shared" ca="1" si="31"/>
        <v>108.05386501323244</v>
      </c>
      <c r="Q61" s="55">
        <f t="shared" ca="1" si="31"/>
        <v>103.94896104013374</v>
      </c>
    </row>
    <row r="62" spans="1:17" x14ac:dyDescent="0.15">
      <c r="A62" s="49">
        <v>7</v>
      </c>
      <c r="B62" s="54"/>
      <c r="C62" s="55" t="str">
        <f t="shared" ca="1" si="32"/>
        <v/>
      </c>
      <c r="D62" s="55" t="str">
        <f t="shared" ca="1" si="32"/>
        <v/>
      </c>
      <c r="E62" s="55" t="str">
        <f t="shared" ca="1" si="32"/>
        <v/>
      </c>
      <c r="F62" s="55" t="str">
        <f t="shared" ca="1" si="32"/>
        <v/>
      </c>
      <c r="G62" s="55" t="str">
        <f t="shared" ca="1" si="32"/>
        <v/>
      </c>
      <c r="H62" s="55" t="str">
        <f t="shared" ca="1" si="32"/>
        <v/>
      </c>
      <c r="I62" s="55">
        <f t="shared" ca="1" si="32"/>
        <v>131.14177897693537</v>
      </c>
      <c r="J62" s="55">
        <f t="shared" ca="1" si="32"/>
        <v>126.15977847657631</v>
      </c>
      <c r="K62" s="55">
        <f t="shared" ca="1" si="32"/>
        <v>121.36704130007335</v>
      </c>
      <c r="L62" s="55">
        <f t="shared" ca="1" si="32"/>
        <v>116.7563774429786</v>
      </c>
      <c r="M62" s="55">
        <f t="shared" ca="1" si="31"/>
        <v>112.32087004496371</v>
      </c>
      <c r="N62" s="55">
        <f t="shared" ca="1" si="31"/>
        <v>108.05386501323244</v>
      </c>
      <c r="O62" s="55">
        <f t="shared" ca="1" si="31"/>
        <v>103.94896104013374</v>
      </c>
      <c r="P62" s="55">
        <f t="shared" ca="1" si="31"/>
        <v>99.999999999999972</v>
      </c>
      <c r="Q62" s="55">
        <f t="shared" ca="1" si="31"/>
        <v>96.201057710803738</v>
      </c>
    </row>
    <row r="63" spans="1:17" x14ac:dyDescent="0.15">
      <c r="A63" s="49">
        <v>6</v>
      </c>
      <c r="B63" s="54"/>
      <c r="C63" s="55" t="str">
        <f t="shared" ca="1" si="32"/>
        <v/>
      </c>
      <c r="D63" s="55" t="str">
        <f t="shared" ca="1" si="32"/>
        <v/>
      </c>
      <c r="E63" s="55" t="str">
        <f t="shared" ca="1" si="32"/>
        <v/>
      </c>
      <c r="F63" s="55" t="str">
        <f t="shared" ca="1" si="32"/>
        <v/>
      </c>
      <c r="G63" s="55" t="str">
        <f t="shared" ca="1" si="32"/>
        <v/>
      </c>
      <c r="H63" s="55">
        <f t="shared" ca="1" si="32"/>
        <v>126.15977847657631</v>
      </c>
      <c r="I63" s="55">
        <f t="shared" ca="1" si="32"/>
        <v>121.36704130007335</v>
      </c>
      <c r="J63" s="55">
        <f t="shared" ca="1" si="32"/>
        <v>116.7563774429786</v>
      </c>
      <c r="K63" s="55">
        <f t="shared" ca="1" si="32"/>
        <v>112.32087004496371</v>
      </c>
      <c r="L63" s="55">
        <f t="shared" ca="1" si="32"/>
        <v>108.05386501323244</v>
      </c>
      <c r="M63" s="55">
        <f t="shared" ca="1" si="31"/>
        <v>103.94896104013374</v>
      </c>
      <c r="N63" s="55">
        <f t="shared" ca="1" si="31"/>
        <v>99.999999999999972</v>
      </c>
      <c r="O63" s="55">
        <f t="shared" ca="1" si="31"/>
        <v>96.201057710803738</v>
      </c>
      <c r="P63" s="55">
        <f t="shared" ca="1" si="31"/>
        <v>92.546435046773937</v>
      </c>
      <c r="Q63" s="55">
        <f t="shared" ca="1" si="31"/>
        <v>89.030649388638508</v>
      </c>
    </row>
    <row r="64" spans="1:17" x14ac:dyDescent="0.15">
      <c r="A64" s="49">
        <v>5</v>
      </c>
      <c r="C64" s="55" t="str">
        <f t="shared" ca="1" si="32"/>
        <v/>
      </c>
      <c r="D64" s="55" t="str">
        <f t="shared" ca="1" si="32"/>
        <v/>
      </c>
      <c r="E64" s="55" t="str">
        <f t="shared" ca="1" si="32"/>
        <v/>
      </c>
      <c r="F64" s="55" t="str">
        <f t="shared" ca="1" si="32"/>
        <v/>
      </c>
      <c r="G64" s="55">
        <f t="shared" ca="1" si="32"/>
        <v>121.36704130007337</v>
      </c>
      <c r="H64" s="55">
        <f t="shared" ca="1" si="32"/>
        <v>116.75637744297862</v>
      </c>
      <c r="I64" s="55">
        <f t="shared" ca="1" si="32"/>
        <v>112.32087004496373</v>
      </c>
      <c r="J64" s="55">
        <f t="shared" ca="1" si="32"/>
        <v>108.05386501323245</v>
      </c>
      <c r="K64" s="55">
        <f t="shared" ca="1" si="32"/>
        <v>103.94896104013375</v>
      </c>
      <c r="L64" s="55">
        <f t="shared" ca="1" si="32"/>
        <v>99.999999999999986</v>
      </c>
      <c r="M64" s="55">
        <f t="shared" ca="1" si="31"/>
        <v>96.201057710803752</v>
      </c>
      <c r="N64" s="55">
        <f t="shared" ca="1" si="31"/>
        <v>92.546435046773951</v>
      </c>
      <c r="O64" s="55">
        <f t="shared" ca="1" si="31"/>
        <v>89.030649388638523</v>
      </c>
      <c r="P64" s="55">
        <f t="shared" ca="1" si="31"/>
        <v>85.648426398667496</v>
      </c>
      <c r="Q64" s="55">
        <f t="shared" ca="1" si="31"/>
        <v>82.394692108177395</v>
      </c>
    </row>
    <row r="65" spans="1:17" x14ac:dyDescent="0.15">
      <c r="A65" s="49">
        <v>4</v>
      </c>
      <c r="C65" s="55" t="str">
        <f t="shared" ca="1" si="32"/>
        <v/>
      </c>
      <c r="D65" s="55" t="str">
        <f t="shared" ca="1" si="32"/>
        <v/>
      </c>
      <c r="E65" s="55" t="str">
        <f t="shared" ca="1" si="32"/>
        <v/>
      </c>
      <c r="F65" s="55">
        <f t="shared" ca="1" si="32"/>
        <v>116.75637744297862</v>
      </c>
      <c r="G65" s="55">
        <f t="shared" ca="1" si="32"/>
        <v>112.32087004496373</v>
      </c>
      <c r="H65" s="55">
        <f t="shared" ca="1" si="32"/>
        <v>108.05386501323245</v>
      </c>
      <c r="I65" s="55">
        <f t="shared" ca="1" si="32"/>
        <v>103.94896104013375</v>
      </c>
      <c r="J65" s="55">
        <f t="shared" ca="1" si="32"/>
        <v>99.999999999999986</v>
      </c>
      <c r="K65" s="55">
        <f t="shared" ca="1" si="32"/>
        <v>96.201057710803752</v>
      </c>
      <c r="L65" s="55">
        <f t="shared" ca="1" si="32"/>
        <v>92.546435046773951</v>
      </c>
      <c r="M65" s="55">
        <f t="shared" ca="1" si="31"/>
        <v>89.030649388638523</v>
      </c>
      <c r="N65" s="55">
        <f t="shared" ca="1" si="31"/>
        <v>85.648426398667496</v>
      </c>
      <c r="O65" s="55">
        <f t="shared" ca="1" si="31"/>
        <v>82.394692108177395</v>
      </c>
      <c r="P65" s="55">
        <f t="shared" ca="1" si="31"/>
        <v>79.264565305626803</v>
      </c>
      <c r="Q65" s="55">
        <f t="shared" ca="1" si="31"/>
        <v>76.253350213883778</v>
      </c>
    </row>
    <row r="66" spans="1:17" x14ac:dyDescent="0.15">
      <c r="A66" s="49">
        <v>3</v>
      </c>
      <c r="C66" s="55" t="str">
        <f t="shared" ca="1" si="32"/>
        <v/>
      </c>
      <c r="D66" s="55" t="str">
        <f t="shared" ca="1" si="32"/>
        <v/>
      </c>
      <c r="E66" s="55">
        <f t="shared" ca="1" si="32"/>
        <v>112.32087004496373</v>
      </c>
      <c r="F66" s="55">
        <f t="shared" ca="1" si="32"/>
        <v>108.05386501323245</v>
      </c>
      <c r="G66" s="55">
        <f t="shared" ca="1" si="32"/>
        <v>103.94896104013375</v>
      </c>
      <c r="H66" s="55">
        <f t="shared" ca="1" si="32"/>
        <v>99.999999999999986</v>
      </c>
      <c r="I66" s="55">
        <f t="shared" ca="1" si="32"/>
        <v>96.201057710803752</v>
      </c>
      <c r="J66" s="55">
        <f t="shared" ca="1" si="32"/>
        <v>92.546435046773951</v>
      </c>
      <c r="K66" s="55">
        <f t="shared" ca="1" si="32"/>
        <v>89.030649388638523</v>
      </c>
      <c r="L66" s="55">
        <f t="shared" ca="1" si="32"/>
        <v>85.648426398667496</v>
      </c>
      <c r="M66" s="55">
        <f t="shared" ca="1" si="31"/>
        <v>82.394692108177395</v>
      </c>
      <c r="N66" s="55">
        <f t="shared" ca="1" si="31"/>
        <v>79.264565305626803</v>
      </c>
      <c r="O66" s="55">
        <f t="shared" ca="1" si="31"/>
        <v>76.253350213883778</v>
      </c>
      <c r="P66" s="55">
        <f t="shared" ca="1" si="31"/>
        <v>73.356529445679641</v>
      </c>
      <c r="Q66" s="55">
        <f t="shared" ca="1" si="31"/>
        <v>70.56975722668102</v>
      </c>
    </row>
    <row r="67" spans="1:17" x14ac:dyDescent="0.15">
      <c r="A67" s="49">
        <v>2</v>
      </c>
      <c r="C67" s="55" t="str">
        <f t="shared" ca="1" si="32"/>
        <v/>
      </c>
      <c r="D67" s="55">
        <f t="shared" ca="1" si="32"/>
        <v>108.05386501323245</v>
      </c>
      <c r="E67" s="55">
        <f t="shared" ca="1" si="32"/>
        <v>103.94896104013375</v>
      </c>
      <c r="F67" s="55">
        <f t="shared" ca="1" si="32"/>
        <v>99.999999999999986</v>
      </c>
      <c r="G67" s="55">
        <f t="shared" ca="1" si="32"/>
        <v>96.201057710803752</v>
      </c>
      <c r="H67" s="55">
        <f t="shared" ca="1" si="32"/>
        <v>92.546435046773951</v>
      </c>
      <c r="I67" s="55">
        <f t="shared" ca="1" si="32"/>
        <v>89.030649388638523</v>
      </c>
      <c r="J67" s="55">
        <f t="shared" ca="1" si="32"/>
        <v>85.648426398667496</v>
      </c>
      <c r="K67" s="55">
        <f t="shared" ca="1" si="32"/>
        <v>82.394692108177395</v>
      </c>
      <c r="L67" s="55">
        <f t="shared" ca="1" si="32"/>
        <v>79.264565305626803</v>
      </c>
      <c r="M67" s="55">
        <f t="shared" ca="1" si="31"/>
        <v>76.253350213883778</v>
      </c>
      <c r="N67" s="55">
        <f t="shared" ca="1" si="31"/>
        <v>73.356529445679641</v>
      </c>
      <c r="O67" s="55">
        <f t="shared" ca="1" si="31"/>
        <v>70.56975722668102</v>
      </c>
      <c r="P67" s="55">
        <f t="shared" ca="1" si="31"/>
        <v>67.888852876013516</v>
      </c>
      <c r="Q67" s="55">
        <f t="shared" ca="1" si="31"/>
        <v>65.309794534456415</v>
      </c>
    </row>
    <row r="68" spans="1:17" x14ac:dyDescent="0.15">
      <c r="A68" s="49">
        <v>1</v>
      </c>
      <c r="C68" s="55">
        <f t="shared" ca="1" si="32"/>
        <v>103.94896104013375</v>
      </c>
      <c r="D68" s="55">
        <f t="shared" ca="1" si="32"/>
        <v>99.999999999999986</v>
      </c>
      <c r="E68" s="55">
        <f t="shared" ca="1" si="32"/>
        <v>96.201057710803752</v>
      </c>
      <c r="F68" s="55">
        <f t="shared" ca="1" si="32"/>
        <v>92.546435046773951</v>
      </c>
      <c r="G68" s="55">
        <f t="shared" ca="1" si="32"/>
        <v>89.030649388638523</v>
      </c>
      <c r="H68" s="55">
        <f t="shared" ca="1" si="32"/>
        <v>85.648426398667496</v>
      </c>
      <c r="I68" s="55">
        <f t="shared" ca="1" si="32"/>
        <v>82.394692108177395</v>
      </c>
      <c r="J68" s="55">
        <f t="shared" ca="1" si="32"/>
        <v>79.264565305626803</v>
      </c>
      <c r="K68" s="55">
        <f t="shared" ca="1" si="32"/>
        <v>76.253350213883778</v>
      </c>
      <c r="L68" s="55">
        <f t="shared" ca="1" si="32"/>
        <v>73.356529445679641</v>
      </c>
      <c r="M68" s="55">
        <f t="shared" ca="1" si="31"/>
        <v>70.56975722668102</v>
      </c>
      <c r="N68" s="55">
        <f t="shared" ca="1" si="31"/>
        <v>67.888852876013516</v>
      </c>
      <c r="O68" s="55">
        <f t="shared" ca="1" si="31"/>
        <v>65.309794534456415</v>
      </c>
      <c r="P68" s="55">
        <f t="shared" ca="1" si="31"/>
        <v>62.828713130899779</v>
      </c>
      <c r="Q68" s="55">
        <f t="shared" ca="1" si="31"/>
        <v>60.441886578012237</v>
      </c>
    </row>
    <row r="69" spans="1:17" x14ac:dyDescent="0.15">
      <c r="A69" s="49">
        <v>0</v>
      </c>
      <c r="B69" s="55">
        <f>$B$2</f>
        <v>100</v>
      </c>
      <c r="C69" s="55">
        <f t="shared" ca="1" si="32"/>
        <v>96.201057710803767</v>
      </c>
      <c r="D69" s="55">
        <f t="shared" ca="1" si="32"/>
        <v>92.546435046773965</v>
      </c>
      <c r="E69" s="55">
        <f t="shared" ca="1" si="32"/>
        <v>89.030649388638537</v>
      </c>
      <c r="F69" s="55">
        <f t="shared" ca="1" si="32"/>
        <v>85.64842639866751</v>
      </c>
      <c r="G69" s="55">
        <f t="shared" ca="1" si="32"/>
        <v>82.394692108177409</v>
      </c>
      <c r="H69" s="55">
        <f t="shared" ca="1" si="32"/>
        <v>79.264565305626817</v>
      </c>
      <c r="I69" s="55">
        <f t="shared" ca="1" si="32"/>
        <v>76.253350213883792</v>
      </c>
      <c r="J69" s="55">
        <f t="shared" ca="1" si="32"/>
        <v>73.356529445679655</v>
      </c>
      <c r="K69" s="55">
        <f t="shared" ca="1" si="32"/>
        <v>70.569757226681034</v>
      </c>
      <c r="L69" s="55">
        <f t="shared" ca="1" si="32"/>
        <v>67.88885287601353</v>
      </c>
      <c r="M69" s="55">
        <f t="shared" ca="1" si="31"/>
        <v>65.309794534456429</v>
      </c>
      <c r="N69" s="55">
        <f t="shared" ca="1" si="31"/>
        <v>62.828713130899793</v>
      </c>
      <c r="O69" s="55">
        <f t="shared" ca="1" si="31"/>
        <v>60.441886578012252</v>
      </c>
      <c r="P69" s="55">
        <f t="shared" ca="1" si="31"/>
        <v>58.145734188412121</v>
      </c>
      <c r="Q69" s="55">
        <f t="shared" ca="1" si="31"/>
        <v>55.936811302964898</v>
      </c>
    </row>
    <row r="71" spans="1:17" x14ac:dyDescent="0.15">
      <c r="A71" s="58" t="s">
        <v>36</v>
      </c>
      <c r="O71" s="54"/>
      <c r="P71" s="54"/>
      <c r="Q71" s="54"/>
    </row>
    <row r="72" spans="1:17" x14ac:dyDescent="0.15">
      <c r="B72" s="54">
        <v>0</v>
      </c>
      <c r="C72" s="54">
        <v>1</v>
      </c>
      <c r="D72" s="54">
        <v>2</v>
      </c>
      <c r="E72" s="54">
        <v>3</v>
      </c>
      <c r="F72" s="54">
        <v>4</v>
      </c>
      <c r="G72" s="54">
        <v>5</v>
      </c>
      <c r="H72" s="54">
        <v>6</v>
      </c>
      <c r="I72" s="54">
        <v>7</v>
      </c>
      <c r="J72" s="54">
        <v>8</v>
      </c>
      <c r="K72" s="54">
        <v>9</v>
      </c>
      <c r="L72" s="49">
        <v>10</v>
      </c>
      <c r="M72" s="49">
        <v>11</v>
      </c>
      <c r="N72" s="49">
        <v>12</v>
      </c>
      <c r="O72" s="54">
        <v>13</v>
      </c>
      <c r="P72" s="60">
        <v>14</v>
      </c>
      <c r="Q72" s="60">
        <v>15</v>
      </c>
    </row>
    <row r="73" spans="1:17" x14ac:dyDescent="0.15">
      <c r="A73" s="49">
        <v>15</v>
      </c>
      <c r="K73" s="59" t="str">
        <f t="shared" ref="K73:P73" si="33">IF($A73 &lt;= K$34, ($B$10*L72+$B$11*L73)/EXP($B$6 * $B$3/$B$5),"")</f>
        <v/>
      </c>
      <c r="L73" s="59" t="str">
        <f t="shared" si="33"/>
        <v/>
      </c>
      <c r="M73" s="59" t="str">
        <f t="shared" si="33"/>
        <v/>
      </c>
      <c r="N73" s="59" t="str">
        <f t="shared" si="33"/>
        <v/>
      </c>
      <c r="O73" s="59" t="str">
        <f t="shared" si="33"/>
        <v/>
      </c>
      <c r="P73" s="59" t="str">
        <f t="shared" si="33"/>
        <v/>
      </c>
      <c r="Q73" s="56">
        <f t="shared" ref="Q73:Q78" ca="1" si="34">MAX($G$2*(Q54-$G$3),0)</f>
        <v>0</v>
      </c>
    </row>
    <row r="74" spans="1:17" x14ac:dyDescent="0.15">
      <c r="A74" s="49">
        <v>14</v>
      </c>
      <c r="B74" s="59" t="str">
        <f t="shared" ref="B74:O88" si="35">IF($A74 &lt;= B$34, MAX(MAX($G$2*(B55-$G$3),0),($B$10*C73+$B$11*C74)/EXP($B$6 * $B$3/$B$5)),"")</f>
        <v/>
      </c>
      <c r="C74" s="59" t="str">
        <f t="shared" si="35"/>
        <v/>
      </c>
      <c r="D74" s="59" t="str">
        <f t="shared" si="35"/>
        <v/>
      </c>
      <c r="E74" s="59" t="str">
        <f t="shared" si="35"/>
        <v/>
      </c>
      <c r="F74" s="59" t="str">
        <f t="shared" si="35"/>
        <v/>
      </c>
      <c r="G74" s="59" t="str">
        <f t="shared" si="35"/>
        <v/>
      </c>
      <c r="H74" s="59" t="str">
        <f t="shared" si="35"/>
        <v/>
      </c>
      <c r="I74" s="59" t="str">
        <f t="shared" si="35"/>
        <v/>
      </c>
      <c r="J74" s="59" t="str">
        <f t="shared" si="35"/>
        <v/>
      </c>
      <c r="K74" s="59" t="str">
        <f t="shared" si="35"/>
        <v/>
      </c>
      <c r="L74" s="59" t="str">
        <f t="shared" si="35"/>
        <v/>
      </c>
      <c r="M74" s="59" t="str">
        <f t="shared" si="35"/>
        <v/>
      </c>
      <c r="N74" s="59" t="str">
        <f t="shared" si="35"/>
        <v/>
      </c>
      <c r="O74" s="59" t="str">
        <f t="shared" si="35"/>
        <v/>
      </c>
      <c r="P74" s="59">
        <f ca="1">IF($A74 &lt;= P$34, MAX(MAX($G$2*(P55-$G$3),0),($B$10*Q73+$B$11*Q74)/EXP($B$6 * $B$3/$B$5)),"")</f>
        <v>0</v>
      </c>
      <c r="Q74" s="56">
        <f t="shared" ca="1" si="34"/>
        <v>0</v>
      </c>
    </row>
    <row r="75" spans="1:17" x14ac:dyDescent="0.15">
      <c r="A75" s="49">
        <v>13</v>
      </c>
      <c r="B75" s="59" t="str">
        <f t="shared" si="35"/>
        <v/>
      </c>
      <c r="C75" s="59" t="str">
        <f t="shared" si="35"/>
        <v/>
      </c>
      <c r="D75" s="59" t="str">
        <f t="shared" si="35"/>
        <v/>
      </c>
      <c r="E75" s="59" t="str">
        <f t="shared" si="35"/>
        <v/>
      </c>
      <c r="F75" s="59" t="str">
        <f t="shared" si="35"/>
        <v/>
      </c>
      <c r="G75" s="59" t="str">
        <f t="shared" si="35"/>
        <v/>
      </c>
      <c r="H75" s="59" t="str">
        <f t="shared" si="35"/>
        <v/>
      </c>
      <c r="I75" s="59" t="str">
        <f t="shared" si="35"/>
        <v/>
      </c>
      <c r="J75" s="59" t="str">
        <f t="shared" si="35"/>
        <v/>
      </c>
      <c r="K75" s="59" t="str">
        <f t="shared" si="35"/>
        <v/>
      </c>
      <c r="L75" s="59" t="str">
        <f t="shared" si="35"/>
        <v/>
      </c>
      <c r="M75" s="59" t="str">
        <f t="shared" si="35"/>
        <v/>
      </c>
      <c r="N75" s="59" t="str">
        <f t="shared" si="35"/>
        <v/>
      </c>
      <c r="O75" s="59">
        <f t="shared" ca="1" si="35"/>
        <v>0</v>
      </c>
      <c r="P75" s="59">
        <f t="shared" ref="P75:P88" ca="1" si="36">IF($A75 &lt;= P$34, MAX(MAX($G$2*(P56-$G$3),0),($B$10*Q74+$B$11*Q75)/EXP($B$6 * $B$3/$B$5)),"")</f>
        <v>0</v>
      </c>
      <c r="Q75" s="56">
        <f t="shared" ca="1" si="34"/>
        <v>0</v>
      </c>
    </row>
    <row r="76" spans="1:17" x14ac:dyDescent="0.15">
      <c r="A76" s="49">
        <v>12</v>
      </c>
      <c r="B76" s="59" t="str">
        <f t="shared" si="35"/>
        <v/>
      </c>
      <c r="C76" s="59" t="str">
        <f t="shared" si="35"/>
        <v/>
      </c>
      <c r="D76" s="59" t="str">
        <f t="shared" si="35"/>
        <v/>
      </c>
      <c r="E76" s="59" t="str">
        <f t="shared" si="35"/>
        <v/>
      </c>
      <c r="F76" s="59" t="str">
        <f t="shared" si="35"/>
        <v/>
      </c>
      <c r="G76" s="59" t="str">
        <f t="shared" si="35"/>
        <v/>
      </c>
      <c r="H76" s="59" t="str">
        <f t="shared" si="35"/>
        <v/>
      </c>
      <c r="I76" s="59" t="str">
        <f t="shared" si="35"/>
        <v/>
      </c>
      <c r="J76" s="59" t="str">
        <f t="shared" si="35"/>
        <v/>
      </c>
      <c r="K76" s="59" t="str">
        <f t="shared" si="35"/>
        <v/>
      </c>
      <c r="L76" s="59" t="str">
        <f t="shared" si="35"/>
        <v/>
      </c>
      <c r="M76" s="59" t="str">
        <f t="shared" si="35"/>
        <v/>
      </c>
      <c r="N76" s="59">
        <f t="shared" ca="1" si="35"/>
        <v>0</v>
      </c>
      <c r="O76" s="59">
        <f t="shared" ca="1" si="35"/>
        <v>0</v>
      </c>
      <c r="P76" s="59">
        <f t="shared" ca="1" si="36"/>
        <v>0</v>
      </c>
      <c r="Q76" s="56">
        <f t="shared" ca="1" si="34"/>
        <v>0</v>
      </c>
    </row>
    <row r="77" spans="1:17" x14ac:dyDescent="0.15">
      <c r="A77" s="49">
        <v>11</v>
      </c>
      <c r="B77" s="59" t="str">
        <f t="shared" si="35"/>
        <v/>
      </c>
      <c r="C77" s="59" t="str">
        <f t="shared" si="35"/>
        <v/>
      </c>
      <c r="D77" s="59" t="str">
        <f t="shared" si="35"/>
        <v/>
      </c>
      <c r="E77" s="59" t="str">
        <f t="shared" si="35"/>
        <v/>
      </c>
      <c r="F77" s="59" t="str">
        <f t="shared" si="35"/>
        <v/>
      </c>
      <c r="G77" s="59" t="str">
        <f t="shared" si="35"/>
        <v/>
      </c>
      <c r="H77" s="59" t="str">
        <f t="shared" si="35"/>
        <v/>
      </c>
      <c r="I77" s="59" t="str">
        <f t="shared" si="35"/>
        <v/>
      </c>
      <c r="J77" s="59" t="str">
        <f t="shared" si="35"/>
        <v/>
      </c>
      <c r="K77" s="59" t="str">
        <f t="shared" si="35"/>
        <v/>
      </c>
      <c r="L77" s="59" t="str">
        <f t="shared" si="35"/>
        <v/>
      </c>
      <c r="M77" s="59">
        <f t="shared" ca="1" si="35"/>
        <v>0</v>
      </c>
      <c r="N77" s="59">
        <f t="shared" ca="1" si="35"/>
        <v>0</v>
      </c>
      <c r="O77" s="59">
        <f t="shared" ca="1" si="35"/>
        <v>0</v>
      </c>
      <c r="P77" s="59">
        <f t="shared" ca="1" si="36"/>
        <v>0</v>
      </c>
      <c r="Q77" s="56">
        <f t="shared" ca="1" si="34"/>
        <v>0</v>
      </c>
    </row>
    <row r="78" spans="1:17" x14ac:dyDescent="0.15">
      <c r="A78" s="49">
        <v>10</v>
      </c>
      <c r="B78" s="59" t="str">
        <f t="shared" si="35"/>
        <v/>
      </c>
      <c r="C78" s="59" t="str">
        <f t="shared" si="35"/>
        <v/>
      </c>
      <c r="D78" s="59" t="str">
        <f t="shared" si="35"/>
        <v/>
      </c>
      <c r="E78" s="59" t="str">
        <f t="shared" si="35"/>
        <v/>
      </c>
      <c r="F78" s="59" t="str">
        <f t="shared" si="35"/>
        <v/>
      </c>
      <c r="G78" s="59" t="str">
        <f t="shared" si="35"/>
        <v/>
      </c>
      <c r="H78" s="59" t="str">
        <f t="shared" si="35"/>
        <v/>
      </c>
      <c r="I78" s="59" t="str">
        <f t="shared" si="35"/>
        <v/>
      </c>
      <c r="J78" s="59" t="str">
        <f t="shared" si="35"/>
        <v/>
      </c>
      <c r="K78" s="59" t="str">
        <f t="shared" si="35"/>
        <v/>
      </c>
      <c r="L78" s="59">
        <f t="shared" ca="1" si="35"/>
        <v>0</v>
      </c>
      <c r="M78" s="59">
        <f t="shared" ca="1" si="35"/>
        <v>0</v>
      </c>
      <c r="N78" s="59">
        <f t="shared" ca="1" si="35"/>
        <v>0</v>
      </c>
      <c r="O78" s="59">
        <f t="shared" ca="1" si="35"/>
        <v>0</v>
      </c>
      <c r="P78" s="59">
        <f t="shared" ca="1" si="36"/>
        <v>0</v>
      </c>
      <c r="Q78" s="56">
        <f t="shared" ca="1" si="34"/>
        <v>0</v>
      </c>
    </row>
    <row r="79" spans="1:17" x14ac:dyDescent="0.15">
      <c r="A79" s="49">
        <v>9</v>
      </c>
      <c r="B79" s="59" t="str">
        <f t="shared" si="35"/>
        <v/>
      </c>
      <c r="C79" s="59" t="str">
        <f t="shared" si="35"/>
        <v/>
      </c>
      <c r="D79" s="59" t="str">
        <f t="shared" si="35"/>
        <v/>
      </c>
      <c r="E79" s="59" t="str">
        <f t="shared" si="35"/>
        <v/>
      </c>
      <c r="F79" s="59" t="str">
        <f t="shared" si="35"/>
        <v/>
      </c>
      <c r="G79" s="59" t="str">
        <f t="shared" si="35"/>
        <v/>
      </c>
      <c r="H79" s="59" t="str">
        <f t="shared" si="35"/>
        <v/>
      </c>
      <c r="I79" s="59" t="str">
        <f t="shared" si="35"/>
        <v/>
      </c>
      <c r="J79" s="59" t="str">
        <f t="shared" si="35"/>
        <v/>
      </c>
      <c r="K79" s="59">
        <f t="shared" ca="1" si="35"/>
        <v>0</v>
      </c>
      <c r="L79" s="59">
        <f t="shared" ca="1" si="35"/>
        <v>0</v>
      </c>
      <c r="M79" s="59">
        <f t="shared" ca="1" si="35"/>
        <v>0</v>
      </c>
      <c r="N79" s="59">
        <f t="shared" ca="1" si="35"/>
        <v>0</v>
      </c>
      <c r="O79" s="59">
        <f t="shared" ca="1" si="35"/>
        <v>0</v>
      </c>
      <c r="P79" s="59">
        <f t="shared" ca="1" si="36"/>
        <v>0</v>
      </c>
      <c r="Q79" s="56">
        <f t="shared" ref="Q79" ca="1" si="37">MAX($G$2*(Q60-$G$3),0)</f>
        <v>0</v>
      </c>
    </row>
    <row r="80" spans="1:17" x14ac:dyDescent="0.15">
      <c r="A80" s="49">
        <v>8</v>
      </c>
      <c r="B80" s="59" t="str">
        <f t="shared" si="35"/>
        <v/>
      </c>
      <c r="C80" s="59" t="str">
        <f t="shared" si="35"/>
        <v/>
      </c>
      <c r="D80" s="59" t="str">
        <f t="shared" si="35"/>
        <v/>
      </c>
      <c r="E80" s="59" t="str">
        <f t="shared" si="35"/>
        <v/>
      </c>
      <c r="F80" s="59" t="str">
        <f t="shared" si="35"/>
        <v/>
      </c>
      <c r="G80" s="59" t="str">
        <f t="shared" si="35"/>
        <v/>
      </c>
      <c r="H80" s="59" t="str">
        <f t="shared" si="35"/>
        <v/>
      </c>
      <c r="I80" s="59" t="str">
        <f t="shared" si="35"/>
        <v/>
      </c>
      <c r="J80" s="59">
        <f t="shared" ca="1" si="35"/>
        <v>5.2365869727484728E-2</v>
      </c>
      <c r="K80" s="59">
        <f t="shared" ca="1" si="35"/>
        <v>0.10321228922823039</v>
      </c>
      <c r="L80" s="59">
        <f t="shared" ca="1" si="35"/>
        <v>0.20342976643316729</v>
      </c>
      <c r="M80" s="59">
        <f t="shared" ca="1" si="35"/>
        <v>0.40095680640841586</v>
      </c>
      <c r="N80" s="59">
        <f t="shared" ca="1" si="35"/>
        <v>0.79027943365432896</v>
      </c>
      <c r="O80" s="59">
        <f t="shared" ca="1" si="35"/>
        <v>1.5576280868040606</v>
      </c>
      <c r="P80" s="59">
        <f t="shared" ca="1" si="36"/>
        <v>3.070059973067842</v>
      </c>
      <c r="Q80" s="56">
        <f t="shared" ref="Q80" ca="1" si="38">MAX($G$2*(Q61-$G$3),0)</f>
        <v>6.0510389598662613</v>
      </c>
    </row>
    <row r="81" spans="1:17" x14ac:dyDescent="0.15">
      <c r="A81" s="49">
        <v>7</v>
      </c>
      <c r="B81" s="59" t="str">
        <f t="shared" si="35"/>
        <v/>
      </c>
      <c r="C81" s="59" t="str">
        <f t="shared" si="35"/>
        <v/>
      </c>
      <c r="D81" s="59" t="str">
        <f t="shared" si="35"/>
        <v/>
      </c>
      <c r="E81" s="59" t="str">
        <f t="shared" si="35"/>
        <v/>
      </c>
      <c r="F81" s="59" t="str">
        <f t="shared" si="35"/>
        <v/>
      </c>
      <c r="G81" s="59" t="str">
        <f t="shared" si="35"/>
        <v/>
      </c>
      <c r="H81" s="59" t="str">
        <f t="shared" si="35"/>
        <v/>
      </c>
      <c r="I81" s="59">
        <f t="shared" ca="1" si="35"/>
        <v>0.26700048928946152</v>
      </c>
      <c r="J81" s="59">
        <f t="shared" ca="1" si="35"/>
        <v>0.47544166027796825</v>
      </c>
      <c r="K81" s="59">
        <f t="shared" ca="1" si="35"/>
        <v>0.83693820723118573</v>
      </c>
      <c r="L81" s="59">
        <f t="shared" ca="1" si="35"/>
        <v>1.4521983710879898</v>
      </c>
      <c r="M81" s="59">
        <f t="shared" ca="1" si="35"/>
        <v>2.4732004499294735</v>
      </c>
      <c r="N81" s="59">
        <f t="shared" ca="1" si="35"/>
        <v>4.1078088837138695</v>
      </c>
      <c r="O81" s="59">
        <f t="shared" ca="1" si="35"/>
        <v>6.5850167126661105</v>
      </c>
      <c r="P81" s="59">
        <f t="shared" ca="1" si="36"/>
        <v>10.000000000000028</v>
      </c>
      <c r="Q81" s="56">
        <f t="shared" ref="Q81" ca="1" si="39">MAX($G$2*(Q62-$G$3),0)</f>
        <v>13.798942289196262</v>
      </c>
    </row>
    <row r="82" spans="1:17" x14ac:dyDescent="0.15">
      <c r="A82" s="49">
        <v>6</v>
      </c>
      <c r="B82" s="59" t="str">
        <f t="shared" si="35"/>
        <v/>
      </c>
      <c r="C82" s="59" t="str">
        <f t="shared" si="35"/>
        <v/>
      </c>
      <c r="D82" s="59" t="str">
        <f t="shared" si="35"/>
        <v/>
      </c>
      <c r="E82" s="59" t="str">
        <f t="shared" si="35"/>
        <v/>
      </c>
      <c r="F82" s="59" t="str">
        <f t="shared" si="35"/>
        <v/>
      </c>
      <c r="G82" s="59" t="str">
        <f t="shared" si="35"/>
        <v/>
      </c>
      <c r="H82" s="59">
        <f t="shared" ca="1" si="35"/>
        <v>0.77301304038161855</v>
      </c>
      <c r="I82" s="59">
        <f t="shared" ca="1" si="35"/>
        <v>1.2645184991695073</v>
      </c>
      <c r="J82" s="59">
        <f t="shared" ca="1" si="35"/>
        <v>2.0310117626694293</v>
      </c>
      <c r="K82" s="59">
        <f t="shared" ca="1" si="35"/>
        <v>3.1909878030743224</v>
      </c>
      <c r="L82" s="59">
        <f t="shared" ca="1" si="35"/>
        <v>4.8802783770561673</v>
      </c>
      <c r="M82" s="59">
        <f t="shared" ca="1" si="35"/>
        <v>7.2191370408760855</v>
      </c>
      <c r="N82" s="59">
        <f t="shared" ca="1" si="35"/>
        <v>10.242885131164877</v>
      </c>
      <c r="O82" s="59">
        <f t="shared" ca="1" si="35"/>
        <v>13.798942289196262</v>
      </c>
      <c r="P82" s="59">
        <f t="shared" ca="1" si="36"/>
        <v>17.453564953226063</v>
      </c>
      <c r="Q82" s="56">
        <f t="shared" ref="Q82" ca="1" si="40">MAX($G$2*(Q63-$G$3),0)</f>
        <v>20.969350611361492</v>
      </c>
    </row>
    <row r="83" spans="1:17" x14ac:dyDescent="0.15">
      <c r="A83" s="49">
        <v>5</v>
      </c>
      <c r="B83" s="59" t="str">
        <f t="shared" si="35"/>
        <v/>
      </c>
      <c r="C83" s="59" t="str">
        <f t="shared" si="35"/>
        <v/>
      </c>
      <c r="D83" s="59" t="str">
        <f t="shared" si="35"/>
        <v/>
      </c>
      <c r="E83" s="59" t="str">
        <f t="shared" si="35"/>
        <v/>
      </c>
      <c r="F83" s="59" t="str">
        <f t="shared" si="35"/>
        <v/>
      </c>
      <c r="G83" s="59">
        <f t="shared" ca="1" si="35"/>
        <v>1.6746985095614064</v>
      </c>
      <c r="H83" s="59">
        <f t="shared" ca="1" si="35"/>
        <v>2.5507284169335933</v>
      </c>
      <c r="I83" s="59">
        <f t="shared" ca="1" si="35"/>
        <v>3.8004482583419978</v>
      </c>
      <c r="J83" s="59">
        <f t="shared" ca="1" si="35"/>
        <v>5.5198768534822813</v>
      </c>
      <c r="K83" s="59">
        <f t="shared" ca="1" si="35"/>
        <v>7.7832868761062874</v>
      </c>
      <c r="L83" s="59">
        <f t="shared" ca="1" si="35"/>
        <v>10.60526734379008</v>
      </c>
      <c r="M83" s="59">
        <f t="shared" ca="1" si="35"/>
        <v>13.897887694796179</v>
      </c>
      <c r="N83" s="59">
        <f t="shared" ca="1" si="35"/>
        <v>17.453564953226049</v>
      </c>
      <c r="O83" s="59">
        <f t="shared" ca="1" si="35"/>
        <v>20.969350611361477</v>
      </c>
      <c r="P83" s="59">
        <f t="shared" ca="1" si="36"/>
        <v>24.351573601332504</v>
      </c>
      <c r="Q83" s="56">
        <f t="shared" ref="Q83" ca="1" si="41">MAX($G$2*(Q64-$G$3),0)</f>
        <v>27.605307891822605</v>
      </c>
    </row>
    <row r="84" spans="1:17" x14ac:dyDescent="0.15">
      <c r="A84" s="49">
        <v>4</v>
      </c>
      <c r="B84" s="59" t="str">
        <f t="shared" si="35"/>
        <v/>
      </c>
      <c r="C84" s="59" t="str">
        <f t="shared" si="35"/>
        <v/>
      </c>
      <c r="D84" s="59" t="str">
        <f t="shared" si="35"/>
        <v/>
      </c>
      <c r="E84" s="59" t="str">
        <f t="shared" si="35"/>
        <v/>
      </c>
      <c r="F84" s="59">
        <f t="shared" ca="1" si="35"/>
        <v>3.0257041414688728</v>
      </c>
      <c r="G84" s="59">
        <f t="shared" ca="1" si="35"/>
        <v>4.3386090230820686</v>
      </c>
      <c r="H84" s="59">
        <f t="shared" ca="1" si="35"/>
        <v>6.0762879477918945</v>
      </c>
      <c r="I84" s="59">
        <f t="shared" ca="1" si="35"/>
        <v>8.2885882374265467</v>
      </c>
      <c r="J84" s="59">
        <f t="shared" ca="1" si="35"/>
        <v>10.980588503363515</v>
      </c>
      <c r="K84" s="59">
        <f t="shared" ca="1" si="35"/>
        <v>14.090229820979296</v>
      </c>
      <c r="L84" s="59">
        <f t="shared" ca="1" si="35"/>
        <v>17.481038926598934</v>
      </c>
      <c r="M84" s="59">
        <f t="shared" ca="1" si="35"/>
        <v>20.969350611361477</v>
      </c>
      <c r="N84" s="59">
        <f t="shared" ca="1" si="35"/>
        <v>24.351573601332504</v>
      </c>
      <c r="O84" s="59">
        <f t="shared" ca="1" si="35"/>
        <v>27.605307891822605</v>
      </c>
      <c r="P84" s="59">
        <f t="shared" ca="1" si="36"/>
        <v>30.735434694373197</v>
      </c>
      <c r="Q84" s="56">
        <f t="shared" ref="Q84" ca="1" si="42">MAX($G$2*(Q65-$G$3),0)</f>
        <v>33.746649786116222</v>
      </c>
    </row>
    <row r="85" spans="1:17" x14ac:dyDescent="0.15">
      <c r="A85" s="49">
        <v>3</v>
      </c>
      <c r="B85" s="59" t="str">
        <f t="shared" si="35"/>
        <v/>
      </c>
      <c r="C85" s="59" t="str">
        <f t="shared" si="35"/>
        <v/>
      </c>
      <c r="D85" s="59" t="str">
        <f t="shared" si="35"/>
        <v/>
      </c>
      <c r="E85" s="59">
        <f t="shared" ca="1" si="35"/>
        <v>4.8252906019772048</v>
      </c>
      <c r="F85" s="59">
        <f t="shared" ca="1" si="35"/>
        <v>6.5746477280036828</v>
      </c>
      <c r="G85" s="59">
        <f t="shared" ca="1" si="35"/>
        <v>8.7486554099350951</v>
      </c>
      <c r="H85" s="59">
        <f t="shared" ca="1" si="35"/>
        <v>11.347472771456999</v>
      </c>
      <c r="I85" s="59">
        <f t="shared" ca="1" si="35"/>
        <v>14.32304523687665</v>
      </c>
      <c r="J85" s="59">
        <f t="shared" ca="1" si="35"/>
        <v>17.575730094233812</v>
      </c>
      <c r="K85" s="59">
        <f t="shared" ca="1" si="35"/>
        <v>20.969350611361477</v>
      </c>
      <c r="L85" s="59">
        <f t="shared" ca="1" si="35"/>
        <v>24.351573601332504</v>
      </c>
      <c r="M85" s="59">
        <f t="shared" ca="1" si="35"/>
        <v>27.605307891822605</v>
      </c>
      <c r="N85" s="59">
        <f t="shared" ca="1" si="35"/>
        <v>30.735434694373197</v>
      </c>
      <c r="O85" s="59">
        <f t="shared" ca="1" si="35"/>
        <v>33.746649786116222</v>
      </c>
      <c r="P85" s="59">
        <f t="shared" ca="1" si="36"/>
        <v>36.643470554320359</v>
      </c>
      <c r="Q85" s="56">
        <f t="shared" ref="Q85" ca="1" si="43">MAX($G$2*(Q66-$G$3),0)</f>
        <v>39.43024277331898</v>
      </c>
    </row>
    <row r="86" spans="1:17" x14ac:dyDescent="0.15">
      <c r="A86" s="49">
        <v>2</v>
      </c>
      <c r="B86" s="59" t="str">
        <f t="shared" si="35"/>
        <v/>
      </c>
      <c r="C86" s="59" t="str">
        <f t="shared" si="35"/>
        <v/>
      </c>
      <c r="D86" s="59">
        <f t="shared" ca="1" si="35"/>
        <v>7.0294978334576657</v>
      </c>
      <c r="E86" s="59">
        <f t="shared" ca="1" si="35"/>
        <v>9.1729173591984079</v>
      </c>
      <c r="F86" s="59">
        <f t="shared" ca="1" si="35"/>
        <v>11.700114280624893</v>
      </c>
      <c r="G86" s="59">
        <f t="shared" ca="1" si="35"/>
        <v>14.571680361464477</v>
      </c>
      <c r="H86" s="59">
        <f t="shared" ca="1" si="35"/>
        <v>17.709788198153923</v>
      </c>
      <c r="I86" s="59">
        <f t="shared" ca="1" si="35"/>
        <v>21.007669882517884</v>
      </c>
      <c r="J86" s="59">
        <f t="shared" ca="1" si="35"/>
        <v>24.351573601332504</v>
      </c>
      <c r="K86" s="59">
        <f t="shared" ca="1" si="35"/>
        <v>27.605307891822605</v>
      </c>
      <c r="L86" s="59">
        <f t="shared" ca="1" si="35"/>
        <v>30.735434694373197</v>
      </c>
      <c r="M86" s="59">
        <f t="shared" ca="1" si="35"/>
        <v>33.746649786116222</v>
      </c>
      <c r="N86" s="59">
        <f t="shared" ca="1" si="35"/>
        <v>36.643470554320359</v>
      </c>
      <c r="O86" s="59">
        <f t="shared" ca="1" si="35"/>
        <v>39.43024277331898</v>
      </c>
      <c r="P86" s="59">
        <f t="shared" ca="1" si="36"/>
        <v>42.111147123986484</v>
      </c>
      <c r="Q86" s="56">
        <f t="shared" ref="Q86" ca="1" si="44">MAX($G$2*(Q67-$G$3),0)</f>
        <v>44.690205465543585</v>
      </c>
    </row>
    <row r="87" spans="1:17" x14ac:dyDescent="0.15">
      <c r="A87" s="49">
        <v>1</v>
      </c>
      <c r="B87" s="59" t="str">
        <f t="shared" si="35"/>
        <v/>
      </c>
      <c r="C87" s="59">
        <f t="shared" ca="1" si="35"/>
        <v>9.5678621682180758</v>
      </c>
      <c r="D87" s="59">
        <f t="shared" ca="1" si="35"/>
        <v>12.037190792039002</v>
      </c>
      <c r="E87" s="59">
        <f t="shared" ca="1" si="35"/>
        <v>14.824379902655805</v>
      </c>
      <c r="F87" s="59">
        <f t="shared" ca="1" si="35"/>
        <v>17.86567733659253</v>
      </c>
      <c r="G87" s="59">
        <f t="shared" ca="1" si="35"/>
        <v>21.073667480875653</v>
      </c>
      <c r="H87" s="59">
        <f t="shared" ca="1" si="35"/>
        <v>24.351573601332504</v>
      </c>
      <c r="I87" s="59">
        <f t="shared" ca="1" si="35"/>
        <v>27.605307891822605</v>
      </c>
      <c r="J87" s="59">
        <f t="shared" ca="1" si="35"/>
        <v>30.735434694373197</v>
      </c>
      <c r="K87" s="59">
        <f t="shared" ca="1" si="35"/>
        <v>33.746649786116222</v>
      </c>
      <c r="L87" s="59">
        <f t="shared" ca="1" si="35"/>
        <v>36.643470554320359</v>
      </c>
      <c r="M87" s="59">
        <f t="shared" ca="1" si="35"/>
        <v>39.43024277331898</v>
      </c>
      <c r="N87" s="59">
        <f t="shared" ca="1" si="35"/>
        <v>42.111147123986484</v>
      </c>
      <c r="O87" s="59">
        <f t="shared" ca="1" si="35"/>
        <v>44.690205465543585</v>
      </c>
      <c r="P87" s="59">
        <f t="shared" ca="1" si="36"/>
        <v>47.171286869100221</v>
      </c>
      <c r="Q87" s="56">
        <f t="shared" ref="Q87" ca="1" si="45">MAX($G$2*(Q68-$G$3),0)</f>
        <v>49.558113421987763</v>
      </c>
    </row>
    <row r="88" spans="1:17" x14ac:dyDescent="0.15">
      <c r="A88" s="49">
        <v>0</v>
      </c>
      <c r="B88" s="59">
        <f t="shared" ca="1" si="35"/>
        <v>12.359784797284899</v>
      </c>
      <c r="C88" s="59">
        <f t="shared" ca="1" si="35"/>
        <v>15.076981871408204</v>
      </c>
      <c r="D88" s="59">
        <f t="shared" ca="1" si="35"/>
        <v>18.036477300042723</v>
      </c>
      <c r="E88" s="59">
        <f t="shared" ca="1" si="35"/>
        <v>21.16511026267623</v>
      </c>
      <c r="F88" s="59">
        <f t="shared" ca="1" si="35"/>
        <v>24.380542405888736</v>
      </c>
      <c r="G88" s="59">
        <f t="shared" ca="1" si="35"/>
        <v>27.605307891822591</v>
      </c>
      <c r="H88" s="59">
        <f t="shared" ca="1" si="35"/>
        <v>30.735434694373183</v>
      </c>
      <c r="I88" s="59">
        <f t="shared" ca="1" si="35"/>
        <v>33.746649786116208</v>
      </c>
      <c r="J88" s="59">
        <f t="shared" ca="1" si="35"/>
        <v>36.643470554320345</v>
      </c>
      <c r="K88" s="59">
        <f t="shared" ca="1" si="35"/>
        <v>39.430242773318966</v>
      </c>
      <c r="L88" s="59">
        <f t="shared" ca="1" si="35"/>
        <v>42.11114712398647</v>
      </c>
      <c r="M88" s="59">
        <f t="shared" ca="1" si="35"/>
        <v>44.690205465543571</v>
      </c>
      <c r="N88" s="59">
        <f t="shared" ca="1" si="35"/>
        <v>47.171286869100207</v>
      </c>
      <c r="O88" s="59">
        <f t="shared" ca="1" si="35"/>
        <v>49.558113421987748</v>
      </c>
      <c r="P88" s="59">
        <f t="shared" ca="1" si="36"/>
        <v>51.854265811587879</v>
      </c>
      <c r="Q88" s="56">
        <f t="shared" ref="Q88" ca="1" si="46">MAX($G$2*(Q69-$G$3),0)</f>
        <v>54.063188697035102</v>
      </c>
    </row>
    <row r="90" spans="1:17" x14ac:dyDescent="0.15">
      <c r="A90" s="53" t="s">
        <v>37</v>
      </c>
      <c r="M90" s="53"/>
    </row>
    <row r="91" spans="1:17" x14ac:dyDescent="0.15">
      <c r="B91" s="54">
        <v>0</v>
      </c>
      <c r="C91" s="54">
        <v>1</v>
      </c>
      <c r="D91" s="54">
        <v>2</v>
      </c>
      <c r="E91" s="54">
        <v>3</v>
      </c>
      <c r="F91" s="54">
        <v>4</v>
      </c>
      <c r="G91" s="54">
        <v>5</v>
      </c>
      <c r="H91" s="54">
        <v>6</v>
      </c>
      <c r="I91" s="54">
        <v>7</v>
      </c>
      <c r="J91" s="54">
        <v>8</v>
      </c>
      <c r="K91" s="54">
        <v>9</v>
      </c>
      <c r="L91" s="49">
        <v>10</v>
      </c>
      <c r="M91" s="49">
        <v>11</v>
      </c>
      <c r="N91" s="49">
        <v>12</v>
      </c>
      <c r="O91" s="49">
        <v>13</v>
      </c>
      <c r="P91" s="49">
        <v>14</v>
      </c>
      <c r="Q91" s="49">
        <v>15</v>
      </c>
    </row>
    <row r="92" spans="1:17" x14ac:dyDescent="0.15">
      <c r="A92" s="49">
        <v>15</v>
      </c>
      <c r="B92" s="67" t="str">
        <f t="shared" ref="B92:P92" si="47">IF($A92&lt;=B$91,IF(B73=B35,1,0),"")</f>
        <v/>
      </c>
      <c r="C92" s="67" t="str">
        <f t="shared" si="47"/>
        <v/>
      </c>
      <c r="D92" s="67" t="str">
        <f t="shared" si="47"/>
        <v/>
      </c>
      <c r="E92" s="67" t="str">
        <f t="shared" si="47"/>
        <v/>
      </c>
      <c r="F92" s="67" t="str">
        <f t="shared" si="47"/>
        <v/>
      </c>
      <c r="G92" s="67" t="str">
        <f t="shared" si="47"/>
        <v/>
      </c>
      <c r="H92" s="67" t="str">
        <f t="shared" si="47"/>
        <v/>
      </c>
      <c r="I92" s="67" t="str">
        <f t="shared" si="47"/>
        <v/>
      </c>
      <c r="J92" s="67" t="str">
        <f t="shared" si="47"/>
        <v/>
      </c>
      <c r="K92" s="67" t="str">
        <f t="shared" si="47"/>
        <v/>
      </c>
      <c r="L92" s="67" t="str">
        <f t="shared" si="47"/>
        <v/>
      </c>
      <c r="M92" s="67" t="str">
        <f t="shared" si="47"/>
        <v/>
      </c>
      <c r="N92" s="67" t="str">
        <f t="shared" si="47"/>
        <v/>
      </c>
      <c r="O92" s="67" t="str">
        <f t="shared" si="47"/>
        <v/>
      </c>
      <c r="P92" s="67" t="str">
        <f t="shared" si="47"/>
        <v/>
      </c>
      <c r="Q92" s="67"/>
    </row>
    <row r="93" spans="1:17" x14ac:dyDescent="0.15">
      <c r="A93" s="49">
        <v>14</v>
      </c>
      <c r="B93" s="67" t="str">
        <f t="shared" ref="B93:O107" si="48">IF($A93&lt;=B$91,IF($G$2*(B55-$G$3)=B74,1,0),"")</f>
        <v/>
      </c>
      <c r="C93" s="67" t="str">
        <f t="shared" si="48"/>
        <v/>
      </c>
      <c r="D93" s="67" t="str">
        <f t="shared" si="48"/>
        <v/>
      </c>
      <c r="E93" s="67" t="str">
        <f t="shared" si="48"/>
        <v/>
      </c>
      <c r="F93" s="67" t="str">
        <f t="shared" si="48"/>
        <v/>
      </c>
      <c r="G93" s="67" t="str">
        <f t="shared" si="48"/>
        <v/>
      </c>
      <c r="H93" s="67" t="str">
        <f t="shared" si="48"/>
        <v/>
      </c>
      <c r="I93" s="67" t="str">
        <f t="shared" si="48"/>
        <v/>
      </c>
      <c r="J93" s="67" t="str">
        <f t="shared" si="48"/>
        <v/>
      </c>
      <c r="K93" s="67" t="str">
        <f t="shared" si="48"/>
        <v/>
      </c>
      <c r="L93" s="67" t="str">
        <f t="shared" si="48"/>
        <v/>
      </c>
      <c r="M93" s="67" t="str">
        <f t="shared" si="48"/>
        <v/>
      </c>
      <c r="N93" s="67" t="str">
        <f t="shared" si="48"/>
        <v/>
      </c>
      <c r="O93" s="67" t="str">
        <f t="shared" si="48"/>
        <v/>
      </c>
      <c r="P93" s="67">
        <f ca="1">IF($A93&lt;=P$91,IF($G$2*(P55-$G$3)=P74,1,0),"")</f>
        <v>0</v>
      </c>
      <c r="Q93" s="67"/>
    </row>
    <row r="94" spans="1:17" x14ac:dyDescent="0.15">
      <c r="A94" s="49">
        <v>13</v>
      </c>
      <c r="B94" s="67" t="str">
        <f t="shared" si="48"/>
        <v/>
      </c>
      <c r="C94" s="67" t="str">
        <f t="shared" si="48"/>
        <v/>
      </c>
      <c r="D94" s="67" t="str">
        <f t="shared" si="48"/>
        <v/>
      </c>
      <c r="E94" s="67" t="str">
        <f t="shared" si="48"/>
        <v/>
      </c>
      <c r="F94" s="67" t="str">
        <f t="shared" si="48"/>
        <v/>
      </c>
      <c r="G94" s="67" t="str">
        <f t="shared" si="48"/>
        <v/>
      </c>
      <c r="H94" s="67" t="str">
        <f t="shared" si="48"/>
        <v/>
      </c>
      <c r="I94" s="67" t="str">
        <f t="shared" si="48"/>
        <v/>
      </c>
      <c r="J94" s="67" t="str">
        <f t="shared" si="48"/>
        <v/>
      </c>
      <c r="K94" s="67" t="str">
        <f t="shared" si="48"/>
        <v/>
      </c>
      <c r="L94" s="67" t="str">
        <f t="shared" si="48"/>
        <v/>
      </c>
      <c r="M94" s="67" t="str">
        <f t="shared" si="48"/>
        <v/>
      </c>
      <c r="N94" s="67" t="str">
        <f t="shared" si="48"/>
        <v/>
      </c>
      <c r="O94" s="67">
        <f t="shared" ca="1" si="48"/>
        <v>0</v>
      </c>
      <c r="P94" s="67">
        <f t="shared" ref="P94:P107" ca="1" si="49">IF($A94&lt;=P$91,IF($G$2*(P56-$G$3)=P75,1,0),"")</f>
        <v>0</v>
      </c>
      <c r="Q94" s="67"/>
    </row>
    <row r="95" spans="1:17" x14ac:dyDescent="0.15">
      <c r="A95" s="49">
        <v>12</v>
      </c>
      <c r="B95" s="67" t="str">
        <f t="shared" si="48"/>
        <v/>
      </c>
      <c r="C95" s="67" t="str">
        <f t="shared" si="48"/>
        <v/>
      </c>
      <c r="D95" s="67" t="str">
        <f t="shared" si="48"/>
        <v/>
      </c>
      <c r="E95" s="67" t="str">
        <f t="shared" si="48"/>
        <v/>
      </c>
      <c r="F95" s="67" t="str">
        <f t="shared" si="48"/>
        <v/>
      </c>
      <c r="G95" s="67" t="str">
        <f t="shared" si="48"/>
        <v/>
      </c>
      <c r="H95" s="67" t="str">
        <f t="shared" si="48"/>
        <v/>
      </c>
      <c r="I95" s="67" t="str">
        <f t="shared" si="48"/>
        <v/>
      </c>
      <c r="J95" s="67" t="str">
        <f t="shared" si="48"/>
        <v/>
      </c>
      <c r="K95" s="67" t="str">
        <f t="shared" si="48"/>
        <v/>
      </c>
      <c r="L95" s="67" t="str">
        <f t="shared" si="48"/>
        <v/>
      </c>
      <c r="M95" s="67" t="str">
        <f t="shared" si="48"/>
        <v/>
      </c>
      <c r="N95" s="67">
        <f t="shared" ca="1" si="48"/>
        <v>0</v>
      </c>
      <c r="O95" s="67">
        <f t="shared" ca="1" si="48"/>
        <v>0</v>
      </c>
      <c r="P95" s="67">
        <f t="shared" ca="1" si="49"/>
        <v>0</v>
      </c>
      <c r="Q95" s="67"/>
    </row>
    <row r="96" spans="1:17" x14ac:dyDescent="0.15">
      <c r="A96" s="49">
        <v>11</v>
      </c>
      <c r="B96" s="67" t="str">
        <f t="shared" si="48"/>
        <v/>
      </c>
      <c r="C96" s="67" t="str">
        <f t="shared" si="48"/>
        <v/>
      </c>
      <c r="D96" s="67" t="str">
        <f t="shared" si="48"/>
        <v/>
      </c>
      <c r="E96" s="67" t="str">
        <f t="shared" si="48"/>
        <v/>
      </c>
      <c r="F96" s="67" t="str">
        <f t="shared" si="48"/>
        <v/>
      </c>
      <c r="G96" s="67" t="str">
        <f t="shared" si="48"/>
        <v/>
      </c>
      <c r="H96" s="67" t="str">
        <f t="shared" si="48"/>
        <v/>
      </c>
      <c r="I96" s="67" t="str">
        <f t="shared" si="48"/>
        <v/>
      </c>
      <c r="J96" s="67" t="str">
        <f t="shared" si="48"/>
        <v/>
      </c>
      <c r="K96" s="67" t="str">
        <f t="shared" si="48"/>
        <v/>
      </c>
      <c r="L96" s="67" t="str">
        <f t="shared" si="48"/>
        <v/>
      </c>
      <c r="M96" s="67">
        <f t="shared" ca="1" si="48"/>
        <v>0</v>
      </c>
      <c r="N96" s="67">
        <f t="shared" ca="1" si="48"/>
        <v>0</v>
      </c>
      <c r="O96" s="67">
        <f t="shared" ca="1" si="48"/>
        <v>0</v>
      </c>
      <c r="P96" s="67">
        <f t="shared" ca="1" si="49"/>
        <v>0</v>
      </c>
      <c r="Q96" s="67"/>
    </row>
    <row r="97" spans="1:17" x14ac:dyDescent="0.15">
      <c r="A97" s="49">
        <v>10</v>
      </c>
      <c r="B97" s="67" t="str">
        <f t="shared" si="48"/>
        <v/>
      </c>
      <c r="C97" s="67" t="str">
        <f t="shared" si="48"/>
        <v/>
      </c>
      <c r="D97" s="67" t="str">
        <f t="shared" si="48"/>
        <v/>
      </c>
      <c r="E97" s="67" t="str">
        <f t="shared" si="48"/>
        <v/>
      </c>
      <c r="F97" s="67" t="str">
        <f t="shared" si="48"/>
        <v/>
      </c>
      <c r="G97" s="67" t="str">
        <f t="shared" si="48"/>
        <v/>
      </c>
      <c r="H97" s="67" t="str">
        <f t="shared" si="48"/>
        <v/>
      </c>
      <c r="I97" s="67" t="str">
        <f t="shared" si="48"/>
        <v/>
      </c>
      <c r="J97" s="67" t="str">
        <f t="shared" si="48"/>
        <v/>
      </c>
      <c r="K97" s="67" t="str">
        <f t="shared" si="48"/>
        <v/>
      </c>
      <c r="L97" s="67">
        <f t="shared" ca="1" si="48"/>
        <v>0</v>
      </c>
      <c r="M97" s="67">
        <f t="shared" ca="1" si="48"/>
        <v>0</v>
      </c>
      <c r="N97" s="67">
        <f t="shared" ca="1" si="48"/>
        <v>0</v>
      </c>
      <c r="O97" s="67">
        <f t="shared" ca="1" si="48"/>
        <v>0</v>
      </c>
      <c r="P97" s="67">
        <f t="shared" ca="1" si="49"/>
        <v>0</v>
      </c>
      <c r="Q97" s="67"/>
    </row>
    <row r="98" spans="1:17" x14ac:dyDescent="0.15">
      <c r="A98" s="49">
        <v>9</v>
      </c>
      <c r="B98" s="67" t="str">
        <f t="shared" si="48"/>
        <v/>
      </c>
      <c r="C98" s="67" t="str">
        <f t="shared" si="48"/>
        <v/>
      </c>
      <c r="D98" s="67" t="str">
        <f t="shared" si="48"/>
        <v/>
      </c>
      <c r="E98" s="67" t="str">
        <f t="shared" si="48"/>
        <v/>
      </c>
      <c r="F98" s="67" t="str">
        <f t="shared" si="48"/>
        <v/>
      </c>
      <c r="G98" s="67" t="str">
        <f t="shared" si="48"/>
        <v/>
      </c>
      <c r="H98" s="67" t="str">
        <f t="shared" si="48"/>
        <v/>
      </c>
      <c r="I98" s="67" t="str">
        <f t="shared" si="48"/>
        <v/>
      </c>
      <c r="J98" s="67" t="str">
        <f t="shared" si="48"/>
        <v/>
      </c>
      <c r="K98" s="67">
        <f t="shared" ca="1" si="48"/>
        <v>0</v>
      </c>
      <c r="L98" s="67">
        <f t="shared" ca="1" si="48"/>
        <v>0</v>
      </c>
      <c r="M98" s="67">
        <f t="shared" ca="1" si="48"/>
        <v>0</v>
      </c>
      <c r="N98" s="67">
        <f t="shared" ca="1" si="48"/>
        <v>0</v>
      </c>
      <c r="O98" s="67">
        <f t="shared" ca="1" si="48"/>
        <v>0</v>
      </c>
      <c r="P98" s="67">
        <f t="shared" ca="1" si="49"/>
        <v>0</v>
      </c>
      <c r="Q98" s="67"/>
    </row>
    <row r="99" spans="1:17" x14ac:dyDescent="0.15">
      <c r="A99" s="49">
        <v>8</v>
      </c>
      <c r="B99" s="67" t="str">
        <f t="shared" si="48"/>
        <v/>
      </c>
      <c r="C99" s="67" t="str">
        <f t="shared" si="48"/>
        <v/>
      </c>
      <c r="D99" s="67" t="str">
        <f t="shared" si="48"/>
        <v/>
      </c>
      <c r="E99" s="67" t="str">
        <f t="shared" si="48"/>
        <v/>
      </c>
      <c r="F99" s="67" t="str">
        <f t="shared" si="48"/>
        <v/>
      </c>
      <c r="G99" s="67" t="str">
        <f t="shared" si="48"/>
        <v/>
      </c>
      <c r="H99" s="67" t="str">
        <f t="shared" si="48"/>
        <v/>
      </c>
      <c r="I99" s="67" t="str">
        <f t="shared" si="48"/>
        <v/>
      </c>
      <c r="J99" s="67">
        <f t="shared" ca="1" si="48"/>
        <v>0</v>
      </c>
      <c r="K99" s="67">
        <f t="shared" ca="1" si="48"/>
        <v>0</v>
      </c>
      <c r="L99" s="67">
        <f t="shared" ca="1" si="48"/>
        <v>0</v>
      </c>
      <c r="M99" s="67">
        <f t="shared" ca="1" si="48"/>
        <v>0</v>
      </c>
      <c r="N99" s="67">
        <f t="shared" ca="1" si="48"/>
        <v>0</v>
      </c>
      <c r="O99" s="67">
        <f t="shared" ca="1" si="48"/>
        <v>0</v>
      </c>
      <c r="P99" s="67">
        <f t="shared" ca="1" si="49"/>
        <v>0</v>
      </c>
      <c r="Q99" s="67"/>
    </row>
    <row r="100" spans="1:17" x14ac:dyDescent="0.15">
      <c r="A100" s="49">
        <v>7</v>
      </c>
      <c r="B100" s="67" t="str">
        <f t="shared" si="48"/>
        <v/>
      </c>
      <c r="C100" s="67" t="str">
        <f t="shared" si="48"/>
        <v/>
      </c>
      <c r="D100" s="67" t="str">
        <f t="shared" si="48"/>
        <v/>
      </c>
      <c r="E100" s="67" t="str">
        <f t="shared" si="48"/>
        <v/>
      </c>
      <c r="F100" s="67" t="str">
        <f t="shared" si="48"/>
        <v/>
      </c>
      <c r="G100" s="67" t="str">
        <f t="shared" si="48"/>
        <v/>
      </c>
      <c r="H100" s="67" t="str">
        <f t="shared" si="48"/>
        <v/>
      </c>
      <c r="I100" s="67">
        <f t="shared" ca="1" si="48"/>
        <v>0</v>
      </c>
      <c r="J100" s="67">
        <f t="shared" ca="1" si="48"/>
        <v>0</v>
      </c>
      <c r="K100" s="67">
        <f t="shared" ca="1" si="48"/>
        <v>0</v>
      </c>
      <c r="L100" s="67">
        <f t="shared" ca="1" si="48"/>
        <v>0</v>
      </c>
      <c r="M100" s="67">
        <f t="shared" ca="1" si="48"/>
        <v>0</v>
      </c>
      <c r="N100" s="67">
        <f t="shared" ca="1" si="48"/>
        <v>0</v>
      </c>
      <c r="O100" s="67">
        <f t="shared" ca="1" si="48"/>
        <v>0</v>
      </c>
      <c r="P100" s="67">
        <f t="shared" ca="1" si="49"/>
        <v>1</v>
      </c>
      <c r="Q100" s="67"/>
    </row>
    <row r="101" spans="1:17" x14ac:dyDescent="0.15">
      <c r="A101" s="49">
        <v>6</v>
      </c>
      <c r="B101" s="67" t="str">
        <f t="shared" si="48"/>
        <v/>
      </c>
      <c r="C101" s="67" t="str">
        <f t="shared" si="48"/>
        <v/>
      </c>
      <c r="D101" s="67" t="str">
        <f t="shared" si="48"/>
        <v/>
      </c>
      <c r="E101" s="67" t="str">
        <f t="shared" si="48"/>
        <v/>
      </c>
      <c r="F101" s="67" t="str">
        <f t="shared" si="48"/>
        <v/>
      </c>
      <c r="G101" s="67" t="str">
        <f t="shared" si="48"/>
        <v/>
      </c>
      <c r="H101" s="67">
        <f t="shared" ca="1" si="48"/>
        <v>0</v>
      </c>
      <c r="I101" s="67">
        <f t="shared" ca="1" si="48"/>
        <v>0</v>
      </c>
      <c r="J101" s="67">
        <f t="shared" ca="1" si="48"/>
        <v>0</v>
      </c>
      <c r="K101" s="67">
        <f t="shared" ca="1" si="48"/>
        <v>0</v>
      </c>
      <c r="L101" s="67">
        <f t="shared" ca="1" si="48"/>
        <v>0</v>
      </c>
      <c r="M101" s="67">
        <f t="shared" ca="1" si="48"/>
        <v>0</v>
      </c>
      <c r="N101" s="67">
        <f t="shared" ca="1" si="48"/>
        <v>0</v>
      </c>
      <c r="O101" s="67">
        <f t="shared" ca="1" si="48"/>
        <v>1</v>
      </c>
      <c r="P101" s="67">
        <f t="shared" ca="1" si="49"/>
        <v>1</v>
      </c>
      <c r="Q101" s="67"/>
    </row>
    <row r="102" spans="1:17" x14ac:dyDescent="0.15">
      <c r="A102" s="49">
        <v>5</v>
      </c>
      <c r="B102" s="67" t="str">
        <f t="shared" si="48"/>
        <v/>
      </c>
      <c r="C102" s="67" t="str">
        <f t="shared" si="48"/>
        <v/>
      </c>
      <c r="D102" s="67" t="str">
        <f t="shared" si="48"/>
        <v/>
      </c>
      <c r="E102" s="67" t="str">
        <f t="shared" si="48"/>
        <v/>
      </c>
      <c r="F102" s="67" t="str">
        <f t="shared" si="48"/>
        <v/>
      </c>
      <c r="G102" s="67">
        <f t="shared" ca="1" si="48"/>
        <v>0</v>
      </c>
      <c r="H102" s="67">
        <f t="shared" ca="1" si="48"/>
        <v>0</v>
      </c>
      <c r="I102" s="67">
        <f t="shared" ca="1" si="48"/>
        <v>0</v>
      </c>
      <c r="J102" s="67">
        <f t="shared" ca="1" si="48"/>
        <v>0</v>
      </c>
      <c r="K102" s="67">
        <f t="shared" ca="1" si="48"/>
        <v>0</v>
      </c>
      <c r="L102" s="67">
        <f t="shared" ca="1" si="48"/>
        <v>0</v>
      </c>
      <c r="M102" s="67">
        <f t="shared" ca="1" si="48"/>
        <v>0</v>
      </c>
      <c r="N102" s="67">
        <f t="shared" ca="1" si="48"/>
        <v>1</v>
      </c>
      <c r="O102" s="67">
        <f t="shared" ca="1" si="48"/>
        <v>1</v>
      </c>
      <c r="P102" s="67">
        <f t="shared" ca="1" si="49"/>
        <v>1</v>
      </c>
      <c r="Q102" s="67"/>
    </row>
    <row r="103" spans="1:17" x14ac:dyDescent="0.15">
      <c r="A103" s="49">
        <v>4</v>
      </c>
      <c r="B103" s="67" t="str">
        <f t="shared" si="48"/>
        <v/>
      </c>
      <c r="C103" s="67" t="str">
        <f t="shared" si="48"/>
        <v/>
      </c>
      <c r="D103" s="67" t="str">
        <f t="shared" si="48"/>
        <v/>
      </c>
      <c r="E103" s="67" t="str">
        <f t="shared" si="48"/>
        <v/>
      </c>
      <c r="F103" s="67">
        <f t="shared" ca="1" si="48"/>
        <v>0</v>
      </c>
      <c r="G103" s="67">
        <f t="shared" ca="1" si="48"/>
        <v>0</v>
      </c>
      <c r="H103" s="67">
        <f t="shared" ca="1" si="48"/>
        <v>0</v>
      </c>
      <c r="I103" s="67">
        <f t="shared" ca="1" si="48"/>
        <v>0</v>
      </c>
      <c r="J103" s="67">
        <f t="shared" ca="1" si="48"/>
        <v>0</v>
      </c>
      <c r="K103" s="67">
        <f t="shared" ca="1" si="48"/>
        <v>0</v>
      </c>
      <c r="L103" s="67">
        <f t="shared" ca="1" si="48"/>
        <v>0</v>
      </c>
      <c r="M103" s="67">
        <f t="shared" ca="1" si="48"/>
        <v>1</v>
      </c>
      <c r="N103" s="67">
        <f t="shared" ca="1" si="48"/>
        <v>1</v>
      </c>
      <c r="O103" s="67">
        <f t="shared" ca="1" si="48"/>
        <v>1</v>
      </c>
      <c r="P103" s="67">
        <f t="shared" ca="1" si="49"/>
        <v>1</v>
      </c>
      <c r="Q103" s="67"/>
    </row>
    <row r="104" spans="1:17" x14ac:dyDescent="0.15">
      <c r="A104" s="49">
        <v>3</v>
      </c>
      <c r="B104" s="67" t="str">
        <f t="shared" si="48"/>
        <v/>
      </c>
      <c r="C104" s="67" t="str">
        <f t="shared" si="48"/>
        <v/>
      </c>
      <c r="D104" s="67" t="str">
        <f t="shared" si="48"/>
        <v/>
      </c>
      <c r="E104" s="67">
        <f t="shared" ca="1" si="48"/>
        <v>0</v>
      </c>
      <c r="F104" s="67">
        <f t="shared" ca="1" si="48"/>
        <v>0</v>
      </c>
      <c r="G104" s="67">
        <f t="shared" ca="1" si="48"/>
        <v>0</v>
      </c>
      <c r="H104" s="67">
        <f t="shared" ca="1" si="48"/>
        <v>0</v>
      </c>
      <c r="I104" s="67">
        <f t="shared" ca="1" si="48"/>
        <v>0</v>
      </c>
      <c r="J104" s="67">
        <f t="shared" ca="1" si="48"/>
        <v>0</v>
      </c>
      <c r="K104" s="67">
        <f t="shared" ca="1" si="48"/>
        <v>1</v>
      </c>
      <c r="L104" s="67">
        <f t="shared" ca="1" si="48"/>
        <v>1</v>
      </c>
      <c r="M104" s="67">
        <f t="shared" ca="1" si="48"/>
        <v>1</v>
      </c>
      <c r="N104" s="67">
        <f t="shared" ca="1" si="48"/>
        <v>1</v>
      </c>
      <c r="O104" s="67">
        <f t="shared" ca="1" si="48"/>
        <v>1</v>
      </c>
      <c r="P104" s="67">
        <f t="shared" ca="1" si="49"/>
        <v>1</v>
      </c>
      <c r="Q104" s="67"/>
    </row>
    <row r="105" spans="1:17" x14ac:dyDescent="0.15">
      <c r="A105" s="49">
        <v>2</v>
      </c>
      <c r="B105" s="67" t="str">
        <f t="shared" si="48"/>
        <v/>
      </c>
      <c r="C105" s="67" t="str">
        <f t="shared" si="48"/>
        <v/>
      </c>
      <c r="D105" s="67">
        <f t="shared" ca="1" si="48"/>
        <v>0</v>
      </c>
      <c r="E105" s="67">
        <f t="shared" ca="1" si="48"/>
        <v>0</v>
      </c>
      <c r="F105" s="67">
        <f t="shared" ca="1" si="48"/>
        <v>0</v>
      </c>
      <c r="G105" s="67">
        <f t="shared" ca="1" si="48"/>
        <v>0</v>
      </c>
      <c r="H105" s="67">
        <f t="shared" ca="1" si="48"/>
        <v>0</v>
      </c>
      <c r="I105" s="67">
        <f t="shared" ca="1" si="48"/>
        <v>0</v>
      </c>
      <c r="J105" s="67">
        <f t="shared" ca="1" si="48"/>
        <v>1</v>
      </c>
      <c r="K105" s="67">
        <f t="shared" ca="1" si="48"/>
        <v>1</v>
      </c>
      <c r="L105" s="67">
        <f t="shared" ca="1" si="48"/>
        <v>1</v>
      </c>
      <c r="M105" s="67">
        <f t="shared" ca="1" si="48"/>
        <v>1</v>
      </c>
      <c r="N105" s="67">
        <f t="shared" ca="1" si="48"/>
        <v>1</v>
      </c>
      <c r="O105" s="67">
        <f t="shared" ca="1" si="48"/>
        <v>1</v>
      </c>
      <c r="P105" s="67">
        <f t="shared" ca="1" si="49"/>
        <v>1</v>
      </c>
      <c r="Q105" s="67"/>
    </row>
    <row r="106" spans="1:17" x14ac:dyDescent="0.15">
      <c r="A106" s="49">
        <v>1</v>
      </c>
      <c r="B106" s="67" t="str">
        <f t="shared" si="48"/>
        <v/>
      </c>
      <c r="C106" s="67">
        <f t="shared" ca="1" si="48"/>
        <v>0</v>
      </c>
      <c r="D106" s="67">
        <f t="shared" ca="1" si="48"/>
        <v>0</v>
      </c>
      <c r="E106" s="67">
        <f t="shared" ca="1" si="48"/>
        <v>0</v>
      </c>
      <c r="F106" s="67">
        <f t="shared" ca="1" si="48"/>
        <v>0</v>
      </c>
      <c r="G106" s="67">
        <f t="shared" ca="1" si="48"/>
        <v>0</v>
      </c>
      <c r="H106" s="67">
        <f t="shared" ca="1" si="48"/>
        <v>1</v>
      </c>
      <c r="I106" s="67">
        <f t="shared" ca="1" si="48"/>
        <v>1</v>
      </c>
      <c r="J106" s="67">
        <f t="shared" ca="1" si="48"/>
        <v>1</v>
      </c>
      <c r="K106" s="67">
        <f t="shared" ca="1" si="48"/>
        <v>1</v>
      </c>
      <c r="L106" s="67">
        <f t="shared" ca="1" si="48"/>
        <v>1</v>
      </c>
      <c r="M106" s="67">
        <f t="shared" ca="1" si="48"/>
        <v>1</v>
      </c>
      <c r="N106" s="67">
        <f t="shared" ca="1" si="48"/>
        <v>1</v>
      </c>
      <c r="O106" s="67">
        <f t="shared" ca="1" si="48"/>
        <v>1</v>
      </c>
      <c r="P106" s="67">
        <f t="shared" ca="1" si="49"/>
        <v>1</v>
      </c>
      <c r="Q106" s="67"/>
    </row>
    <row r="107" spans="1:17" x14ac:dyDescent="0.15">
      <c r="A107" s="49">
        <v>0</v>
      </c>
      <c r="B107" s="67">
        <f t="shared" ca="1" si="48"/>
        <v>0</v>
      </c>
      <c r="C107" s="67">
        <f t="shared" ca="1" si="48"/>
        <v>0</v>
      </c>
      <c r="D107" s="67">
        <f t="shared" ca="1" si="48"/>
        <v>0</v>
      </c>
      <c r="E107" s="67">
        <f t="shared" ca="1" si="48"/>
        <v>0</v>
      </c>
      <c r="F107" s="67">
        <f t="shared" ca="1" si="48"/>
        <v>0</v>
      </c>
      <c r="G107" s="67">
        <f t="shared" ca="1" si="48"/>
        <v>1</v>
      </c>
      <c r="H107" s="67">
        <f t="shared" ca="1" si="48"/>
        <v>1</v>
      </c>
      <c r="I107" s="67">
        <f t="shared" ca="1" si="48"/>
        <v>1</v>
      </c>
      <c r="J107" s="67">
        <f t="shared" ca="1" si="48"/>
        <v>1</v>
      </c>
      <c r="K107" s="67">
        <f t="shared" ca="1" si="48"/>
        <v>1</v>
      </c>
      <c r="L107" s="67">
        <f t="shared" ca="1" si="48"/>
        <v>1</v>
      </c>
      <c r="M107" s="67">
        <f t="shared" ca="1" si="48"/>
        <v>1</v>
      </c>
      <c r="N107" s="67">
        <f t="shared" ca="1" si="48"/>
        <v>1</v>
      </c>
      <c r="O107" s="67">
        <f t="shared" ca="1" si="48"/>
        <v>1</v>
      </c>
      <c r="P107" s="67">
        <f t="shared" ca="1" si="49"/>
        <v>1</v>
      </c>
      <c r="Q107" s="67"/>
    </row>
    <row r="109" spans="1:17" x14ac:dyDescent="0.15">
      <c r="A109" s="53" t="s">
        <v>33</v>
      </c>
      <c r="M109" s="53"/>
    </row>
    <row r="110" spans="1:17" x14ac:dyDescent="0.15">
      <c r="B110" s="54">
        <v>0</v>
      </c>
      <c r="C110" s="54">
        <v>1</v>
      </c>
      <c r="D110" s="54">
        <v>2</v>
      </c>
      <c r="E110" s="54">
        <v>3</v>
      </c>
      <c r="F110" s="54">
        <v>4</v>
      </c>
      <c r="G110" s="54">
        <v>5</v>
      </c>
      <c r="H110" s="54">
        <v>6</v>
      </c>
      <c r="I110" s="54">
        <v>7</v>
      </c>
      <c r="J110" s="54">
        <v>8</v>
      </c>
      <c r="K110" s="54">
        <v>9</v>
      </c>
      <c r="L110" s="49">
        <v>10</v>
      </c>
      <c r="M110" s="49">
        <v>11</v>
      </c>
      <c r="N110" s="49">
        <v>12</v>
      </c>
      <c r="O110" s="49">
        <v>13</v>
      </c>
      <c r="P110" s="49">
        <v>14</v>
      </c>
      <c r="Q110" s="49">
        <v>15</v>
      </c>
    </row>
    <row r="111" spans="1:17" x14ac:dyDescent="0.15">
      <c r="A111" s="49">
        <v>15</v>
      </c>
      <c r="M111" s="55" t="str">
        <f t="shared" ref="M111:Q126" ca="1" si="50">IF($A111&lt;M$15,$B$9*OFFSET(M111,0,-1),IF($A111=M$15,$B$8*OFFSET(M111,1,-1),""))</f>
        <v/>
      </c>
      <c r="N111" s="55" t="str">
        <f t="shared" ca="1" si="50"/>
        <v/>
      </c>
      <c r="O111" s="55" t="str">
        <f t="shared" ca="1" si="50"/>
        <v/>
      </c>
      <c r="P111" s="55" t="str">
        <f t="shared" ca="1" si="50"/>
        <v/>
      </c>
      <c r="Q111" s="55">
        <f t="shared" ca="1" si="50"/>
        <v>178.77315075823685</v>
      </c>
    </row>
    <row r="112" spans="1:17" x14ac:dyDescent="0.15">
      <c r="A112" s="49">
        <v>14</v>
      </c>
      <c r="M112" s="55" t="str">
        <f t="shared" ca="1" si="50"/>
        <v/>
      </c>
      <c r="N112" s="55" t="str">
        <f t="shared" ca="1" si="50"/>
        <v/>
      </c>
      <c r="O112" s="55" t="str">
        <f t="shared" ca="1" si="50"/>
        <v/>
      </c>
      <c r="P112" s="55">
        <f t="shared" ca="1" si="50"/>
        <v>171.98166193235366</v>
      </c>
      <c r="Q112" s="55">
        <f t="shared" ca="1" si="50"/>
        <v>165.44817784754298</v>
      </c>
    </row>
    <row r="113" spans="1:17" x14ac:dyDescent="0.15">
      <c r="A113" s="49">
        <v>13</v>
      </c>
      <c r="M113" s="55" t="str">
        <f t="shared" ca="1" si="50"/>
        <v/>
      </c>
      <c r="N113" s="55" t="str">
        <f t="shared" ca="1" si="50"/>
        <v/>
      </c>
      <c r="O113" s="55">
        <f t="shared" ca="1" si="50"/>
        <v>165.44817784754298</v>
      </c>
      <c r="P113" s="55">
        <f t="shared" ca="1" si="50"/>
        <v>159.16289705258808</v>
      </c>
      <c r="Q113" s="55">
        <f t="shared" ca="1" si="50"/>
        <v>153.11639044774745</v>
      </c>
    </row>
    <row r="114" spans="1:17" x14ac:dyDescent="0.15">
      <c r="A114" s="49">
        <v>12</v>
      </c>
      <c r="M114" s="55" t="str">
        <f t="shared" ca="1" si="50"/>
        <v/>
      </c>
      <c r="N114" s="55">
        <f t="shared" ca="1" si="50"/>
        <v>159.16289705258808</v>
      </c>
      <c r="O114" s="55">
        <f t="shared" ca="1" si="50"/>
        <v>153.11639044774745</v>
      </c>
      <c r="P114" s="55">
        <f t="shared" ca="1" si="50"/>
        <v>147.29958713933715</v>
      </c>
      <c r="Q114" s="55">
        <f t="shared" ca="1" si="50"/>
        <v>141.70376083168941</v>
      </c>
    </row>
    <row r="115" spans="1:17" x14ac:dyDescent="0.15">
      <c r="A115" s="49">
        <v>11</v>
      </c>
      <c r="M115" s="55">
        <f t="shared" ca="1" si="50"/>
        <v>153.11639044774745</v>
      </c>
      <c r="N115" s="55">
        <f t="shared" ca="1" si="50"/>
        <v>147.29958713933715</v>
      </c>
      <c r="O115" s="55">
        <f t="shared" ca="1" si="50"/>
        <v>141.70376083168941</v>
      </c>
      <c r="P115" s="55">
        <f t="shared" ca="1" si="50"/>
        <v>136.32051673607288</v>
      </c>
      <c r="Q115" s="55">
        <f t="shared" ca="1" si="50"/>
        <v>131.14177897693537</v>
      </c>
    </row>
    <row r="116" spans="1:17" x14ac:dyDescent="0.15">
      <c r="A116" s="49">
        <v>10</v>
      </c>
      <c r="B116" s="54"/>
      <c r="C116" s="55" t="str">
        <f t="shared" ref="C116:L126" ca="1" si="51">IF($A116&lt;C$15,$B$9*OFFSET(C116,0,-1),IF($A116=C$15,$B$8*OFFSET(C116,1,-1),""))</f>
        <v/>
      </c>
      <c r="D116" s="55" t="str">
        <f t="shared" ca="1" si="51"/>
        <v/>
      </c>
      <c r="E116" s="55" t="str">
        <f t="shared" ca="1" si="51"/>
        <v/>
      </c>
      <c r="F116" s="55" t="str">
        <f t="shared" ca="1" si="51"/>
        <v/>
      </c>
      <c r="G116" s="55" t="str">
        <f t="shared" ca="1" si="51"/>
        <v/>
      </c>
      <c r="H116" s="55" t="str">
        <f t="shared" ca="1" si="51"/>
        <v/>
      </c>
      <c r="I116" s="55" t="str">
        <f t="shared" ca="1" si="51"/>
        <v/>
      </c>
      <c r="J116" s="55" t="str">
        <f t="shared" ca="1" si="51"/>
        <v/>
      </c>
      <c r="K116" s="55" t="str">
        <f t="shared" ca="1" si="51"/>
        <v/>
      </c>
      <c r="L116" s="55">
        <f t="shared" ca="1" si="51"/>
        <v>147.29958713933715</v>
      </c>
      <c r="M116" s="55">
        <f t="shared" ca="1" si="50"/>
        <v>141.70376083168941</v>
      </c>
      <c r="N116" s="55">
        <f t="shared" ca="1" si="50"/>
        <v>136.32051673607288</v>
      </c>
      <c r="O116" s="55">
        <f t="shared" ca="1" si="50"/>
        <v>131.14177897693537</v>
      </c>
      <c r="P116" s="55">
        <f t="shared" ca="1" si="50"/>
        <v>126.15977847657631</v>
      </c>
      <c r="Q116" s="55">
        <f t="shared" ca="1" si="50"/>
        <v>121.36704130007335</v>
      </c>
    </row>
    <row r="117" spans="1:17" x14ac:dyDescent="0.15">
      <c r="A117" s="49">
        <v>9</v>
      </c>
      <c r="B117" s="54"/>
      <c r="C117" s="55" t="str">
        <f t="shared" ca="1" si="51"/>
        <v/>
      </c>
      <c r="D117" s="55" t="str">
        <f t="shared" ca="1" si="51"/>
        <v/>
      </c>
      <c r="E117" s="55" t="str">
        <f t="shared" ca="1" si="51"/>
        <v/>
      </c>
      <c r="F117" s="55" t="str">
        <f t="shared" ca="1" si="51"/>
        <v/>
      </c>
      <c r="G117" s="55" t="str">
        <f t="shared" ca="1" si="51"/>
        <v/>
      </c>
      <c r="H117" s="55" t="str">
        <f t="shared" ca="1" si="51"/>
        <v/>
      </c>
      <c r="I117" s="55" t="str">
        <f t="shared" ca="1" si="51"/>
        <v/>
      </c>
      <c r="J117" s="55" t="str">
        <f t="shared" ca="1" si="51"/>
        <v/>
      </c>
      <c r="K117" s="55">
        <f t="shared" ca="1" si="51"/>
        <v>141.70376083168941</v>
      </c>
      <c r="L117" s="55">
        <f t="shared" ca="1" si="51"/>
        <v>136.32051673607288</v>
      </c>
      <c r="M117" s="55">
        <f t="shared" ca="1" si="50"/>
        <v>131.14177897693537</v>
      </c>
      <c r="N117" s="55">
        <f t="shared" ca="1" si="50"/>
        <v>126.15977847657631</v>
      </c>
      <c r="O117" s="55">
        <f t="shared" ca="1" si="50"/>
        <v>121.36704130007335</v>
      </c>
      <c r="P117" s="55">
        <f t="shared" ca="1" si="50"/>
        <v>116.7563774429786</v>
      </c>
      <c r="Q117" s="55">
        <f t="shared" ca="1" si="50"/>
        <v>112.32087004496371</v>
      </c>
    </row>
    <row r="118" spans="1:17" x14ac:dyDescent="0.15">
      <c r="A118" s="49">
        <v>8</v>
      </c>
      <c r="B118" s="54"/>
      <c r="C118" s="55" t="str">
        <f t="shared" ca="1" si="51"/>
        <v/>
      </c>
      <c r="D118" s="55" t="str">
        <f t="shared" ca="1" si="51"/>
        <v/>
      </c>
      <c r="E118" s="55" t="str">
        <f t="shared" ca="1" si="51"/>
        <v/>
      </c>
      <c r="F118" s="55" t="str">
        <f t="shared" ca="1" si="51"/>
        <v/>
      </c>
      <c r="G118" s="55" t="str">
        <f t="shared" ca="1" si="51"/>
        <v/>
      </c>
      <c r="H118" s="55" t="str">
        <f t="shared" ca="1" si="51"/>
        <v/>
      </c>
      <c r="I118" s="55" t="str">
        <f t="shared" ca="1" si="51"/>
        <v/>
      </c>
      <c r="J118" s="55">
        <f t="shared" ca="1" si="51"/>
        <v>136.32051673607288</v>
      </c>
      <c r="K118" s="55">
        <f t="shared" ca="1" si="51"/>
        <v>131.14177897693537</v>
      </c>
      <c r="L118" s="55">
        <f t="shared" ca="1" si="51"/>
        <v>126.15977847657631</v>
      </c>
      <c r="M118" s="55">
        <f t="shared" ca="1" si="50"/>
        <v>121.36704130007335</v>
      </c>
      <c r="N118" s="55">
        <f t="shared" ca="1" si="50"/>
        <v>116.7563774429786</v>
      </c>
      <c r="O118" s="55">
        <f t="shared" ca="1" si="50"/>
        <v>112.32087004496371</v>
      </c>
      <c r="P118" s="55">
        <f t="shared" ca="1" si="50"/>
        <v>108.05386501323244</v>
      </c>
      <c r="Q118" s="55">
        <f t="shared" ca="1" si="50"/>
        <v>103.94896104013374</v>
      </c>
    </row>
    <row r="119" spans="1:17" x14ac:dyDescent="0.15">
      <c r="A119" s="49">
        <v>7</v>
      </c>
      <c r="B119" s="54"/>
      <c r="C119" s="55" t="str">
        <f t="shared" ca="1" si="51"/>
        <v/>
      </c>
      <c r="D119" s="55" t="str">
        <f t="shared" ca="1" si="51"/>
        <v/>
      </c>
      <c r="E119" s="55" t="str">
        <f t="shared" ca="1" si="51"/>
        <v/>
      </c>
      <c r="F119" s="55" t="str">
        <f t="shared" ca="1" si="51"/>
        <v/>
      </c>
      <c r="G119" s="55" t="str">
        <f t="shared" ca="1" si="51"/>
        <v/>
      </c>
      <c r="H119" s="55" t="str">
        <f t="shared" ca="1" si="51"/>
        <v/>
      </c>
      <c r="I119" s="55">
        <f t="shared" ca="1" si="51"/>
        <v>131.14177897693537</v>
      </c>
      <c r="J119" s="55">
        <f t="shared" ca="1" si="51"/>
        <v>126.15977847657631</v>
      </c>
      <c r="K119" s="55">
        <f t="shared" ca="1" si="51"/>
        <v>121.36704130007335</v>
      </c>
      <c r="L119" s="55">
        <f t="shared" ca="1" si="51"/>
        <v>116.7563774429786</v>
      </c>
      <c r="M119" s="55">
        <f t="shared" ca="1" si="50"/>
        <v>112.32087004496371</v>
      </c>
      <c r="N119" s="55">
        <f t="shared" ca="1" si="50"/>
        <v>108.05386501323244</v>
      </c>
      <c r="O119" s="55">
        <f t="shared" ca="1" si="50"/>
        <v>103.94896104013374</v>
      </c>
      <c r="P119" s="55">
        <f t="shared" ca="1" si="50"/>
        <v>99.999999999999972</v>
      </c>
      <c r="Q119" s="55">
        <f t="shared" ca="1" si="50"/>
        <v>96.201057710803738</v>
      </c>
    </row>
    <row r="120" spans="1:17" x14ac:dyDescent="0.15">
      <c r="A120" s="49">
        <v>6</v>
      </c>
      <c r="B120" s="54"/>
      <c r="C120" s="55" t="str">
        <f t="shared" ca="1" si="51"/>
        <v/>
      </c>
      <c r="D120" s="55" t="str">
        <f t="shared" ca="1" si="51"/>
        <v/>
      </c>
      <c r="E120" s="55" t="str">
        <f t="shared" ca="1" si="51"/>
        <v/>
      </c>
      <c r="F120" s="55" t="str">
        <f t="shared" ca="1" si="51"/>
        <v/>
      </c>
      <c r="G120" s="55" t="str">
        <f t="shared" ca="1" si="51"/>
        <v/>
      </c>
      <c r="H120" s="55">
        <f t="shared" ca="1" si="51"/>
        <v>126.15977847657631</v>
      </c>
      <c r="I120" s="55">
        <f t="shared" ca="1" si="51"/>
        <v>121.36704130007335</v>
      </c>
      <c r="J120" s="55">
        <f t="shared" ca="1" si="51"/>
        <v>116.7563774429786</v>
      </c>
      <c r="K120" s="55">
        <f t="shared" ca="1" si="51"/>
        <v>112.32087004496371</v>
      </c>
      <c r="L120" s="55">
        <f t="shared" ca="1" si="51"/>
        <v>108.05386501323244</v>
      </c>
      <c r="M120" s="55">
        <f t="shared" ca="1" si="50"/>
        <v>103.94896104013374</v>
      </c>
      <c r="N120" s="55">
        <f t="shared" ca="1" si="50"/>
        <v>99.999999999999972</v>
      </c>
      <c r="O120" s="55">
        <f t="shared" ca="1" si="50"/>
        <v>96.201057710803738</v>
      </c>
      <c r="P120" s="55">
        <f t="shared" ca="1" si="50"/>
        <v>92.546435046773937</v>
      </c>
      <c r="Q120" s="55">
        <f t="shared" ca="1" si="50"/>
        <v>89.030649388638508</v>
      </c>
    </row>
    <row r="121" spans="1:17" x14ac:dyDescent="0.15">
      <c r="A121" s="49">
        <v>5</v>
      </c>
      <c r="C121" s="55" t="str">
        <f t="shared" ca="1" si="51"/>
        <v/>
      </c>
      <c r="D121" s="55" t="str">
        <f t="shared" ca="1" si="51"/>
        <v/>
      </c>
      <c r="E121" s="55" t="str">
        <f t="shared" ca="1" si="51"/>
        <v/>
      </c>
      <c r="F121" s="55" t="str">
        <f t="shared" ca="1" si="51"/>
        <v/>
      </c>
      <c r="G121" s="55">
        <f t="shared" ca="1" si="51"/>
        <v>121.36704130007337</v>
      </c>
      <c r="H121" s="55">
        <f t="shared" ca="1" si="51"/>
        <v>116.75637744297862</v>
      </c>
      <c r="I121" s="55">
        <f t="shared" ca="1" si="51"/>
        <v>112.32087004496373</v>
      </c>
      <c r="J121" s="55">
        <f t="shared" ca="1" si="51"/>
        <v>108.05386501323245</v>
      </c>
      <c r="K121" s="55">
        <f t="shared" ca="1" si="51"/>
        <v>103.94896104013375</v>
      </c>
      <c r="L121" s="55">
        <f t="shared" ca="1" si="51"/>
        <v>99.999999999999986</v>
      </c>
      <c r="M121" s="55">
        <f t="shared" ca="1" si="50"/>
        <v>96.201057710803752</v>
      </c>
      <c r="N121" s="55">
        <f t="shared" ca="1" si="50"/>
        <v>92.546435046773951</v>
      </c>
      <c r="O121" s="55">
        <f t="shared" ca="1" si="50"/>
        <v>89.030649388638523</v>
      </c>
      <c r="P121" s="55">
        <f t="shared" ca="1" si="50"/>
        <v>85.648426398667496</v>
      </c>
      <c r="Q121" s="55">
        <f t="shared" ca="1" si="50"/>
        <v>82.394692108177395</v>
      </c>
    </row>
    <row r="122" spans="1:17" x14ac:dyDescent="0.15">
      <c r="A122" s="49">
        <v>4</v>
      </c>
      <c r="C122" s="55" t="str">
        <f t="shared" ca="1" si="51"/>
        <v/>
      </c>
      <c r="D122" s="55" t="str">
        <f t="shared" ca="1" si="51"/>
        <v/>
      </c>
      <c r="E122" s="55" t="str">
        <f t="shared" ca="1" si="51"/>
        <v/>
      </c>
      <c r="F122" s="55">
        <f t="shared" ca="1" si="51"/>
        <v>116.75637744297862</v>
      </c>
      <c r="G122" s="55">
        <f t="shared" ca="1" si="51"/>
        <v>112.32087004496373</v>
      </c>
      <c r="H122" s="55">
        <f t="shared" ca="1" si="51"/>
        <v>108.05386501323245</v>
      </c>
      <c r="I122" s="55">
        <f t="shared" ca="1" si="51"/>
        <v>103.94896104013375</v>
      </c>
      <c r="J122" s="55">
        <f t="shared" ca="1" si="51"/>
        <v>99.999999999999986</v>
      </c>
      <c r="K122" s="55">
        <f t="shared" ca="1" si="51"/>
        <v>96.201057710803752</v>
      </c>
      <c r="L122" s="55">
        <f t="shared" ca="1" si="51"/>
        <v>92.546435046773951</v>
      </c>
      <c r="M122" s="55">
        <f t="shared" ca="1" si="50"/>
        <v>89.030649388638523</v>
      </c>
      <c r="N122" s="55">
        <f t="shared" ca="1" si="50"/>
        <v>85.648426398667496</v>
      </c>
      <c r="O122" s="55">
        <f t="shared" ca="1" si="50"/>
        <v>82.394692108177395</v>
      </c>
      <c r="P122" s="55">
        <f t="shared" ca="1" si="50"/>
        <v>79.264565305626803</v>
      </c>
      <c r="Q122" s="55">
        <f t="shared" ca="1" si="50"/>
        <v>76.253350213883778</v>
      </c>
    </row>
    <row r="123" spans="1:17" x14ac:dyDescent="0.15">
      <c r="A123" s="49">
        <v>3</v>
      </c>
      <c r="C123" s="55" t="str">
        <f t="shared" ca="1" si="51"/>
        <v/>
      </c>
      <c r="D123" s="55" t="str">
        <f t="shared" ca="1" si="51"/>
        <v/>
      </c>
      <c r="E123" s="55">
        <f t="shared" ca="1" si="51"/>
        <v>112.32087004496373</v>
      </c>
      <c r="F123" s="55">
        <f t="shared" ca="1" si="51"/>
        <v>108.05386501323245</v>
      </c>
      <c r="G123" s="55">
        <f t="shared" ca="1" si="51"/>
        <v>103.94896104013375</v>
      </c>
      <c r="H123" s="55">
        <f t="shared" ca="1" si="51"/>
        <v>99.999999999999986</v>
      </c>
      <c r="I123" s="55">
        <f t="shared" ca="1" si="51"/>
        <v>96.201057710803752</v>
      </c>
      <c r="J123" s="55">
        <f t="shared" ca="1" si="51"/>
        <v>92.546435046773951</v>
      </c>
      <c r="K123" s="55">
        <f t="shared" ca="1" si="51"/>
        <v>89.030649388638523</v>
      </c>
      <c r="L123" s="55">
        <f t="shared" ca="1" si="51"/>
        <v>85.648426398667496</v>
      </c>
      <c r="M123" s="55">
        <f t="shared" ca="1" si="50"/>
        <v>82.394692108177395</v>
      </c>
      <c r="N123" s="55">
        <f t="shared" ca="1" si="50"/>
        <v>79.264565305626803</v>
      </c>
      <c r="O123" s="55">
        <f t="shared" ca="1" si="50"/>
        <v>76.253350213883778</v>
      </c>
      <c r="P123" s="55">
        <f t="shared" ca="1" si="50"/>
        <v>73.356529445679641</v>
      </c>
      <c r="Q123" s="55">
        <f t="shared" ca="1" si="50"/>
        <v>70.56975722668102</v>
      </c>
    </row>
    <row r="124" spans="1:17" x14ac:dyDescent="0.15">
      <c r="A124" s="49">
        <v>2</v>
      </c>
      <c r="C124" s="55" t="str">
        <f t="shared" ca="1" si="51"/>
        <v/>
      </c>
      <c r="D124" s="55">
        <f t="shared" ca="1" si="51"/>
        <v>108.05386501323245</v>
      </c>
      <c r="E124" s="55">
        <f t="shared" ca="1" si="51"/>
        <v>103.94896104013375</v>
      </c>
      <c r="F124" s="55">
        <f t="shared" ca="1" si="51"/>
        <v>99.999999999999986</v>
      </c>
      <c r="G124" s="55">
        <f t="shared" ca="1" si="51"/>
        <v>96.201057710803752</v>
      </c>
      <c r="H124" s="55">
        <f t="shared" ca="1" si="51"/>
        <v>92.546435046773951</v>
      </c>
      <c r="I124" s="55">
        <f t="shared" ca="1" si="51"/>
        <v>89.030649388638523</v>
      </c>
      <c r="J124" s="55">
        <f t="shared" ca="1" si="51"/>
        <v>85.648426398667496</v>
      </c>
      <c r="K124" s="55">
        <f t="shared" ca="1" si="51"/>
        <v>82.394692108177395</v>
      </c>
      <c r="L124" s="55">
        <f t="shared" ca="1" si="51"/>
        <v>79.264565305626803</v>
      </c>
      <c r="M124" s="55">
        <f t="shared" ca="1" si="50"/>
        <v>76.253350213883778</v>
      </c>
      <c r="N124" s="55">
        <f t="shared" ca="1" si="50"/>
        <v>73.356529445679641</v>
      </c>
      <c r="O124" s="55">
        <f t="shared" ca="1" si="50"/>
        <v>70.56975722668102</v>
      </c>
      <c r="P124" s="55">
        <f t="shared" ca="1" si="50"/>
        <v>67.888852876013516</v>
      </c>
      <c r="Q124" s="55">
        <f t="shared" ca="1" si="50"/>
        <v>65.309794534456415</v>
      </c>
    </row>
    <row r="125" spans="1:17" x14ac:dyDescent="0.15">
      <c r="A125" s="49">
        <v>1</v>
      </c>
      <c r="C125" s="55">
        <f t="shared" ca="1" si="51"/>
        <v>103.94896104013375</v>
      </c>
      <c r="D125" s="55">
        <f t="shared" ca="1" si="51"/>
        <v>99.999999999999986</v>
      </c>
      <c r="E125" s="55">
        <f t="shared" ca="1" si="51"/>
        <v>96.201057710803752</v>
      </c>
      <c r="F125" s="55">
        <f t="shared" ca="1" si="51"/>
        <v>92.546435046773951</v>
      </c>
      <c r="G125" s="55">
        <f t="shared" ca="1" si="51"/>
        <v>89.030649388638523</v>
      </c>
      <c r="H125" s="55">
        <f t="shared" ca="1" si="51"/>
        <v>85.648426398667496</v>
      </c>
      <c r="I125" s="55">
        <f t="shared" ca="1" si="51"/>
        <v>82.394692108177395</v>
      </c>
      <c r="J125" s="55">
        <f t="shared" ca="1" si="51"/>
        <v>79.264565305626803</v>
      </c>
      <c r="K125" s="55">
        <f t="shared" ca="1" si="51"/>
        <v>76.253350213883778</v>
      </c>
      <c r="L125" s="55">
        <f t="shared" ca="1" si="51"/>
        <v>73.356529445679641</v>
      </c>
      <c r="M125" s="55">
        <f t="shared" ca="1" si="50"/>
        <v>70.56975722668102</v>
      </c>
      <c r="N125" s="55">
        <f t="shared" ca="1" si="50"/>
        <v>67.888852876013516</v>
      </c>
      <c r="O125" s="55">
        <f t="shared" ca="1" si="50"/>
        <v>65.309794534456415</v>
      </c>
      <c r="P125" s="55">
        <f t="shared" ca="1" si="50"/>
        <v>62.828713130899779</v>
      </c>
      <c r="Q125" s="55">
        <f t="shared" ca="1" si="50"/>
        <v>60.441886578012237</v>
      </c>
    </row>
    <row r="126" spans="1:17" x14ac:dyDescent="0.15">
      <c r="A126" s="49">
        <v>0</v>
      </c>
      <c r="B126" s="55">
        <f>$B$2</f>
        <v>100</v>
      </c>
      <c r="C126" s="55">
        <f t="shared" ca="1" si="51"/>
        <v>96.201057710803767</v>
      </c>
      <c r="D126" s="55">
        <f t="shared" ca="1" si="51"/>
        <v>92.546435046773965</v>
      </c>
      <c r="E126" s="55">
        <f t="shared" ca="1" si="51"/>
        <v>89.030649388638537</v>
      </c>
      <c r="F126" s="55">
        <f t="shared" ca="1" si="51"/>
        <v>85.64842639866751</v>
      </c>
      <c r="G126" s="55">
        <f t="shared" ca="1" si="51"/>
        <v>82.394692108177409</v>
      </c>
      <c r="H126" s="55">
        <f t="shared" ca="1" si="51"/>
        <v>79.264565305626817</v>
      </c>
      <c r="I126" s="55">
        <f t="shared" ca="1" si="51"/>
        <v>76.253350213883792</v>
      </c>
      <c r="J126" s="55">
        <f t="shared" ca="1" si="51"/>
        <v>73.356529445679655</v>
      </c>
      <c r="K126" s="55">
        <f t="shared" ca="1" si="51"/>
        <v>70.569757226681034</v>
      </c>
      <c r="L126" s="55">
        <f t="shared" ca="1" si="51"/>
        <v>67.88885287601353</v>
      </c>
      <c r="M126" s="55">
        <f t="shared" ca="1" si="50"/>
        <v>65.309794534456429</v>
      </c>
      <c r="N126" s="55">
        <f t="shared" ca="1" si="50"/>
        <v>62.828713130899793</v>
      </c>
      <c r="O126" s="55">
        <f t="shared" ca="1" si="50"/>
        <v>60.441886578012252</v>
      </c>
      <c r="P126" s="55">
        <f t="shared" ca="1" si="50"/>
        <v>58.145734188412121</v>
      </c>
      <c r="Q126" s="55">
        <f t="shared" ca="1" si="50"/>
        <v>55.936811302964898</v>
      </c>
    </row>
    <row r="128" spans="1:17" x14ac:dyDescent="0.15">
      <c r="A128" s="53" t="s">
        <v>38</v>
      </c>
      <c r="M128" s="53"/>
    </row>
    <row r="129" spans="1:17" x14ac:dyDescent="0.15">
      <c r="B129" s="54">
        <v>0</v>
      </c>
      <c r="C129" s="54">
        <v>1</v>
      </c>
      <c r="D129" s="54">
        <v>2</v>
      </c>
      <c r="E129" s="54">
        <v>3</v>
      </c>
      <c r="F129" s="54">
        <v>4</v>
      </c>
      <c r="G129" s="54">
        <v>5</v>
      </c>
      <c r="H129" s="54">
        <v>6</v>
      </c>
      <c r="I129" s="54">
        <v>7</v>
      </c>
      <c r="J129" s="54">
        <v>8</v>
      </c>
      <c r="K129" s="54">
        <v>9</v>
      </c>
      <c r="L129" s="49">
        <v>10</v>
      </c>
      <c r="M129" s="49">
        <v>11</v>
      </c>
      <c r="N129" s="49">
        <v>12</v>
      </c>
      <c r="O129" s="49">
        <v>13</v>
      </c>
      <c r="P129" s="49">
        <v>14</v>
      </c>
      <c r="Q129" s="49">
        <v>15</v>
      </c>
    </row>
    <row r="130" spans="1:17" x14ac:dyDescent="0.15">
      <c r="A130" s="49">
        <v>15</v>
      </c>
      <c r="M130" s="55" t="str">
        <f t="shared" ref="M130:Q145" ca="1" si="52">IF($A130&lt;M$15,$B$9*OFFSET(M130,0,-1),IF($A130=M$15,$B$8*OFFSET(M130,1,-1),""))</f>
        <v/>
      </c>
      <c r="N130" s="55" t="str">
        <f t="shared" ca="1" si="52"/>
        <v/>
      </c>
      <c r="O130" s="55" t="str">
        <f t="shared" ca="1" si="52"/>
        <v/>
      </c>
      <c r="P130" s="55" t="str">
        <f t="shared" ca="1" si="52"/>
        <v/>
      </c>
      <c r="Q130" s="55">
        <f ca="1">Q111</f>
        <v>178.77315075823685</v>
      </c>
    </row>
    <row r="131" spans="1:17" x14ac:dyDescent="0.15">
      <c r="A131" s="49">
        <v>14</v>
      </c>
      <c r="B131" s="55" t="str">
        <f t="shared" ref="B131:O145" si="53">IF($A131&lt;=B$129,C131*$B$11+C130*$B$10,"")</f>
        <v/>
      </c>
      <c r="C131" s="55" t="str">
        <f t="shared" si="53"/>
        <v/>
      </c>
      <c r="D131" s="55" t="str">
        <f t="shared" si="53"/>
        <v/>
      </c>
      <c r="E131" s="55" t="str">
        <f t="shared" si="53"/>
        <v/>
      </c>
      <c r="F131" s="55" t="str">
        <f t="shared" si="53"/>
        <v/>
      </c>
      <c r="G131" s="55" t="str">
        <f t="shared" si="53"/>
        <v/>
      </c>
      <c r="H131" s="55" t="str">
        <f t="shared" si="53"/>
        <v/>
      </c>
      <c r="I131" s="55" t="str">
        <f t="shared" si="53"/>
        <v/>
      </c>
      <c r="J131" s="55" t="str">
        <f t="shared" si="53"/>
        <v/>
      </c>
      <c r="K131" s="55" t="str">
        <f t="shared" si="53"/>
        <v/>
      </c>
      <c r="L131" s="55" t="str">
        <f t="shared" si="53"/>
        <v/>
      </c>
      <c r="M131" s="55" t="str">
        <f t="shared" si="53"/>
        <v/>
      </c>
      <c r="N131" s="55" t="str">
        <f t="shared" si="53"/>
        <v/>
      </c>
      <c r="O131" s="55" t="str">
        <f t="shared" si="53"/>
        <v/>
      </c>
      <c r="P131" s="55">
        <f ca="1">IF($A131&lt;=P$129,Q131*$B$11+Q130*$B$10,"")</f>
        <v>172.01032793144262</v>
      </c>
      <c r="Q131" s="55">
        <f t="shared" ref="Q131:Q145" ca="1" si="54">Q112</f>
        <v>165.44817784754298</v>
      </c>
    </row>
    <row r="132" spans="1:17" x14ac:dyDescent="0.15">
      <c r="A132" s="49">
        <v>13</v>
      </c>
      <c r="B132" s="55" t="str">
        <f t="shared" si="53"/>
        <v/>
      </c>
      <c r="C132" s="55" t="str">
        <f t="shared" si="53"/>
        <v/>
      </c>
      <c r="D132" s="55" t="str">
        <f t="shared" si="53"/>
        <v/>
      </c>
      <c r="E132" s="55" t="str">
        <f t="shared" si="53"/>
        <v/>
      </c>
      <c r="F132" s="55" t="str">
        <f t="shared" si="53"/>
        <v/>
      </c>
      <c r="G132" s="55" t="str">
        <f t="shared" si="53"/>
        <v/>
      </c>
      <c r="H132" s="55" t="str">
        <f t="shared" si="53"/>
        <v/>
      </c>
      <c r="I132" s="55" t="str">
        <f t="shared" si="53"/>
        <v/>
      </c>
      <c r="J132" s="55" t="str">
        <f t="shared" si="53"/>
        <v/>
      </c>
      <c r="K132" s="55" t="str">
        <f t="shared" si="53"/>
        <v/>
      </c>
      <c r="L132" s="55" t="str">
        <f t="shared" si="53"/>
        <v/>
      </c>
      <c r="M132" s="55" t="str">
        <f t="shared" si="53"/>
        <v/>
      </c>
      <c r="N132" s="55" t="str">
        <f t="shared" si="53"/>
        <v/>
      </c>
      <c r="O132" s="55">
        <f t="shared" ca="1" si="53"/>
        <v>165.50333643274561</v>
      </c>
      <c r="P132" s="55">
        <f t="shared" ref="P132:P145" ca="1" si="55">IF($A132&lt;=P$129,Q132*$B$11+Q131*$B$10,"")</f>
        <v>159.18942641281544</v>
      </c>
      <c r="Q132" s="55">
        <f t="shared" ca="1" si="54"/>
        <v>153.11639044774745</v>
      </c>
    </row>
    <row r="133" spans="1:17" x14ac:dyDescent="0.15">
      <c r="A133" s="49">
        <v>12</v>
      </c>
      <c r="B133" s="55" t="str">
        <f t="shared" si="53"/>
        <v/>
      </c>
      <c r="C133" s="55" t="str">
        <f t="shared" si="53"/>
        <v/>
      </c>
      <c r="D133" s="55" t="str">
        <f t="shared" si="53"/>
        <v/>
      </c>
      <c r="E133" s="55" t="str">
        <f t="shared" si="53"/>
        <v/>
      </c>
      <c r="F133" s="55" t="str">
        <f t="shared" si="53"/>
        <v/>
      </c>
      <c r="G133" s="55" t="str">
        <f t="shared" si="53"/>
        <v/>
      </c>
      <c r="H133" s="55" t="str">
        <f t="shared" si="53"/>
        <v/>
      </c>
      <c r="I133" s="55" t="str">
        <f t="shared" si="53"/>
        <v/>
      </c>
      <c r="J133" s="55" t="str">
        <f t="shared" si="53"/>
        <v/>
      </c>
      <c r="K133" s="55" t="str">
        <f t="shared" si="53"/>
        <v/>
      </c>
      <c r="L133" s="55" t="str">
        <f t="shared" si="53"/>
        <v/>
      </c>
      <c r="M133" s="55" t="str">
        <f t="shared" si="53"/>
        <v/>
      </c>
      <c r="N133" s="55">
        <f t="shared" ca="1" si="53"/>
        <v>159.24249839979279</v>
      </c>
      <c r="O133" s="55">
        <f t="shared" ca="1" si="53"/>
        <v>153.16743775197472</v>
      </c>
      <c r="P133" s="55">
        <f t="shared" ca="1" si="55"/>
        <v>147.3241391164683</v>
      </c>
      <c r="Q133" s="55">
        <f t="shared" ca="1" si="54"/>
        <v>141.70376083168941</v>
      </c>
    </row>
    <row r="134" spans="1:17" x14ac:dyDescent="0.15">
      <c r="A134" s="49">
        <v>11</v>
      </c>
      <c r="B134" s="55" t="str">
        <f t="shared" si="53"/>
        <v/>
      </c>
      <c r="C134" s="55" t="str">
        <f t="shared" si="53"/>
        <v/>
      </c>
      <c r="D134" s="55" t="str">
        <f t="shared" si="53"/>
        <v/>
      </c>
      <c r="E134" s="55" t="str">
        <f t="shared" si="53"/>
        <v/>
      </c>
      <c r="F134" s="55" t="str">
        <f t="shared" si="53"/>
        <v/>
      </c>
      <c r="G134" s="55" t="str">
        <f t="shared" si="53"/>
        <v/>
      </c>
      <c r="H134" s="55" t="str">
        <f t="shared" si="53"/>
        <v/>
      </c>
      <c r="I134" s="55" t="str">
        <f t="shared" si="53"/>
        <v/>
      </c>
      <c r="J134" s="55" t="str">
        <f t="shared" si="53"/>
        <v/>
      </c>
      <c r="K134" s="55" t="str">
        <f t="shared" si="53"/>
        <v/>
      </c>
      <c r="L134" s="55" t="str">
        <f t="shared" si="53"/>
        <v/>
      </c>
      <c r="M134" s="55">
        <f t="shared" ca="1" si="53"/>
        <v>153.21850207480637</v>
      </c>
      <c r="N134" s="55">
        <f t="shared" ca="1" si="53"/>
        <v>147.37325534842432</v>
      </c>
      <c r="O134" s="55">
        <f t="shared" ca="1" si="53"/>
        <v>141.75100329193924</v>
      </c>
      <c r="P134" s="55">
        <f t="shared" ca="1" si="55"/>
        <v>136.34323871564123</v>
      </c>
      <c r="Q134" s="55">
        <f t="shared" ca="1" si="54"/>
        <v>131.14177897693537</v>
      </c>
    </row>
    <row r="135" spans="1:17" x14ac:dyDescent="0.15">
      <c r="A135" s="49">
        <v>10</v>
      </c>
      <c r="B135" s="55" t="str">
        <f t="shared" si="53"/>
        <v/>
      </c>
      <c r="C135" s="55" t="str">
        <f t="shared" si="53"/>
        <v/>
      </c>
      <c r="D135" s="55" t="str">
        <f t="shared" si="53"/>
        <v/>
      </c>
      <c r="E135" s="55" t="str">
        <f t="shared" si="53"/>
        <v/>
      </c>
      <c r="F135" s="55" t="str">
        <f t="shared" si="53"/>
        <v/>
      </c>
      <c r="G135" s="55" t="str">
        <f t="shared" si="53"/>
        <v/>
      </c>
      <c r="H135" s="55" t="str">
        <f t="shared" si="53"/>
        <v/>
      </c>
      <c r="I135" s="55" t="str">
        <f t="shared" si="53"/>
        <v/>
      </c>
      <c r="J135" s="55" t="str">
        <f t="shared" si="53"/>
        <v/>
      </c>
      <c r="K135" s="55" t="str">
        <f t="shared" si="53"/>
        <v/>
      </c>
      <c r="L135" s="55">
        <f t="shared" ca="1" si="53"/>
        <v>147.42238795518665</v>
      </c>
      <c r="M135" s="55">
        <f t="shared" ca="1" si="53"/>
        <v>141.7982615023007</v>
      </c>
      <c r="N135" s="55">
        <f t="shared" ca="1" si="53"/>
        <v>136.38869403734583</v>
      </c>
      <c r="O135" s="55">
        <f t="shared" ca="1" si="53"/>
        <v>131.18550018972496</v>
      </c>
      <c r="P135" s="55">
        <f t="shared" ca="1" si="55"/>
        <v>126.1808068586389</v>
      </c>
      <c r="Q135" s="55">
        <f t="shared" ca="1" si="54"/>
        <v>121.36704130007335</v>
      </c>
    </row>
    <row r="136" spans="1:17" x14ac:dyDescent="0.15">
      <c r="A136" s="49">
        <v>9</v>
      </c>
      <c r="B136" s="55" t="str">
        <f t="shared" si="53"/>
        <v/>
      </c>
      <c r="C136" s="55" t="str">
        <f t="shared" si="53"/>
        <v/>
      </c>
      <c r="D136" s="55" t="str">
        <f t="shared" si="53"/>
        <v/>
      </c>
      <c r="E136" s="55" t="str">
        <f t="shared" si="53"/>
        <v/>
      </c>
      <c r="F136" s="55" t="str">
        <f t="shared" si="53"/>
        <v/>
      </c>
      <c r="G136" s="55" t="str">
        <f t="shared" si="53"/>
        <v/>
      </c>
      <c r="H136" s="55" t="str">
        <f t="shared" si="53"/>
        <v/>
      </c>
      <c r="I136" s="55" t="str">
        <f t="shared" si="53"/>
        <v/>
      </c>
      <c r="J136" s="55" t="str">
        <f t="shared" si="53"/>
        <v/>
      </c>
      <c r="K136" s="55">
        <f t="shared" ca="1" si="53"/>
        <v>141.84553546802465</v>
      </c>
      <c r="L136" s="55">
        <f t="shared" ca="1" si="53"/>
        <v>136.43416451334991</v>
      </c>
      <c r="M136" s="55">
        <f t="shared" ca="1" si="53"/>
        <v>131.22923597868137</v>
      </c>
      <c r="N136" s="55">
        <f t="shared" ca="1" si="53"/>
        <v>126.22287413841553</v>
      </c>
      <c r="O136" s="55">
        <f t="shared" ca="1" si="53"/>
        <v>121.40750372386935</v>
      </c>
      <c r="P136" s="55">
        <f t="shared" ca="1" si="55"/>
        <v>116.77583846092554</v>
      </c>
      <c r="Q136" s="55">
        <f t="shared" ca="1" si="54"/>
        <v>112.32087004496371</v>
      </c>
    </row>
    <row r="137" spans="1:17" x14ac:dyDescent="0.15">
      <c r="A137" s="49">
        <v>8</v>
      </c>
      <c r="B137" s="55" t="str">
        <f t="shared" si="53"/>
        <v/>
      </c>
      <c r="C137" s="55" t="str">
        <f t="shared" si="53"/>
        <v/>
      </c>
      <c r="D137" s="55" t="str">
        <f t="shared" si="53"/>
        <v/>
      </c>
      <c r="E137" s="55" t="str">
        <f t="shared" si="53"/>
        <v/>
      </c>
      <c r="F137" s="55" t="str">
        <f t="shared" si="53"/>
        <v/>
      </c>
      <c r="G137" s="55" t="str">
        <f t="shared" si="53"/>
        <v/>
      </c>
      <c r="H137" s="55" t="str">
        <f t="shared" si="53"/>
        <v/>
      </c>
      <c r="I137" s="55" t="str">
        <f t="shared" si="53"/>
        <v/>
      </c>
      <c r="J137" s="55">
        <f t="shared" ca="1" si="53"/>
        <v>136.47965014870573</v>
      </c>
      <c r="K137" s="55">
        <f t="shared" ca="1" si="53"/>
        <v>131.27298634866418</v>
      </c>
      <c r="L137" s="55">
        <f t="shared" ca="1" si="53"/>
        <v>126.26495544295611</v>
      </c>
      <c r="M137" s="55">
        <f t="shared" ca="1" si="53"/>
        <v>121.4479796373881</v>
      </c>
      <c r="N137" s="55">
        <f t="shared" ca="1" si="53"/>
        <v>116.81477022867999</v>
      </c>
      <c r="O137" s="55">
        <f t="shared" ca="1" si="53"/>
        <v>112.35831657572042</v>
      </c>
      <c r="P137" s="55">
        <f t="shared" ca="1" si="55"/>
        <v>108.07187549156615</v>
      </c>
      <c r="Q137" s="55">
        <f t="shared" ca="1" si="54"/>
        <v>103.94896104013374</v>
      </c>
    </row>
    <row r="138" spans="1:17" x14ac:dyDescent="0.15">
      <c r="A138" s="49">
        <v>7</v>
      </c>
      <c r="B138" s="55" t="str">
        <f t="shared" si="53"/>
        <v/>
      </c>
      <c r="C138" s="55" t="str">
        <f t="shared" si="53"/>
        <v/>
      </c>
      <c r="D138" s="55" t="str">
        <f t="shared" si="53"/>
        <v/>
      </c>
      <c r="E138" s="55" t="str">
        <f t="shared" si="53"/>
        <v/>
      </c>
      <c r="F138" s="55" t="str">
        <f t="shared" si="53"/>
        <v/>
      </c>
      <c r="G138" s="55" t="str">
        <f t="shared" si="53"/>
        <v/>
      </c>
      <c r="H138" s="55" t="str">
        <f t="shared" si="53"/>
        <v/>
      </c>
      <c r="I138" s="55">
        <f t="shared" ca="1" si="53"/>
        <v>131.31675130453445</v>
      </c>
      <c r="J138" s="55">
        <f t="shared" ca="1" si="53"/>
        <v>126.30705077693631</v>
      </c>
      <c r="K138" s="55">
        <f t="shared" ca="1" si="53"/>
        <v>121.48846904512695</v>
      </c>
      <c r="L138" s="55">
        <f t="shared" ca="1" si="53"/>
        <v>116.85371497585346</v>
      </c>
      <c r="M138" s="55">
        <f t="shared" ca="1" si="53"/>
        <v>112.39577559073464</v>
      </c>
      <c r="N138" s="55">
        <f t="shared" ca="1" si="53"/>
        <v>108.10790545472358</v>
      </c>
      <c r="O138" s="55">
        <f t="shared" ca="1" si="53"/>
        <v>103.98361646939777</v>
      </c>
      <c r="P138" s="55">
        <f t="shared" ca="1" si="55"/>
        <v>100.01666805563269</v>
      </c>
      <c r="Q138" s="55">
        <f t="shared" ca="1" si="54"/>
        <v>96.201057710803738</v>
      </c>
    </row>
    <row r="139" spans="1:17" x14ac:dyDescent="0.15">
      <c r="A139" s="49">
        <v>6</v>
      </c>
      <c r="B139" s="55" t="str">
        <f t="shared" si="53"/>
        <v/>
      </c>
      <c r="C139" s="55" t="str">
        <f t="shared" si="53"/>
        <v/>
      </c>
      <c r="D139" s="55" t="str">
        <f t="shared" si="53"/>
        <v/>
      </c>
      <c r="E139" s="55" t="str">
        <f t="shared" si="53"/>
        <v/>
      </c>
      <c r="F139" s="55" t="str">
        <f t="shared" si="53"/>
        <v/>
      </c>
      <c r="G139" s="55" t="str">
        <f t="shared" si="53"/>
        <v/>
      </c>
      <c r="H139" s="55">
        <f t="shared" ca="1" si="53"/>
        <v>126.34916014503338</v>
      </c>
      <c r="I139" s="55">
        <f t="shared" ca="1" si="53"/>
        <v>121.52897195158468</v>
      </c>
      <c r="J139" s="55">
        <f t="shared" ca="1" si="53"/>
        <v>116.89267270677318</v>
      </c>
      <c r="K139" s="55">
        <f t="shared" ca="1" si="53"/>
        <v>112.43324709416851</v>
      </c>
      <c r="L139" s="55">
        <f t="shared" ca="1" si="53"/>
        <v>108.14394742987061</v>
      </c>
      <c r="M139" s="55">
        <f t="shared" ca="1" si="53"/>
        <v>104.01828345239707</v>
      </c>
      <c r="N139" s="55">
        <f t="shared" ca="1" si="53"/>
        <v>100.05001250208356</v>
      </c>
      <c r="O139" s="55">
        <f t="shared" ca="1" si="53"/>
        <v>96.233130075137751</v>
      </c>
      <c r="P139" s="55">
        <f t="shared" ca="1" si="55"/>
        <v>92.561860738053625</v>
      </c>
      <c r="Q139" s="55">
        <f t="shared" ca="1" si="54"/>
        <v>89.030649388638508</v>
      </c>
    </row>
    <row r="140" spans="1:17" x14ac:dyDescent="0.15">
      <c r="A140" s="49">
        <v>5</v>
      </c>
      <c r="B140" s="55" t="str">
        <f t="shared" si="53"/>
        <v/>
      </c>
      <c r="C140" s="55" t="str">
        <f t="shared" si="53"/>
        <v/>
      </c>
      <c r="D140" s="55" t="str">
        <f t="shared" si="53"/>
        <v/>
      </c>
      <c r="E140" s="55" t="str">
        <f t="shared" si="53"/>
        <v/>
      </c>
      <c r="F140" s="55" t="str">
        <f t="shared" si="53"/>
        <v/>
      </c>
      <c r="G140" s="55">
        <f t="shared" ca="1" si="53"/>
        <v>121.56948836126168</v>
      </c>
      <c r="H140" s="55">
        <f t="shared" ca="1" si="53"/>
        <v>116.93164342576776</v>
      </c>
      <c r="I140" s="55">
        <f t="shared" ca="1" si="53"/>
        <v>112.4707310901855</v>
      </c>
      <c r="J140" s="55">
        <f t="shared" ca="1" si="53"/>
        <v>108.18000142101192</v>
      </c>
      <c r="K140" s="55">
        <f t="shared" ca="1" si="53"/>
        <v>104.05296199298353</v>
      </c>
      <c r="L140" s="55">
        <f t="shared" ca="1" si="53"/>
        <v>100.08336806520259</v>
      </c>
      <c r="M140" s="55">
        <f t="shared" ca="1" si="53"/>
        <v>96.265213132041879</v>
      </c>
      <c r="N140" s="55">
        <f t="shared" ca="1" si="53"/>
        <v>92.592719834529987</v>
      </c>
      <c r="O140" s="55">
        <f t="shared" ca="1" si="53"/>
        <v>89.060331218464853</v>
      </c>
      <c r="P140" s="55">
        <f t="shared" ca="1" si="55"/>
        <v>85.662702326028153</v>
      </c>
      <c r="Q140" s="55">
        <f t="shared" ca="1" si="54"/>
        <v>82.394692108177395</v>
      </c>
    </row>
    <row r="141" spans="1:17" x14ac:dyDescent="0.15">
      <c r="A141" s="49">
        <v>4</v>
      </c>
      <c r="B141" s="55" t="str">
        <f t="shared" si="53"/>
        <v/>
      </c>
      <c r="C141" s="55" t="str">
        <f t="shared" si="53"/>
        <v/>
      </c>
      <c r="D141" s="55" t="str">
        <f t="shared" si="53"/>
        <v/>
      </c>
      <c r="E141" s="55" t="str">
        <f t="shared" si="53"/>
        <v/>
      </c>
      <c r="F141" s="55">
        <f t="shared" ca="1" si="53"/>
        <v>116.97062713716727</v>
      </c>
      <c r="G141" s="55">
        <f t="shared" ca="1" si="53"/>
        <v>112.50822758295047</v>
      </c>
      <c r="H141" s="55">
        <f t="shared" ca="1" si="53"/>
        <v>108.21606743215349</v>
      </c>
      <c r="I141" s="55">
        <f t="shared" ca="1" si="53"/>
        <v>104.08765209501031</v>
      </c>
      <c r="J141" s="55">
        <f t="shared" ca="1" si="53"/>
        <v>100.11673474869595</v>
      </c>
      <c r="K141" s="55">
        <f t="shared" ca="1" si="53"/>
        <v>96.2973068850809</v>
      </c>
      <c r="L141" s="55">
        <f t="shared" ca="1" si="53"/>
        <v>92.623589219086412</v>
      </c>
      <c r="M141" s="55">
        <f t="shared" ca="1" si="53"/>
        <v>89.090022943883639</v>
      </c>
      <c r="N141" s="55">
        <f t="shared" ca="1" si="53"/>
        <v>85.691261319704665</v>
      </c>
      <c r="O141" s="55">
        <f t="shared" ca="1" si="53"/>
        <v>82.422161583538312</v>
      </c>
      <c r="P141" s="55">
        <f t="shared" ca="1" si="55"/>
        <v>79.277777167468969</v>
      </c>
      <c r="Q141" s="55">
        <f t="shared" ca="1" si="54"/>
        <v>76.253350213883778</v>
      </c>
    </row>
    <row r="142" spans="1:17" x14ac:dyDescent="0.15">
      <c r="A142" s="49">
        <v>3</v>
      </c>
      <c r="B142" s="55" t="str">
        <f t="shared" si="53"/>
        <v/>
      </c>
      <c r="C142" s="55" t="str">
        <f t="shared" si="53"/>
        <v/>
      </c>
      <c r="D142" s="55" t="str">
        <f t="shared" si="53"/>
        <v/>
      </c>
      <c r="E142" s="55">
        <f t="shared" ca="1" si="53"/>
        <v>112.54573657662975</v>
      </c>
      <c r="F142" s="55">
        <f t="shared" ca="1" si="53"/>
        <v>108.25214546730267</v>
      </c>
      <c r="G142" s="55">
        <f t="shared" ca="1" si="53"/>
        <v>104.12235376233188</v>
      </c>
      <c r="H142" s="55">
        <f t="shared" ca="1" si="53"/>
        <v>100.15011255627104</v>
      </c>
      <c r="I142" s="55">
        <f t="shared" ca="1" si="53"/>
        <v>96.329411337820773</v>
      </c>
      <c r="J142" s="55">
        <f t="shared" ca="1" si="53"/>
        <v>92.65446889515286</v>
      </c>
      <c r="K142" s="55">
        <f t="shared" ca="1" si="53"/>
        <v>89.119724568193959</v>
      </c>
      <c r="L142" s="55">
        <f t="shared" ca="1" si="53"/>
        <v>85.71982983463252</v>
      </c>
      <c r="M142" s="55">
        <f t="shared" ca="1" si="53"/>
        <v>82.449640216917274</v>
      </c>
      <c r="N142" s="55">
        <f t="shared" ca="1" si="53"/>
        <v>79.304207498001801</v>
      </c>
      <c r="O142" s="55">
        <f t="shared" ca="1" si="53"/>
        <v>76.278772234056362</v>
      </c>
      <c r="P142" s="55">
        <f t="shared" ca="1" si="55"/>
        <v>73.368756552817871</v>
      </c>
      <c r="Q142" s="55">
        <f t="shared" ca="1" si="54"/>
        <v>70.56975722668102</v>
      </c>
    </row>
    <row r="143" spans="1:17" x14ac:dyDescent="0.15">
      <c r="A143" s="49">
        <v>2</v>
      </c>
      <c r="B143" s="55" t="str">
        <f t="shared" si="53"/>
        <v/>
      </c>
      <c r="C143" s="55" t="str">
        <f t="shared" si="53"/>
        <v/>
      </c>
      <c r="D143" s="55">
        <f t="shared" ca="1" si="53"/>
        <v>108.28823553046811</v>
      </c>
      <c r="E143" s="55">
        <f t="shared" ca="1" si="53"/>
        <v>104.15706699880397</v>
      </c>
      <c r="F143" s="55">
        <f t="shared" ca="1" si="53"/>
        <v>100.18350149163652</v>
      </c>
      <c r="G143" s="55">
        <f t="shared" ca="1" si="53"/>
        <v>96.361526493828677</v>
      </c>
      <c r="H143" s="55">
        <f t="shared" ca="1" si="53"/>
        <v>92.685358866160385</v>
      </c>
      <c r="I143" s="55">
        <f t="shared" ca="1" si="53"/>
        <v>89.149436094696</v>
      </c>
      <c r="J143" s="55">
        <f t="shared" ca="1" si="53"/>
        <v>85.748407873986011</v>
      </c>
      <c r="K143" s="55">
        <f t="shared" ca="1" si="53"/>
        <v>82.477128011367483</v>
      </c>
      <c r="L143" s="55">
        <f t="shared" ca="1" si="53"/>
        <v>79.330646640113358</v>
      </c>
      <c r="M143" s="55">
        <f t="shared" ca="1" si="53"/>
        <v>76.304202729648182</v>
      </c>
      <c r="N143" s="55">
        <f t="shared" ca="1" si="53"/>
        <v>73.393216881497096</v>
      </c>
      <c r="O143" s="55">
        <f t="shared" ca="1" si="53"/>
        <v>70.593284400067631</v>
      </c>
      <c r="P143" s="55">
        <f t="shared" ca="1" si="55"/>
        <v>67.900168627779294</v>
      </c>
      <c r="Q143" s="55">
        <f t="shared" ca="1" si="54"/>
        <v>65.309794534456415</v>
      </c>
    </row>
    <row r="144" spans="1:17" x14ac:dyDescent="0.15">
      <c r="A144" s="49">
        <v>1</v>
      </c>
      <c r="B144" s="55" t="str">
        <f t="shared" si="53"/>
        <v/>
      </c>
      <c r="C144" s="55">
        <f t="shared" ca="1" si="53"/>
        <v>104.19179180828363</v>
      </c>
      <c r="D144" s="55">
        <f t="shared" ca="1" si="53"/>
        <v>100.21690155850229</v>
      </c>
      <c r="E144" s="55">
        <f t="shared" ca="1" si="53"/>
        <v>96.393652356672959</v>
      </c>
      <c r="F144" s="55">
        <f t="shared" ca="1" si="53"/>
        <v>92.716259135541208</v>
      </c>
      <c r="G144" s="55">
        <f t="shared" ca="1" si="53"/>
        <v>89.179157526691029</v>
      </c>
      <c r="H144" s="55">
        <f t="shared" ca="1" si="53"/>
        <v>85.776995440940453</v>
      </c>
      <c r="I144" s="55">
        <f t="shared" ca="1" si="53"/>
        <v>82.50462496994308</v>
      </c>
      <c r="J144" s="55">
        <f t="shared" ca="1" si="53"/>
        <v>79.357094596741263</v>
      </c>
      <c r="K144" s="55">
        <f t="shared" ca="1" si="53"/>
        <v>76.32964170348481</v>
      </c>
      <c r="L144" s="55">
        <f t="shared" ca="1" si="53"/>
        <v>73.417685364978283</v>
      </c>
      <c r="M144" s="55">
        <f t="shared" ca="1" si="53"/>
        <v>70.616819417152584</v>
      </c>
      <c r="N144" s="55">
        <f t="shared" ca="1" si="53"/>
        <v>67.922805789972656</v>
      </c>
      <c r="O144" s="55">
        <f t="shared" ca="1" si="53"/>
        <v>65.331568094692997</v>
      </c>
      <c r="P144" s="55">
        <f t="shared" ca="1" si="55"/>
        <v>62.839185455757757</v>
      </c>
      <c r="Q144" s="55">
        <f t="shared" ca="1" si="54"/>
        <v>60.441886578012237</v>
      </c>
    </row>
    <row r="145" spans="1:17" x14ac:dyDescent="0.15">
      <c r="A145" s="49">
        <v>0</v>
      </c>
      <c r="B145" s="55">
        <f t="shared" ca="1" si="53"/>
        <v>100.25031276057942</v>
      </c>
      <c r="C145" s="55">
        <f t="shared" ca="1" si="53"/>
        <v>96.425788929923158</v>
      </c>
      <c r="D145" s="55">
        <f t="shared" ca="1" si="53"/>
        <v>92.747169706728712</v>
      </c>
      <c r="E145" s="55">
        <f t="shared" ca="1" si="53"/>
        <v>89.20888886748142</v>
      </c>
      <c r="F145" s="55">
        <f t="shared" ca="1" si="53"/>
        <v>85.805592538672272</v>
      </c>
      <c r="G145" s="55">
        <f t="shared" ca="1" si="53"/>
        <v>82.532131095699327</v>
      </c>
      <c r="H145" s="55">
        <f t="shared" ca="1" si="53"/>
        <v>79.383551370824208</v>
      </c>
      <c r="I145" s="55">
        <f t="shared" ca="1" si="53"/>
        <v>76.355089158392815</v>
      </c>
      <c r="J145" s="55">
        <f t="shared" ca="1" si="53"/>
        <v>73.442162005980123</v>
      </c>
      <c r="K145" s="55">
        <f t="shared" ca="1" si="53"/>
        <v>70.640362280550875</v>
      </c>
      <c r="L145" s="55">
        <f t="shared" ca="1" si="53"/>
        <v>67.945450499144499</v>
      </c>
      <c r="M145" s="55">
        <f t="shared" ca="1" si="53"/>
        <v>65.353348913992775</v>
      </c>
      <c r="N145" s="55">
        <f t="shared" ca="1" si="53"/>
        <v>62.860135342363463</v>
      </c>
      <c r="O145" s="55">
        <f t="shared" ca="1" si="53"/>
        <v>60.462037231793957</v>
      </c>
      <c r="P145" s="55">
        <f t="shared" ca="1" si="55"/>
        <v>58.155425951734685</v>
      </c>
      <c r="Q145" s="55">
        <f t="shared" ca="1" si="54"/>
        <v>55.936811302964898</v>
      </c>
    </row>
    <row r="147" spans="1:17" x14ac:dyDescent="0.15">
      <c r="A147" s="58" t="s">
        <v>36</v>
      </c>
      <c r="O147" s="54"/>
      <c r="P147" s="54"/>
      <c r="Q147" s="54"/>
    </row>
    <row r="148" spans="1:17" x14ac:dyDescent="0.15">
      <c r="B148" s="54">
        <v>0</v>
      </c>
      <c r="C148" s="54">
        <v>1</v>
      </c>
      <c r="D148" s="54">
        <v>2</v>
      </c>
      <c r="E148" s="54">
        <v>3</v>
      </c>
      <c r="F148" s="54">
        <v>4</v>
      </c>
      <c r="G148" s="54">
        <v>5</v>
      </c>
      <c r="H148" s="54">
        <v>6</v>
      </c>
      <c r="I148" s="54">
        <v>7</v>
      </c>
      <c r="J148" s="54">
        <v>8</v>
      </c>
      <c r="K148" s="54">
        <v>9</v>
      </c>
      <c r="L148" s="49">
        <v>10</v>
      </c>
      <c r="O148" s="54"/>
      <c r="P148" s="60"/>
      <c r="Q148" s="60"/>
    </row>
    <row r="149" spans="1:17" x14ac:dyDescent="0.15">
      <c r="A149" s="49">
        <v>15</v>
      </c>
      <c r="K149" s="59" t="str">
        <f t="shared" ref="K149:K164" si="56">IF($A149 &lt;= K$34, MAX(MAX($G$2*(K130-$G$3),0),($B$10*L148+$B$11*L149)/EXP($B$6 * $B$3/$B$5)),"")</f>
        <v/>
      </c>
      <c r="L149" s="56"/>
      <c r="M149" s="59"/>
      <c r="N149" s="59"/>
      <c r="O149" s="59"/>
      <c r="P149" s="59"/>
      <c r="Q149" s="56"/>
    </row>
    <row r="150" spans="1:17" x14ac:dyDescent="0.15">
      <c r="A150" s="49">
        <v>14</v>
      </c>
      <c r="B150" s="59" t="str">
        <f t="shared" ref="B150:O150" si="57">IF($A150 &lt;= B$34, MAX(MAX($G$2*(B131-$G$3),0),($B$10*C149+$B$11*C150)/EXP($B$6 * $B$3/$B$5)),"")</f>
        <v/>
      </c>
      <c r="C150" s="59" t="str">
        <f t="shared" si="57"/>
        <v/>
      </c>
      <c r="D150" s="59" t="str">
        <f t="shared" si="57"/>
        <v/>
      </c>
      <c r="E150" s="59" t="str">
        <f t="shared" si="57"/>
        <v/>
      </c>
      <c r="F150" s="59" t="str">
        <f t="shared" si="57"/>
        <v/>
      </c>
      <c r="G150" s="59" t="str">
        <f t="shared" si="57"/>
        <v/>
      </c>
      <c r="H150" s="59" t="str">
        <f t="shared" si="57"/>
        <v/>
      </c>
      <c r="I150" s="59" t="str">
        <f t="shared" si="57"/>
        <v/>
      </c>
      <c r="J150" s="59" t="str">
        <f t="shared" si="57"/>
        <v/>
      </c>
      <c r="K150" s="59" t="str">
        <f t="shared" si="56"/>
        <v/>
      </c>
      <c r="L150" s="56"/>
      <c r="M150" s="59"/>
      <c r="N150" s="59"/>
      <c r="O150" s="59"/>
      <c r="P150" s="59"/>
      <c r="Q150" s="56"/>
    </row>
    <row r="151" spans="1:17" x14ac:dyDescent="0.15">
      <c r="A151" s="49">
        <v>13</v>
      </c>
      <c r="B151" s="59" t="str">
        <f t="shared" ref="B151:P164" si="58">IF($A151 &lt;= B$34, MAX(MAX($G$2*(B132-$G$3),0),($B$10*C150+$B$11*C151)/EXP($B$6 * $B$3/$B$5)),"")</f>
        <v/>
      </c>
      <c r="C151" s="59" t="str">
        <f t="shared" si="58"/>
        <v/>
      </c>
      <c r="D151" s="59" t="str">
        <f t="shared" si="58"/>
        <v/>
      </c>
      <c r="E151" s="59" t="str">
        <f t="shared" si="58"/>
        <v/>
      </c>
      <c r="F151" s="59" t="str">
        <f t="shared" si="58"/>
        <v/>
      </c>
      <c r="G151" s="59" t="str">
        <f t="shared" si="58"/>
        <v/>
      </c>
      <c r="H151" s="59" t="str">
        <f t="shared" si="58"/>
        <v/>
      </c>
      <c r="I151" s="59" t="str">
        <f t="shared" si="58"/>
        <v/>
      </c>
      <c r="J151" s="59" t="str">
        <f t="shared" si="58"/>
        <v/>
      </c>
      <c r="K151" s="59" t="str">
        <f t="shared" si="56"/>
        <v/>
      </c>
      <c r="L151" s="56"/>
      <c r="M151" s="59"/>
      <c r="N151" s="59"/>
      <c r="O151" s="59"/>
      <c r="P151" s="59"/>
      <c r="Q151" s="56"/>
    </row>
    <row r="152" spans="1:17" x14ac:dyDescent="0.15">
      <c r="A152" s="49">
        <v>12</v>
      </c>
      <c r="B152" s="59" t="str">
        <f t="shared" ref="B152:O152" si="59">IF($A152 &lt;= B$34, MAX(MAX($G$2*(B133-$G$3),0),($B$10*C151+$B$11*C152)/EXP($B$6 * $B$3/$B$5)),"")</f>
        <v/>
      </c>
      <c r="C152" s="59" t="str">
        <f t="shared" si="59"/>
        <v/>
      </c>
      <c r="D152" s="59" t="str">
        <f t="shared" si="59"/>
        <v/>
      </c>
      <c r="E152" s="59" t="str">
        <f t="shared" si="59"/>
        <v/>
      </c>
      <c r="F152" s="59" t="str">
        <f t="shared" si="59"/>
        <v/>
      </c>
      <c r="G152" s="59" t="str">
        <f t="shared" si="59"/>
        <v/>
      </c>
      <c r="H152" s="59" t="str">
        <f t="shared" si="59"/>
        <v/>
      </c>
      <c r="I152" s="59" t="str">
        <f t="shared" si="59"/>
        <v/>
      </c>
      <c r="J152" s="59" t="str">
        <f t="shared" si="59"/>
        <v/>
      </c>
      <c r="K152" s="59" t="str">
        <f t="shared" si="56"/>
        <v/>
      </c>
      <c r="L152" s="56"/>
      <c r="M152" s="59"/>
      <c r="N152" s="59"/>
      <c r="O152" s="59"/>
      <c r="P152" s="59"/>
      <c r="Q152" s="56"/>
    </row>
    <row r="153" spans="1:17" x14ac:dyDescent="0.15">
      <c r="A153" s="49">
        <v>11</v>
      </c>
      <c r="B153" s="59" t="str">
        <f t="shared" ref="B153:O153" si="60">IF($A153 &lt;= B$34, MAX(MAX($G$2*(B134-$G$3),0),($B$10*C152+$B$11*C153)/EXP($B$6 * $B$3/$B$5)),"")</f>
        <v/>
      </c>
      <c r="C153" s="59" t="str">
        <f t="shared" si="60"/>
        <v/>
      </c>
      <c r="D153" s="59" t="str">
        <f t="shared" si="60"/>
        <v/>
      </c>
      <c r="E153" s="59" t="str">
        <f t="shared" si="60"/>
        <v/>
      </c>
      <c r="F153" s="59" t="str">
        <f t="shared" si="60"/>
        <v/>
      </c>
      <c r="G153" s="59" t="str">
        <f t="shared" si="60"/>
        <v/>
      </c>
      <c r="H153" s="59" t="str">
        <f t="shared" si="60"/>
        <v/>
      </c>
      <c r="I153" s="59" t="str">
        <f t="shared" si="60"/>
        <v/>
      </c>
      <c r="J153" s="59" t="str">
        <f t="shared" si="60"/>
        <v/>
      </c>
      <c r="K153" s="59" t="str">
        <f t="shared" si="56"/>
        <v/>
      </c>
      <c r="L153" s="56"/>
      <c r="M153" s="59"/>
      <c r="N153" s="59"/>
      <c r="O153" s="59"/>
      <c r="P153" s="59"/>
      <c r="Q153" s="56"/>
    </row>
    <row r="154" spans="1:17" x14ac:dyDescent="0.15">
      <c r="A154" s="49">
        <v>10</v>
      </c>
      <c r="B154" s="59" t="str">
        <f t="shared" ref="B154:O164" si="61">IF($A154 &lt;= B$34, MAX(MAX($G$2*(B135-$G$3),0),($B$10*C153+$B$11*C154)/EXP($B$6 * $B$3/$B$5)),"")</f>
        <v/>
      </c>
      <c r="C154" s="59" t="str">
        <f t="shared" si="61"/>
        <v/>
      </c>
      <c r="D154" s="59" t="str">
        <f t="shared" si="61"/>
        <v/>
      </c>
      <c r="E154" s="59" t="str">
        <f t="shared" si="61"/>
        <v/>
      </c>
      <c r="F154" s="59" t="str">
        <f t="shared" si="61"/>
        <v/>
      </c>
      <c r="G154" s="59" t="str">
        <f t="shared" si="61"/>
        <v/>
      </c>
      <c r="H154" s="59" t="str">
        <f t="shared" si="61"/>
        <v/>
      </c>
      <c r="I154" s="59" t="str">
        <f t="shared" si="61"/>
        <v/>
      </c>
      <c r="J154" s="59" t="str">
        <f t="shared" si="61"/>
        <v/>
      </c>
      <c r="K154" s="59" t="str">
        <f t="shared" si="56"/>
        <v/>
      </c>
      <c r="L154" s="56">
        <f ca="1">MAX($G$2*(L135-$G$3),0)</f>
        <v>0</v>
      </c>
      <c r="M154" s="59"/>
      <c r="N154" s="59"/>
      <c r="O154" s="59"/>
      <c r="P154" s="59"/>
      <c r="Q154" s="56"/>
    </row>
    <row r="155" spans="1:17" x14ac:dyDescent="0.15">
      <c r="A155" s="49">
        <v>9</v>
      </c>
      <c r="B155" s="59" t="str">
        <f t="shared" si="61"/>
        <v/>
      </c>
      <c r="C155" s="59" t="str">
        <f t="shared" si="61"/>
        <v/>
      </c>
      <c r="D155" s="59" t="str">
        <f t="shared" si="61"/>
        <v/>
      </c>
      <c r="E155" s="59" t="str">
        <f t="shared" si="61"/>
        <v/>
      </c>
      <c r="F155" s="59" t="str">
        <f t="shared" si="61"/>
        <v/>
      </c>
      <c r="G155" s="59" t="str">
        <f t="shared" si="61"/>
        <v/>
      </c>
      <c r="H155" s="59" t="str">
        <f t="shared" si="61"/>
        <v/>
      </c>
      <c r="I155" s="59" t="str">
        <f t="shared" si="61"/>
        <v/>
      </c>
      <c r="J155" s="59" t="str">
        <f t="shared" si="61"/>
        <v/>
      </c>
      <c r="K155" s="59">
        <f t="shared" ca="1" si="56"/>
        <v>0</v>
      </c>
      <c r="L155" s="56">
        <f t="shared" ref="L149:L164" ca="1" si="62">MAX($G$2*(L136-$G$3),0)</f>
        <v>0</v>
      </c>
      <c r="M155" s="59"/>
      <c r="N155" s="59"/>
      <c r="O155" s="59"/>
      <c r="P155" s="59"/>
      <c r="Q155" s="56"/>
    </row>
    <row r="156" spans="1:17" x14ac:dyDescent="0.15">
      <c r="A156" s="49">
        <v>8</v>
      </c>
      <c r="B156" s="59" t="str">
        <f t="shared" si="61"/>
        <v/>
      </c>
      <c r="C156" s="59" t="str">
        <f t="shared" si="61"/>
        <v/>
      </c>
      <c r="D156" s="59" t="str">
        <f t="shared" si="61"/>
        <v/>
      </c>
      <c r="E156" s="59" t="str">
        <f t="shared" si="61"/>
        <v/>
      </c>
      <c r="F156" s="59" t="str">
        <f t="shared" si="61"/>
        <v/>
      </c>
      <c r="G156" s="59" t="str">
        <f t="shared" si="61"/>
        <v/>
      </c>
      <c r="H156" s="59" t="str">
        <f t="shared" si="61"/>
        <v/>
      </c>
      <c r="I156" s="59" t="str">
        <f t="shared" si="61"/>
        <v/>
      </c>
      <c r="J156" s="59">
        <f t="shared" ca="1" si="61"/>
        <v>0</v>
      </c>
      <c r="K156" s="59">
        <f t="shared" ca="1" si="56"/>
        <v>0</v>
      </c>
      <c r="L156" s="56">
        <f t="shared" ca="1" si="62"/>
        <v>0</v>
      </c>
      <c r="M156" s="59"/>
      <c r="N156" s="59"/>
      <c r="O156" s="59"/>
      <c r="P156" s="59"/>
      <c r="Q156" s="56"/>
    </row>
    <row r="157" spans="1:17" x14ac:dyDescent="0.15">
      <c r="A157" s="49">
        <v>7</v>
      </c>
      <c r="B157" s="59" t="str">
        <f t="shared" si="61"/>
        <v/>
      </c>
      <c r="C157" s="59" t="str">
        <f t="shared" si="61"/>
        <v/>
      </c>
      <c r="D157" s="59" t="str">
        <f t="shared" si="61"/>
        <v/>
      </c>
      <c r="E157" s="59" t="str">
        <f t="shared" si="61"/>
        <v/>
      </c>
      <c r="F157" s="59" t="str">
        <f t="shared" si="61"/>
        <v/>
      </c>
      <c r="G157" s="59" t="str">
        <f t="shared" si="61"/>
        <v/>
      </c>
      <c r="H157" s="59" t="str">
        <f t="shared" si="61"/>
        <v/>
      </c>
      <c r="I157" s="59">
        <f t="shared" ca="1" si="61"/>
        <v>0</v>
      </c>
      <c r="J157" s="59">
        <f t="shared" ca="1" si="61"/>
        <v>0</v>
      </c>
      <c r="K157" s="59">
        <f t="shared" ca="1" si="56"/>
        <v>0</v>
      </c>
      <c r="L157" s="56">
        <f t="shared" ca="1" si="62"/>
        <v>0</v>
      </c>
      <c r="M157" s="59"/>
      <c r="N157" s="59"/>
      <c r="O157" s="59"/>
      <c r="P157" s="59"/>
      <c r="Q157" s="56"/>
    </row>
    <row r="158" spans="1:17" x14ac:dyDescent="0.15">
      <c r="A158" s="49">
        <v>6</v>
      </c>
      <c r="B158" s="59" t="str">
        <f t="shared" si="61"/>
        <v/>
      </c>
      <c r="C158" s="59" t="str">
        <f t="shared" si="61"/>
        <v/>
      </c>
      <c r="D158" s="59" t="str">
        <f t="shared" si="61"/>
        <v/>
      </c>
      <c r="E158" s="59" t="str">
        <f t="shared" si="61"/>
        <v/>
      </c>
      <c r="F158" s="59" t="str">
        <f t="shared" si="61"/>
        <v/>
      </c>
      <c r="G158" s="59" t="str">
        <f t="shared" si="61"/>
        <v/>
      </c>
      <c r="H158" s="59">
        <f t="shared" ca="1" si="61"/>
        <v>0.12298663353204746</v>
      </c>
      <c r="I158" s="59">
        <f t="shared" ca="1" si="61"/>
        <v>0.24240468185432687</v>
      </c>
      <c r="J158" s="59">
        <f t="shared" ca="1" si="61"/>
        <v>0.47777573950413016</v>
      </c>
      <c r="K158" s="59">
        <f t="shared" ca="1" si="56"/>
        <v>0.9416883185280106</v>
      </c>
      <c r="L158" s="56">
        <f t="shared" ca="1" si="62"/>
        <v>1.8560525701293926</v>
      </c>
      <c r="M158" s="59"/>
      <c r="N158" s="59"/>
      <c r="O158" s="59"/>
      <c r="P158" s="59"/>
      <c r="Q158" s="56"/>
    </row>
    <row r="159" spans="1:17" x14ac:dyDescent="0.15">
      <c r="A159" s="49">
        <v>5</v>
      </c>
      <c r="B159" s="59" t="str">
        <f t="shared" si="61"/>
        <v/>
      </c>
      <c r="C159" s="59" t="str">
        <f t="shared" si="61"/>
        <v/>
      </c>
      <c r="D159" s="59" t="str">
        <f t="shared" si="61"/>
        <v/>
      </c>
      <c r="E159" s="59" t="str">
        <f t="shared" si="61"/>
        <v/>
      </c>
      <c r="F159" s="59" t="str">
        <f t="shared" si="61"/>
        <v/>
      </c>
      <c r="G159" s="59">
        <f t="shared" ca="1" si="61"/>
        <v>0.63625363777908805</v>
      </c>
      <c r="H159" s="59">
        <f t="shared" ca="1" si="61"/>
        <v>1.1347084536456193</v>
      </c>
      <c r="I159" s="59">
        <f t="shared" ca="1" si="61"/>
        <v>2.0012803345863626</v>
      </c>
      <c r="J159" s="59">
        <f t="shared" ca="1" si="61"/>
        <v>3.480892701561578</v>
      </c>
      <c r="K159" s="59">
        <f t="shared" ca="1" si="56"/>
        <v>5.9470380070164737</v>
      </c>
      <c r="L159" s="56">
        <f t="shared" ca="1" si="62"/>
        <v>9.9166319347974081</v>
      </c>
      <c r="M159" s="59"/>
      <c r="N159" s="59"/>
      <c r="O159" s="59"/>
      <c r="P159" s="59"/>
      <c r="Q159" s="56"/>
    </row>
    <row r="160" spans="1:17" x14ac:dyDescent="0.15">
      <c r="A160" s="49">
        <v>4</v>
      </c>
      <c r="B160" s="59" t="str">
        <f t="shared" si="61"/>
        <v/>
      </c>
      <c r="C160" s="59" t="str">
        <f t="shared" si="61"/>
        <v/>
      </c>
      <c r="D160" s="59" t="str">
        <f t="shared" si="61"/>
        <v/>
      </c>
      <c r="E160" s="59" t="str">
        <f t="shared" si="61"/>
        <v/>
      </c>
      <c r="F160" s="59">
        <f t="shared" ca="1" si="61"/>
        <v>1.7289693100529215</v>
      </c>
      <c r="G160" s="59">
        <f t="shared" ca="1" si="61"/>
        <v>2.7903966450774629</v>
      </c>
      <c r="H160" s="59">
        <f t="shared" ca="1" si="61"/>
        <v>4.3987886930966784</v>
      </c>
      <c r="I160" s="59">
        <f t="shared" ca="1" si="61"/>
        <v>6.7280454619729033</v>
      </c>
      <c r="J160" s="59">
        <f t="shared" ca="1" si="61"/>
        <v>9.8832652513040529</v>
      </c>
      <c r="K160" s="59">
        <f t="shared" ca="1" si="56"/>
        <v>13.7026931149191</v>
      </c>
      <c r="L160" s="56">
        <f t="shared" ca="1" si="62"/>
        <v>17.376410780913588</v>
      </c>
      <c r="M160" s="59"/>
      <c r="N160" s="59"/>
      <c r="O160" s="59"/>
      <c r="P160" s="59"/>
      <c r="Q160" s="56"/>
    </row>
    <row r="161" spans="1:17" x14ac:dyDescent="0.15">
      <c r="A161" s="49">
        <v>3</v>
      </c>
      <c r="B161" s="59" t="str">
        <f t="shared" si="61"/>
        <v/>
      </c>
      <c r="C161" s="59" t="str">
        <f t="shared" si="61"/>
        <v/>
      </c>
      <c r="D161" s="59" t="str">
        <f t="shared" si="61"/>
        <v/>
      </c>
      <c r="E161" s="59">
        <f t="shared" ca="1" si="61"/>
        <v>3.4440381640500299</v>
      </c>
      <c r="F161" s="59">
        <f t="shared" ca="1" si="61"/>
        <v>5.110478244032012</v>
      </c>
      <c r="G161" s="59">
        <f t="shared" ca="1" si="61"/>
        <v>7.3650732301863817</v>
      </c>
      <c r="H161" s="59">
        <f t="shared" ca="1" si="61"/>
        <v>10.24817743236019</v>
      </c>
      <c r="I161" s="59">
        <f t="shared" ca="1" si="61"/>
        <v>13.670588662179227</v>
      </c>
      <c r="J161" s="59">
        <f t="shared" ca="1" si="61"/>
        <v>17.34553110484714</v>
      </c>
      <c r="K161" s="59">
        <f t="shared" ca="1" si="56"/>
        <v>20.880275431806041</v>
      </c>
      <c r="L161" s="56">
        <f t="shared" ca="1" si="62"/>
        <v>24.28017016536748</v>
      </c>
      <c r="M161" s="59"/>
      <c r="N161" s="59"/>
      <c r="O161" s="59"/>
      <c r="P161" s="59"/>
      <c r="Q161" s="56"/>
    </row>
    <row r="162" spans="1:17" x14ac:dyDescent="0.15">
      <c r="A162" s="49">
        <v>2</v>
      </c>
      <c r="B162" s="59" t="str">
        <f t="shared" si="61"/>
        <v/>
      </c>
      <c r="C162" s="59" t="str">
        <f t="shared" si="61"/>
        <v/>
      </c>
      <c r="D162" s="59">
        <f t="shared" ca="1" si="61"/>
        <v>5.7115824969758897</v>
      </c>
      <c r="E162" s="59">
        <f t="shared" ca="1" si="61"/>
        <v>7.9155940079881413</v>
      </c>
      <c r="F162" s="59">
        <f t="shared" ca="1" si="61"/>
        <v>10.642673415077837</v>
      </c>
      <c r="G162" s="59">
        <f t="shared" ca="1" si="61"/>
        <v>13.830008625741339</v>
      </c>
      <c r="H162" s="59">
        <f t="shared" ca="1" si="61"/>
        <v>17.314641133839615</v>
      </c>
      <c r="I162" s="59">
        <f t="shared" ca="1" si="61"/>
        <v>20.850563905304</v>
      </c>
      <c r="J162" s="59">
        <f t="shared" ca="1" si="61"/>
        <v>24.251592126013989</v>
      </c>
      <c r="K162" s="59">
        <f ca="1">IF($A162 &lt;= K$34, MAX(MAX($G$2*(K143-$G$3),0),($B$10*L161+$B$11*L162)/EXP($B$6 * $B$3/$B$5)),"")</f>
        <v>27.522871988632517</v>
      </c>
      <c r="L162" s="56">
        <f t="shared" ca="1" si="62"/>
        <v>30.669353359886642</v>
      </c>
      <c r="M162" s="59"/>
      <c r="N162" s="59"/>
      <c r="O162" s="59"/>
      <c r="P162" s="59"/>
      <c r="Q162" s="56"/>
    </row>
    <row r="163" spans="1:17" x14ac:dyDescent="0.15">
      <c r="A163" s="49">
        <v>1</v>
      </c>
      <c r="B163" s="59" t="str">
        <f t="shared" si="61"/>
        <v/>
      </c>
      <c r="C163" s="59">
        <f t="shared" ca="1" si="61"/>
        <v>8.4065487717985352</v>
      </c>
      <c r="D163" s="59">
        <f t="shared" ca="1" si="61"/>
        <v>11.027069648322406</v>
      </c>
      <c r="E163" s="59">
        <f t="shared" ca="1" si="61"/>
        <v>14.053462219969047</v>
      </c>
      <c r="F163" s="59">
        <f t="shared" ca="1" si="61"/>
        <v>17.372274451105824</v>
      </c>
      <c r="G163" s="59">
        <f t="shared" ca="1" si="61"/>
        <v>20.820842473308971</v>
      </c>
      <c r="H163" s="59">
        <f t="shared" ca="1" si="61"/>
        <v>24.223004559059547</v>
      </c>
      <c r="I163" s="59">
        <f t="shared" ca="1" si="61"/>
        <v>27.49537503005692</v>
      </c>
      <c r="J163" s="59">
        <f t="shared" ca="1" si="61"/>
        <v>30.642905403258737</v>
      </c>
      <c r="K163" s="59">
        <f t="shared" ca="1" si="56"/>
        <v>33.67035829651519</v>
      </c>
      <c r="L163" s="56">
        <f t="shared" ca="1" si="62"/>
        <v>36.582314635021717</v>
      </c>
      <c r="M163" s="59"/>
      <c r="N163" s="59"/>
      <c r="O163" s="59"/>
      <c r="P163" s="59"/>
      <c r="Q163" s="56"/>
    </row>
    <row r="164" spans="1:17" x14ac:dyDescent="0.15">
      <c r="A164" s="49">
        <v>0</v>
      </c>
      <c r="B164" s="59">
        <f t="shared" ca="1" si="61"/>
        <v>11.394004831842748</v>
      </c>
      <c r="C164" s="59">
        <f t="shared" ca="1" si="61"/>
        <v>14.300298881336198</v>
      </c>
      <c r="D164" s="59">
        <f t="shared" ca="1" si="61"/>
        <v>17.485795478966381</v>
      </c>
      <c r="E164" s="59">
        <f t="shared" ca="1" si="61"/>
        <v>20.82776752601449</v>
      </c>
      <c r="F164" s="59">
        <f t="shared" ca="1" si="61"/>
        <v>24.194407461327728</v>
      </c>
      <c r="G164" s="59">
        <f t="shared" ca="1" si="61"/>
        <v>27.467868904300673</v>
      </c>
      <c r="H164" s="59">
        <f t="shared" ca="1" si="61"/>
        <v>30.616448629175792</v>
      </c>
      <c r="I164" s="59">
        <f t="shared" ca="1" si="61"/>
        <v>33.644910841607185</v>
      </c>
      <c r="J164" s="59">
        <f t="shared" ca="1" si="61"/>
        <v>36.557837994019877</v>
      </c>
      <c r="K164" s="59">
        <f t="shared" ca="1" si="56"/>
        <v>39.359637719449125</v>
      </c>
      <c r="L164" s="56">
        <f t="shared" ca="1" si="62"/>
        <v>42.054549500855501</v>
      </c>
      <c r="M164" s="59"/>
      <c r="N164" s="59"/>
      <c r="O164" s="59"/>
      <c r="P164" s="59"/>
      <c r="Q164" s="56"/>
    </row>
    <row r="166" spans="1:17" x14ac:dyDescent="0.15">
      <c r="A166" s="53" t="s">
        <v>37</v>
      </c>
      <c r="M166" s="53"/>
    </row>
    <row r="167" spans="1:17" x14ac:dyDescent="0.15">
      <c r="B167" s="54">
        <v>0</v>
      </c>
      <c r="C167" s="54">
        <v>1</v>
      </c>
      <c r="D167" s="54">
        <v>2</v>
      </c>
      <c r="E167" s="54">
        <v>3</v>
      </c>
      <c r="F167" s="54">
        <v>4</v>
      </c>
      <c r="G167" s="54">
        <v>5</v>
      </c>
      <c r="H167" s="54">
        <v>6</v>
      </c>
      <c r="I167" s="54">
        <v>7</v>
      </c>
      <c r="J167" s="54">
        <v>8</v>
      </c>
      <c r="K167" s="54">
        <v>9</v>
      </c>
      <c r="L167" s="49">
        <v>10</v>
      </c>
    </row>
    <row r="168" spans="1:17" x14ac:dyDescent="0.15">
      <c r="A168" s="49">
        <v>15</v>
      </c>
      <c r="B168" s="67" t="str">
        <f t="shared" ref="B168:P168" si="63">IF($A168&lt;=B$91,IF(B149=B111,1,0),"")</f>
        <v/>
      </c>
      <c r="C168" s="67" t="str">
        <f t="shared" si="63"/>
        <v/>
      </c>
      <c r="D168" s="67" t="str">
        <f t="shared" si="63"/>
        <v/>
      </c>
      <c r="E168" s="67" t="str">
        <f t="shared" si="63"/>
        <v/>
      </c>
      <c r="F168" s="67" t="str">
        <f t="shared" si="63"/>
        <v/>
      </c>
      <c r="G168" s="67" t="str">
        <f t="shared" si="63"/>
        <v/>
      </c>
      <c r="H168" s="67" t="str">
        <f t="shared" si="63"/>
        <v/>
      </c>
      <c r="I168" s="67" t="str">
        <f t="shared" si="63"/>
        <v/>
      </c>
      <c r="J168" s="67" t="str">
        <f t="shared" si="63"/>
        <v/>
      </c>
      <c r="K168" s="67" t="str">
        <f t="shared" si="63"/>
        <v/>
      </c>
      <c r="L168" s="67" t="str">
        <f t="shared" si="63"/>
        <v/>
      </c>
      <c r="M168" s="67"/>
      <c r="N168" s="67"/>
      <c r="O168" s="67"/>
      <c r="P168" s="67"/>
      <c r="Q168" s="67"/>
    </row>
    <row r="169" spans="1:17" x14ac:dyDescent="0.15">
      <c r="A169" s="49">
        <v>14</v>
      </c>
      <c r="B169" s="67" t="str">
        <f t="shared" ref="B169:O169" si="64">IF($A169&lt;=B$91,IF($G$2*(B131-$G$3)=B150,1,0),"")</f>
        <v/>
      </c>
      <c r="C169" s="67" t="str">
        <f t="shared" si="64"/>
        <v/>
      </c>
      <c r="D169" s="67" t="str">
        <f t="shared" si="64"/>
        <v/>
      </c>
      <c r="E169" s="67" t="str">
        <f t="shared" si="64"/>
        <v/>
      </c>
      <c r="F169" s="67" t="str">
        <f t="shared" si="64"/>
        <v/>
      </c>
      <c r="G169" s="67" t="str">
        <f t="shared" si="64"/>
        <v/>
      </c>
      <c r="H169" s="67" t="str">
        <f t="shared" si="64"/>
        <v/>
      </c>
      <c r="I169" s="67" t="str">
        <f t="shared" si="64"/>
        <v/>
      </c>
      <c r="J169" s="67" t="str">
        <f t="shared" si="64"/>
        <v/>
      </c>
      <c r="K169" s="67" t="str">
        <f t="shared" si="64"/>
        <v/>
      </c>
      <c r="L169" s="67" t="str">
        <f t="shared" si="64"/>
        <v/>
      </c>
      <c r="M169" s="67"/>
      <c r="N169" s="67"/>
      <c r="O169" s="67"/>
      <c r="P169" s="67"/>
      <c r="Q169" s="67"/>
    </row>
    <row r="170" spans="1:17" x14ac:dyDescent="0.15">
      <c r="A170" s="49">
        <v>13</v>
      </c>
      <c r="B170" s="67" t="str">
        <f t="shared" ref="B170:P183" si="65">IF($A170&lt;=B$91,IF($G$2*(B132-$G$3)=B151,1,0),"")</f>
        <v/>
      </c>
      <c r="C170" s="67" t="str">
        <f t="shared" si="65"/>
        <v/>
      </c>
      <c r="D170" s="67" t="str">
        <f t="shared" si="65"/>
        <v/>
      </c>
      <c r="E170" s="67" t="str">
        <f t="shared" si="65"/>
        <v/>
      </c>
      <c r="F170" s="67" t="str">
        <f t="shared" si="65"/>
        <v/>
      </c>
      <c r="G170" s="67" t="str">
        <f t="shared" si="65"/>
        <v/>
      </c>
      <c r="H170" s="67" t="str">
        <f t="shared" si="65"/>
        <v/>
      </c>
      <c r="I170" s="67" t="str">
        <f t="shared" si="65"/>
        <v/>
      </c>
      <c r="J170" s="67" t="str">
        <f t="shared" si="65"/>
        <v/>
      </c>
      <c r="K170" s="67" t="str">
        <f t="shared" si="65"/>
        <v/>
      </c>
      <c r="L170" s="67" t="str">
        <f t="shared" si="65"/>
        <v/>
      </c>
      <c r="M170" s="67"/>
      <c r="N170" s="67"/>
      <c r="O170" s="67"/>
      <c r="P170" s="67"/>
      <c r="Q170" s="67"/>
    </row>
    <row r="171" spans="1:17" x14ac:dyDescent="0.15">
      <c r="A171" s="49">
        <v>12</v>
      </c>
      <c r="B171" s="67" t="str">
        <f t="shared" ref="B171:O171" si="66">IF($A171&lt;=B$91,IF($G$2*(B133-$G$3)=B152,1,0),"")</f>
        <v/>
      </c>
      <c r="C171" s="67" t="str">
        <f t="shared" si="66"/>
        <v/>
      </c>
      <c r="D171" s="67" t="str">
        <f t="shared" si="66"/>
        <v/>
      </c>
      <c r="E171" s="67" t="str">
        <f t="shared" si="66"/>
        <v/>
      </c>
      <c r="F171" s="67" t="str">
        <f t="shared" si="66"/>
        <v/>
      </c>
      <c r="G171" s="67" t="str">
        <f t="shared" si="66"/>
        <v/>
      </c>
      <c r="H171" s="67" t="str">
        <f t="shared" si="66"/>
        <v/>
      </c>
      <c r="I171" s="67" t="str">
        <f t="shared" si="66"/>
        <v/>
      </c>
      <c r="J171" s="67" t="str">
        <f t="shared" si="66"/>
        <v/>
      </c>
      <c r="K171" s="67" t="str">
        <f t="shared" si="66"/>
        <v/>
      </c>
      <c r="L171" s="67" t="str">
        <f t="shared" si="66"/>
        <v/>
      </c>
      <c r="M171" s="67"/>
      <c r="N171" s="67"/>
      <c r="O171" s="67"/>
      <c r="P171" s="67"/>
      <c r="Q171" s="67"/>
    </row>
    <row r="172" spans="1:17" x14ac:dyDescent="0.15">
      <c r="A172" s="49">
        <v>11</v>
      </c>
      <c r="B172" s="67" t="str">
        <f t="shared" ref="B172:O172" si="67">IF($A172&lt;=B$91,IF($G$2*(B134-$G$3)=B153,1,0),"")</f>
        <v/>
      </c>
      <c r="C172" s="67" t="str">
        <f t="shared" si="67"/>
        <v/>
      </c>
      <c r="D172" s="67" t="str">
        <f t="shared" si="67"/>
        <v/>
      </c>
      <c r="E172" s="67" t="str">
        <f t="shared" si="67"/>
        <v/>
      </c>
      <c r="F172" s="67" t="str">
        <f t="shared" si="67"/>
        <v/>
      </c>
      <c r="G172" s="67" t="str">
        <f t="shared" si="67"/>
        <v/>
      </c>
      <c r="H172" s="67" t="str">
        <f t="shared" si="67"/>
        <v/>
      </c>
      <c r="I172" s="67" t="str">
        <f t="shared" si="67"/>
        <v/>
      </c>
      <c r="J172" s="67" t="str">
        <f t="shared" si="67"/>
        <v/>
      </c>
      <c r="K172" s="67" t="str">
        <f t="shared" si="67"/>
        <v/>
      </c>
      <c r="L172" s="67" t="str">
        <f t="shared" si="67"/>
        <v/>
      </c>
      <c r="M172" s="67"/>
      <c r="N172" s="67"/>
      <c r="O172" s="67"/>
      <c r="P172" s="67"/>
      <c r="Q172" s="67"/>
    </row>
    <row r="173" spans="1:17" x14ac:dyDescent="0.15">
      <c r="A173" s="49">
        <v>10</v>
      </c>
      <c r="B173" s="67" t="str">
        <f t="shared" ref="B173:O173" si="68">IF($A173&lt;=B$91,IF($G$2*(B135-$G$3)=B154,1,0),"")</f>
        <v/>
      </c>
      <c r="C173" s="67" t="str">
        <f t="shared" si="68"/>
        <v/>
      </c>
      <c r="D173" s="67" t="str">
        <f t="shared" si="68"/>
        <v/>
      </c>
      <c r="E173" s="67" t="str">
        <f t="shared" si="68"/>
        <v/>
      </c>
      <c r="F173" s="67" t="str">
        <f t="shared" si="68"/>
        <v/>
      </c>
      <c r="G173" s="67" t="str">
        <f t="shared" si="68"/>
        <v/>
      </c>
      <c r="H173" s="67" t="str">
        <f t="shared" si="68"/>
        <v/>
      </c>
      <c r="I173" s="67" t="str">
        <f t="shared" si="68"/>
        <v/>
      </c>
      <c r="J173" s="67" t="str">
        <f t="shared" si="68"/>
        <v/>
      </c>
      <c r="K173" s="67" t="str">
        <f t="shared" si="68"/>
        <v/>
      </c>
      <c r="L173" s="67"/>
      <c r="M173" s="67"/>
      <c r="N173" s="67"/>
      <c r="O173" s="67"/>
      <c r="P173" s="67"/>
      <c r="Q173" s="67"/>
    </row>
    <row r="174" spans="1:17" x14ac:dyDescent="0.15">
      <c r="A174" s="49">
        <v>9</v>
      </c>
      <c r="B174" s="67" t="str">
        <f t="shared" ref="B174:O174" si="69">IF($A174&lt;=B$91,IF($G$2*(B136-$G$3)=B155,1,0),"")</f>
        <v/>
      </c>
      <c r="C174" s="67" t="str">
        <f t="shared" si="69"/>
        <v/>
      </c>
      <c r="D174" s="67" t="str">
        <f t="shared" si="69"/>
        <v/>
      </c>
      <c r="E174" s="67" t="str">
        <f t="shared" si="69"/>
        <v/>
      </c>
      <c r="F174" s="67" t="str">
        <f t="shared" si="69"/>
        <v/>
      </c>
      <c r="G174" s="67" t="str">
        <f t="shared" si="69"/>
        <v/>
      </c>
      <c r="H174" s="67" t="str">
        <f t="shared" si="69"/>
        <v/>
      </c>
      <c r="I174" s="67" t="str">
        <f t="shared" si="69"/>
        <v/>
      </c>
      <c r="J174" s="67" t="str">
        <f t="shared" si="69"/>
        <v/>
      </c>
      <c r="K174" s="67">
        <f t="shared" ca="1" si="69"/>
        <v>0</v>
      </c>
      <c r="L174" s="67"/>
      <c r="M174" s="67"/>
      <c r="N174" s="67"/>
      <c r="O174" s="67"/>
      <c r="P174" s="67"/>
      <c r="Q174" s="67"/>
    </row>
    <row r="175" spans="1:17" x14ac:dyDescent="0.15">
      <c r="A175" s="49">
        <v>8</v>
      </c>
      <c r="B175" s="67" t="str">
        <f t="shared" ref="B175:O175" si="70">IF($A175&lt;=B$91,IF($G$2*(B137-$G$3)=B156,1,0),"")</f>
        <v/>
      </c>
      <c r="C175" s="67" t="str">
        <f t="shared" si="70"/>
        <v/>
      </c>
      <c r="D175" s="67" t="str">
        <f t="shared" si="70"/>
        <v/>
      </c>
      <c r="E175" s="67" t="str">
        <f t="shared" si="70"/>
        <v/>
      </c>
      <c r="F175" s="67" t="str">
        <f t="shared" si="70"/>
        <v/>
      </c>
      <c r="G175" s="67" t="str">
        <f t="shared" si="70"/>
        <v/>
      </c>
      <c r="H175" s="67" t="str">
        <f t="shared" si="70"/>
        <v/>
      </c>
      <c r="I175" s="67" t="str">
        <f t="shared" si="70"/>
        <v/>
      </c>
      <c r="J175" s="67">
        <f t="shared" ca="1" si="70"/>
        <v>0</v>
      </c>
      <c r="K175" s="67">
        <f t="shared" ca="1" si="70"/>
        <v>0</v>
      </c>
      <c r="L175" s="67"/>
      <c r="M175" s="67"/>
      <c r="N175" s="67"/>
      <c r="O175" s="67"/>
      <c r="P175" s="67"/>
      <c r="Q175" s="67"/>
    </row>
    <row r="176" spans="1:17" x14ac:dyDescent="0.15">
      <c r="A176" s="49">
        <v>7</v>
      </c>
      <c r="B176" s="67" t="str">
        <f t="shared" ref="B176:O176" si="71">IF($A176&lt;=B$91,IF($G$2*(B138-$G$3)=B157,1,0),"")</f>
        <v/>
      </c>
      <c r="C176" s="67" t="str">
        <f t="shared" si="71"/>
        <v/>
      </c>
      <c r="D176" s="67" t="str">
        <f t="shared" si="71"/>
        <v/>
      </c>
      <c r="E176" s="67" t="str">
        <f t="shared" si="71"/>
        <v/>
      </c>
      <c r="F176" s="67" t="str">
        <f t="shared" si="71"/>
        <v/>
      </c>
      <c r="G176" s="67" t="str">
        <f t="shared" si="71"/>
        <v/>
      </c>
      <c r="H176" s="67" t="str">
        <f t="shared" si="71"/>
        <v/>
      </c>
      <c r="I176" s="67">
        <f t="shared" ca="1" si="71"/>
        <v>0</v>
      </c>
      <c r="J176" s="67">
        <f t="shared" ca="1" si="71"/>
        <v>0</v>
      </c>
      <c r="K176" s="67">
        <f t="shared" ca="1" si="71"/>
        <v>0</v>
      </c>
      <c r="L176" s="67"/>
      <c r="M176" s="67"/>
      <c r="N176" s="67"/>
      <c r="O176" s="67"/>
      <c r="P176" s="67"/>
      <c r="Q176" s="67"/>
    </row>
    <row r="177" spans="1:17" x14ac:dyDescent="0.15">
      <c r="A177" s="49">
        <v>6</v>
      </c>
      <c r="B177" s="67" t="str">
        <f t="shared" ref="B177:O177" si="72">IF($A177&lt;=B$91,IF($G$2*(B139-$G$3)=B158,1,0),"")</f>
        <v/>
      </c>
      <c r="C177" s="67" t="str">
        <f t="shared" si="72"/>
        <v/>
      </c>
      <c r="D177" s="67" t="str">
        <f t="shared" si="72"/>
        <v/>
      </c>
      <c r="E177" s="67" t="str">
        <f t="shared" si="72"/>
        <v/>
      </c>
      <c r="F177" s="67" t="str">
        <f t="shared" si="72"/>
        <v/>
      </c>
      <c r="G177" s="67" t="str">
        <f t="shared" si="72"/>
        <v/>
      </c>
      <c r="H177" s="67">
        <f t="shared" ca="1" si="72"/>
        <v>0</v>
      </c>
      <c r="I177" s="67">
        <f t="shared" ca="1" si="72"/>
        <v>0</v>
      </c>
      <c r="J177" s="67">
        <f t="shared" ca="1" si="72"/>
        <v>0</v>
      </c>
      <c r="K177" s="67">
        <f t="shared" ca="1" si="72"/>
        <v>0</v>
      </c>
      <c r="L177" s="67"/>
      <c r="M177" s="67"/>
      <c r="N177" s="67"/>
      <c r="O177" s="67"/>
      <c r="P177" s="67"/>
      <c r="Q177" s="67"/>
    </row>
    <row r="178" spans="1:17" x14ac:dyDescent="0.15">
      <c r="A178" s="49">
        <v>5</v>
      </c>
      <c r="B178" s="67" t="str">
        <f t="shared" ref="B178:O178" si="73">IF($A178&lt;=B$91,IF($G$2*(B140-$G$3)=B159,1,0),"")</f>
        <v/>
      </c>
      <c r="C178" s="67" t="str">
        <f t="shared" si="73"/>
        <v/>
      </c>
      <c r="D178" s="67" t="str">
        <f t="shared" si="73"/>
        <v/>
      </c>
      <c r="E178" s="67" t="str">
        <f t="shared" si="73"/>
        <v/>
      </c>
      <c r="F178" s="67" t="str">
        <f t="shared" si="73"/>
        <v/>
      </c>
      <c r="G178" s="67">
        <f t="shared" ca="1" si="73"/>
        <v>0</v>
      </c>
      <c r="H178" s="67">
        <f t="shared" ca="1" si="73"/>
        <v>0</v>
      </c>
      <c r="I178" s="67">
        <f t="shared" ca="1" si="73"/>
        <v>0</v>
      </c>
      <c r="J178" s="67">
        <f t="shared" ca="1" si="73"/>
        <v>0</v>
      </c>
      <c r="K178" s="67">
        <f t="shared" ca="1" si="73"/>
        <v>1</v>
      </c>
      <c r="L178" s="67"/>
      <c r="M178" s="67"/>
      <c r="N178" s="67"/>
      <c r="O178" s="67"/>
      <c r="P178" s="67"/>
      <c r="Q178" s="67"/>
    </row>
    <row r="179" spans="1:17" x14ac:dyDescent="0.15">
      <c r="A179" s="49">
        <v>4</v>
      </c>
      <c r="B179" s="67" t="str">
        <f t="shared" ref="B179:O179" si="74">IF($A179&lt;=B$91,IF($G$2*(B141-$G$3)=B160,1,0),"")</f>
        <v/>
      </c>
      <c r="C179" s="67" t="str">
        <f t="shared" si="74"/>
        <v/>
      </c>
      <c r="D179" s="67" t="str">
        <f t="shared" si="74"/>
        <v/>
      </c>
      <c r="E179" s="67" t="str">
        <f t="shared" si="74"/>
        <v/>
      </c>
      <c r="F179" s="67">
        <f t="shared" ca="1" si="74"/>
        <v>0</v>
      </c>
      <c r="G179" s="67">
        <f t="shared" ca="1" si="74"/>
        <v>0</v>
      </c>
      <c r="H179" s="67">
        <f t="shared" ca="1" si="74"/>
        <v>0</v>
      </c>
      <c r="I179" s="67">
        <f t="shared" ca="1" si="74"/>
        <v>0</v>
      </c>
      <c r="J179" s="67">
        <f t="shared" ca="1" si="74"/>
        <v>1</v>
      </c>
      <c r="K179" s="67">
        <f t="shared" ca="1" si="74"/>
        <v>1</v>
      </c>
      <c r="L179" s="67"/>
      <c r="M179" s="67"/>
      <c r="N179" s="67"/>
      <c r="O179" s="67"/>
      <c r="P179" s="67"/>
      <c r="Q179" s="67"/>
    </row>
    <row r="180" spans="1:17" x14ac:dyDescent="0.15">
      <c r="A180" s="49">
        <v>3</v>
      </c>
      <c r="B180" s="67" t="str">
        <f t="shared" ref="B180:O180" si="75">IF($A180&lt;=B$91,IF($G$2*(B142-$G$3)=B161,1,0),"")</f>
        <v/>
      </c>
      <c r="C180" s="67" t="str">
        <f t="shared" si="75"/>
        <v/>
      </c>
      <c r="D180" s="67" t="str">
        <f t="shared" si="75"/>
        <v/>
      </c>
      <c r="E180" s="67">
        <f t="shared" ca="1" si="75"/>
        <v>0</v>
      </c>
      <c r="F180" s="67">
        <f t="shared" ca="1" si="75"/>
        <v>0</v>
      </c>
      <c r="G180" s="67">
        <f t="shared" ca="1" si="75"/>
        <v>0</v>
      </c>
      <c r="H180" s="67">
        <f t="shared" ca="1" si="75"/>
        <v>0</v>
      </c>
      <c r="I180" s="67">
        <f t="shared" ca="1" si="75"/>
        <v>1</v>
      </c>
      <c r="J180" s="67">
        <f t="shared" ca="1" si="75"/>
        <v>1</v>
      </c>
      <c r="K180" s="67">
        <f t="shared" ca="1" si="75"/>
        <v>1</v>
      </c>
      <c r="L180" s="67"/>
      <c r="M180" s="67"/>
      <c r="N180" s="67"/>
      <c r="O180" s="67"/>
      <c r="P180" s="67"/>
      <c r="Q180" s="67"/>
    </row>
    <row r="181" spans="1:17" x14ac:dyDescent="0.15">
      <c r="A181" s="49">
        <v>2</v>
      </c>
      <c r="B181" s="67" t="str">
        <f t="shared" ref="B181:O181" si="76">IF($A181&lt;=B$91,IF($G$2*(B143-$G$3)=B162,1,0),"")</f>
        <v/>
      </c>
      <c r="C181" s="67" t="str">
        <f t="shared" si="76"/>
        <v/>
      </c>
      <c r="D181" s="67">
        <f t="shared" ca="1" si="76"/>
        <v>0</v>
      </c>
      <c r="E181" s="67">
        <f t="shared" ca="1" si="76"/>
        <v>0</v>
      </c>
      <c r="F181" s="67">
        <f t="shared" ca="1" si="76"/>
        <v>0</v>
      </c>
      <c r="G181" s="67">
        <f t="shared" ca="1" si="76"/>
        <v>0</v>
      </c>
      <c r="H181" s="67">
        <f t="shared" ca="1" si="76"/>
        <v>1</v>
      </c>
      <c r="I181" s="67">
        <f ca="1">IF($A181&lt;=I$91,IF($G$2*(I143-$G$3)=I162,1,0),"")</f>
        <v>1</v>
      </c>
      <c r="J181" s="67">
        <f t="shared" ca="1" si="76"/>
        <v>1</v>
      </c>
      <c r="K181" s="67">
        <f t="shared" ca="1" si="76"/>
        <v>1</v>
      </c>
      <c r="L181" s="67"/>
      <c r="M181" s="67"/>
      <c r="N181" s="67"/>
      <c r="O181" s="67"/>
      <c r="P181" s="67"/>
      <c r="Q181" s="67"/>
    </row>
    <row r="182" spans="1:17" x14ac:dyDescent="0.15">
      <c r="A182" s="49">
        <v>1</v>
      </c>
      <c r="B182" s="67" t="str">
        <f t="shared" ref="B182:O182" si="77">IF($A182&lt;=B$91,IF($G$2*(B144-$G$3)=B163,1,0),"")</f>
        <v/>
      </c>
      <c r="C182" s="67">
        <f t="shared" ca="1" si="77"/>
        <v>0</v>
      </c>
      <c r="D182" s="67">
        <f t="shared" ca="1" si="77"/>
        <v>0</v>
      </c>
      <c r="E182" s="67">
        <f t="shared" ca="1" si="77"/>
        <v>0</v>
      </c>
      <c r="F182" s="67">
        <f t="shared" ca="1" si="77"/>
        <v>0</v>
      </c>
      <c r="G182" s="67">
        <f t="shared" ca="1" si="77"/>
        <v>1</v>
      </c>
      <c r="H182" s="67">
        <f t="shared" ca="1" si="77"/>
        <v>1</v>
      </c>
      <c r="I182" s="67">
        <f t="shared" ca="1" si="77"/>
        <v>1</v>
      </c>
      <c r="J182" s="67">
        <f t="shared" ca="1" si="77"/>
        <v>1</v>
      </c>
      <c r="K182" s="67">
        <f t="shared" ca="1" si="77"/>
        <v>1</v>
      </c>
      <c r="L182" s="67"/>
      <c r="M182" s="67"/>
      <c r="N182" s="67"/>
      <c r="O182" s="67"/>
      <c r="P182" s="67"/>
      <c r="Q182" s="67"/>
    </row>
    <row r="183" spans="1:17" x14ac:dyDescent="0.15">
      <c r="A183" s="49">
        <v>0</v>
      </c>
      <c r="B183" s="67">
        <f t="shared" ref="B183:O183" ca="1" si="78">IF($A183&lt;=B$91,IF($G$2*(B145-$G$3)=B164,1,0),"")</f>
        <v>0</v>
      </c>
      <c r="C183" s="67">
        <f t="shared" ca="1" si="78"/>
        <v>0</v>
      </c>
      <c r="D183" s="67">
        <f t="shared" ca="1" si="78"/>
        <v>0</v>
      </c>
      <c r="E183" s="67">
        <f t="shared" ca="1" si="78"/>
        <v>0</v>
      </c>
      <c r="F183" s="67">
        <f ca="1">IF($A183&lt;=F$91,IF($G$2*(F145-$G$3)=F164,1,0),"")</f>
        <v>1</v>
      </c>
      <c r="G183" s="67">
        <f t="shared" ca="1" si="78"/>
        <v>1</v>
      </c>
      <c r="H183" s="67">
        <f t="shared" ca="1" si="78"/>
        <v>1</v>
      </c>
      <c r="I183" s="67">
        <f t="shared" ca="1" si="78"/>
        <v>1</v>
      </c>
      <c r="J183" s="67">
        <f t="shared" ca="1" si="78"/>
        <v>1</v>
      </c>
      <c r="K183" s="67">
        <f t="shared" ca="1" si="78"/>
        <v>1</v>
      </c>
      <c r="L183" s="67"/>
      <c r="M183" s="67"/>
      <c r="N183" s="67"/>
      <c r="O183" s="67"/>
      <c r="P183" s="67"/>
      <c r="Q183" s="67"/>
    </row>
    <row r="185" spans="1:17" x14ac:dyDescent="0.15">
      <c r="A185" s="53" t="s">
        <v>33</v>
      </c>
      <c r="M185" s="53"/>
    </row>
    <row r="186" spans="1:17" x14ac:dyDescent="0.15">
      <c r="B186" s="54">
        <v>0</v>
      </c>
      <c r="C186" s="54">
        <v>1</v>
      </c>
      <c r="D186" s="54">
        <v>2</v>
      </c>
      <c r="E186" s="54">
        <v>3</v>
      </c>
      <c r="F186" s="54">
        <v>4</v>
      </c>
      <c r="G186" s="54">
        <v>5</v>
      </c>
      <c r="H186" s="54">
        <v>6</v>
      </c>
      <c r="I186" s="54">
        <v>7</v>
      </c>
      <c r="J186" s="54">
        <v>8</v>
      </c>
      <c r="K186" s="54">
        <v>9</v>
      </c>
      <c r="L186" s="49">
        <v>10</v>
      </c>
      <c r="M186" s="49">
        <v>11</v>
      </c>
      <c r="N186" s="49">
        <v>12</v>
      </c>
      <c r="O186" s="49">
        <v>13</v>
      </c>
      <c r="P186" s="49">
        <v>14</v>
      </c>
      <c r="Q186" s="49">
        <v>15</v>
      </c>
    </row>
    <row r="187" spans="1:17" x14ac:dyDescent="0.15">
      <c r="A187" s="49">
        <v>15</v>
      </c>
      <c r="M187" s="55" t="str">
        <f t="shared" ref="M187:Q202" ca="1" si="79">IF($A187&lt;M$15,$B$9*OFFSET(M187,0,-1),IF($A187=M$15,$B$8*OFFSET(M187,1,-1),""))</f>
        <v/>
      </c>
      <c r="N187" s="55" t="str">
        <f t="shared" ca="1" si="79"/>
        <v/>
      </c>
      <c r="O187" s="55" t="str">
        <f t="shared" ca="1" si="79"/>
        <v/>
      </c>
      <c r="P187" s="55" t="str">
        <f t="shared" ca="1" si="79"/>
        <v/>
      </c>
      <c r="Q187" s="55">
        <f t="shared" ca="1" si="79"/>
        <v>178.77315075823685</v>
      </c>
    </row>
    <row r="188" spans="1:17" x14ac:dyDescent="0.15">
      <c r="A188" s="49">
        <v>14</v>
      </c>
      <c r="M188" s="55" t="str">
        <f t="shared" ca="1" si="79"/>
        <v/>
      </c>
      <c r="N188" s="55" t="str">
        <f t="shared" ca="1" si="79"/>
        <v/>
      </c>
      <c r="O188" s="55" t="str">
        <f t="shared" ca="1" si="79"/>
        <v/>
      </c>
      <c r="P188" s="55">
        <f t="shared" ca="1" si="79"/>
        <v>171.98166193235366</v>
      </c>
      <c r="Q188" s="55">
        <f t="shared" ca="1" si="79"/>
        <v>165.44817784754298</v>
      </c>
    </row>
    <row r="189" spans="1:17" x14ac:dyDescent="0.15">
      <c r="A189" s="49">
        <v>13</v>
      </c>
      <c r="M189" s="55" t="str">
        <f t="shared" ca="1" si="79"/>
        <v/>
      </c>
      <c r="N189" s="55" t="str">
        <f t="shared" ca="1" si="79"/>
        <v/>
      </c>
      <c r="O189" s="55">
        <f t="shared" ca="1" si="79"/>
        <v>165.44817784754298</v>
      </c>
      <c r="P189" s="55">
        <f t="shared" ca="1" si="79"/>
        <v>159.16289705258808</v>
      </c>
      <c r="Q189" s="55">
        <f t="shared" ca="1" si="79"/>
        <v>153.11639044774745</v>
      </c>
    </row>
    <row r="190" spans="1:17" x14ac:dyDescent="0.15">
      <c r="A190" s="49">
        <v>12</v>
      </c>
      <c r="M190" s="55" t="str">
        <f t="shared" ca="1" si="79"/>
        <v/>
      </c>
      <c r="N190" s="55">
        <f t="shared" ca="1" si="79"/>
        <v>159.16289705258808</v>
      </c>
      <c r="O190" s="55">
        <f t="shared" ca="1" si="79"/>
        <v>153.11639044774745</v>
      </c>
      <c r="P190" s="55">
        <f t="shared" ca="1" si="79"/>
        <v>147.29958713933715</v>
      </c>
      <c r="Q190" s="55">
        <f t="shared" ca="1" si="79"/>
        <v>141.70376083168941</v>
      </c>
    </row>
    <row r="191" spans="1:17" x14ac:dyDescent="0.15">
      <c r="A191" s="49">
        <v>11</v>
      </c>
      <c r="M191" s="55">
        <f t="shared" ca="1" si="79"/>
        <v>153.11639044774745</v>
      </c>
      <c r="N191" s="55">
        <f t="shared" ca="1" si="79"/>
        <v>147.29958713933715</v>
      </c>
      <c r="O191" s="55">
        <f t="shared" ca="1" si="79"/>
        <v>141.70376083168941</v>
      </c>
      <c r="P191" s="55">
        <f t="shared" ca="1" si="79"/>
        <v>136.32051673607288</v>
      </c>
      <c r="Q191" s="55">
        <f t="shared" ca="1" si="79"/>
        <v>131.14177897693537</v>
      </c>
    </row>
    <row r="192" spans="1:17" x14ac:dyDescent="0.15">
      <c r="A192" s="49">
        <v>10</v>
      </c>
      <c r="B192" s="54"/>
      <c r="C192" s="55" t="str">
        <f t="shared" ref="C192:L202" ca="1" si="80">IF($A192&lt;C$15,$B$9*OFFSET(C192,0,-1),IF($A192=C$15,$B$8*OFFSET(C192,1,-1),""))</f>
        <v/>
      </c>
      <c r="D192" s="55" t="str">
        <f t="shared" ca="1" si="80"/>
        <v/>
      </c>
      <c r="E192" s="55" t="str">
        <f t="shared" ca="1" si="80"/>
        <v/>
      </c>
      <c r="F192" s="55" t="str">
        <f t="shared" ca="1" si="80"/>
        <v/>
      </c>
      <c r="G192" s="55" t="str">
        <f t="shared" ca="1" si="80"/>
        <v/>
      </c>
      <c r="H192" s="55" t="str">
        <f t="shared" ca="1" si="80"/>
        <v/>
      </c>
      <c r="I192" s="55" t="str">
        <f t="shared" ca="1" si="80"/>
        <v/>
      </c>
      <c r="J192" s="55" t="str">
        <f t="shared" ca="1" si="80"/>
        <v/>
      </c>
      <c r="K192" s="55" t="str">
        <f t="shared" ca="1" si="80"/>
        <v/>
      </c>
      <c r="L192" s="55">
        <f t="shared" ca="1" si="80"/>
        <v>147.29958713933715</v>
      </c>
      <c r="M192" s="55">
        <f t="shared" ca="1" si="79"/>
        <v>141.70376083168941</v>
      </c>
      <c r="N192" s="55">
        <f t="shared" ca="1" si="79"/>
        <v>136.32051673607288</v>
      </c>
      <c r="O192" s="55">
        <f t="shared" ca="1" si="79"/>
        <v>131.14177897693537</v>
      </c>
      <c r="P192" s="55">
        <f t="shared" ca="1" si="79"/>
        <v>126.15977847657631</v>
      </c>
      <c r="Q192" s="55">
        <f t="shared" ca="1" si="79"/>
        <v>121.36704130007335</v>
      </c>
    </row>
    <row r="193" spans="1:17" x14ac:dyDescent="0.15">
      <c r="A193" s="49">
        <v>9</v>
      </c>
      <c r="B193" s="54"/>
      <c r="C193" s="55" t="str">
        <f t="shared" ca="1" si="80"/>
        <v/>
      </c>
      <c r="D193" s="55" t="str">
        <f t="shared" ca="1" si="80"/>
        <v/>
      </c>
      <c r="E193" s="55" t="str">
        <f t="shared" ca="1" si="80"/>
        <v/>
      </c>
      <c r="F193" s="55" t="str">
        <f t="shared" ca="1" si="80"/>
        <v/>
      </c>
      <c r="G193" s="55" t="str">
        <f t="shared" ca="1" si="80"/>
        <v/>
      </c>
      <c r="H193" s="55" t="str">
        <f t="shared" ca="1" si="80"/>
        <v/>
      </c>
      <c r="I193" s="55" t="str">
        <f t="shared" ca="1" si="80"/>
        <v/>
      </c>
      <c r="J193" s="55" t="str">
        <f t="shared" ca="1" si="80"/>
        <v/>
      </c>
      <c r="K193" s="55">
        <f t="shared" ca="1" si="80"/>
        <v>141.70376083168941</v>
      </c>
      <c r="L193" s="55">
        <f t="shared" ca="1" si="80"/>
        <v>136.32051673607288</v>
      </c>
      <c r="M193" s="55">
        <f t="shared" ca="1" si="79"/>
        <v>131.14177897693537</v>
      </c>
      <c r="N193" s="55">
        <f t="shared" ca="1" si="79"/>
        <v>126.15977847657631</v>
      </c>
      <c r="O193" s="55">
        <f t="shared" ca="1" si="79"/>
        <v>121.36704130007335</v>
      </c>
      <c r="P193" s="55">
        <f t="shared" ca="1" si="79"/>
        <v>116.7563774429786</v>
      </c>
      <c r="Q193" s="55">
        <f t="shared" ca="1" si="79"/>
        <v>112.32087004496371</v>
      </c>
    </row>
    <row r="194" spans="1:17" x14ac:dyDescent="0.15">
      <c r="A194" s="49">
        <v>8</v>
      </c>
      <c r="B194" s="54"/>
      <c r="C194" s="55" t="str">
        <f t="shared" ca="1" si="80"/>
        <v/>
      </c>
      <c r="D194" s="55" t="str">
        <f t="shared" ca="1" si="80"/>
        <v/>
      </c>
      <c r="E194" s="55" t="str">
        <f t="shared" ca="1" si="80"/>
        <v/>
      </c>
      <c r="F194" s="55" t="str">
        <f t="shared" ca="1" si="80"/>
        <v/>
      </c>
      <c r="G194" s="55" t="str">
        <f t="shared" ca="1" si="80"/>
        <v/>
      </c>
      <c r="H194" s="55" t="str">
        <f t="shared" ca="1" si="80"/>
        <v/>
      </c>
      <c r="I194" s="55" t="str">
        <f t="shared" ca="1" si="80"/>
        <v/>
      </c>
      <c r="J194" s="55">
        <f t="shared" ca="1" si="80"/>
        <v>136.32051673607288</v>
      </c>
      <c r="K194" s="55">
        <f t="shared" ca="1" si="80"/>
        <v>131.14177897693537</v>
      </c>
      <c r="L194" s="55">
        <f t="shared" ca="1" si="80"/>
        <v>126.15977847657631</v>
      </c>
      <c r="M194" s="55">
        <f t="shared" ca="1" si="79"/>
        <v>121.36704130007335</v>
      </c>
      <c r="N194" s="55">
        <f t="shared" ca="1" si="79"/>
        <v>116.7563774429786</v>
      </c>
      <c r="O194" s="55">
        <f t="shared" ca="1" si="79"/>
        <v>112.32087004496371</v>
      </c>
      <c r="P194" s="55">
        <f t="shared" ca="1" si="79"/>
        <v>108.05386501323244</v>
      </c>
      <c r="Q194" s="55">
        <f t="shared" ca="1" si="79"/>
        <v>103.94896104013374</v>
      </c>
    </row>
    <row r="195" spans="1:17" x14ac:dyDescent="0.15">
      <c r="A195" s="49">
        <v>7</v>
      </c>
      <c r="B195" s="54"/>
      <c r="C195" s="55" t="str">
        <f t="shared" ca="1" si="80"/>
        <v/>
      </c>
      <c r="D195" s="55" t="str">
        <f t="shared" ca="1" si="80"/>
        <v/>
      </c>
      <c r="E195" s="55" t="str">
        <f t="shared" ca="1" si="80"/>
        <v/>
      </c>
      <c r="F195" s="55" t="str">
        <f t="shared" ca="1" si="80"/>
        <v/>
      </c>
      <c r="G195" s="55" t="str">
        <f t="shared" ca="1" si="80"/>
        <v/>
      </c>
      <c r="H195" s="55" t="str">
        <f t="shared" ca="1" si="80"/>
        <v/>
      </c>
      <c r="I195" s="55">
        <f t="shared" ca="1" si="80"/>
        <v>131.14177897693537</v>
      </c>
      <c r="J195" s="55">
        <f t="shared" ca="1" si="80"/>
        <v>126.15977847657631</v>
      </c>
      <c r="K195" s="55">
        <f t="shared" ca="1" si="80"/>
        <v>121.36704130007335</v>
      </c>
      <c r="L195" s="55">
        <f t="shared" ca="1" si="80"/>
        <v>116.7563774429786</v>
      </c>
      <c r="M195" s="55">
        <f t="shared" ca="1" si="79"/>
        <v>112.32087004496371</v>
      </c>
      <c r="N195" s="55">
        <f t="shared" ca="1" si="79"/>
        <v>108.05386501323244</v>
      </c>
      <c r="O195" s="55">
        <f t="shared" ca="1" si="79"/>
        <v>103.94896104013374</v>
      </c>
      <c r="P195" s="55">
        <f t="shared" ca="1" si="79"/>
        <v>99.999999999999972</v>
      </c>
      <c r="Q195" s="55">
        <f t="shared" ca="1" si="79"/>
        <v>96.201057710803738</v>
      </c>
    </row>
    <row r="196" spans="1:17" x14ac:dyDescent="0.15">
      <c r="A196" s="49">
        <v>6</v>
      </c>
      <c r="B196" s="54"/>
      <c r="C196" s="55" t="str">
        <f t="shared" ca="1" si="80"/>
        <v/>
      </c>
      <c r="D196" s="55" t="str">
        <f t="shared" ca="1" si="80"/>
        <v/>
      </c>
      <c r="E196" s="55" t="str">
        <f t="shared" ca="1" si="80"/>
        <v/>
      </c>
      <c r="F196" s="55" t="str">
        <f t="shared" ca="1" si="80"/>
        <v/>
      </c>
      <c r="G196" s="55" t="str">
        <f t="shared" ca="1" si="80"/>
        <v/>
      </c>
      <c r="H196" s="55">
        <f t="shared" ca="1" si="80"/>
        <v>126.15977847657631</v>
      </c>
      <c r="I196" s="55">
        <f t="shared" ca="1" si="80"/>
        <v>121.36704130007335</v>
      </c>
      <c r="J196" s="55">
        <f t="shared" ca="1" si="80"/>
        <v>116.7563774429786</v>
      </c>
      <c r="K196" s="55">
        <f t="shared" ca="1" si="80"/>
        <v>112.32087004496371</v>
      </c>
      <c r="L196" s="55">
        <f t="shared" ca="1" si="80"/>
        <v>108.05386501323244</v>
      </c>
      <c r="M196" s="55">
        <f t="shared" ca="1" si="79"/>
        <v>103.94896104013374</v>
      </c>
      <c r="N196" s="55">
        <f t="shared" ca="1" si="79"/>
        <v>99.999999999999972</v>
      </c>
      <c r="O196" s="55">
        <f t="shared" ca="1" si="79"/>
        <v>96.201057710803738</v>
      </c>
      <c r="P196" s="55">
        <f t="shared" ca="1" si="79"/>
        <v>92.546435046773937</v>
      </c>
      <c r="Q196" s="55">
        <f t="shared" ca="1" si="79"/>
        <v>89.030649388638508</v>
      </c>
    </row>
    <row r="197" spans="1:17" x14ac:dyDescent="0.15">
      <c r="A197" s="49">
        <v>5</v>
      </c>
      <c r="C197" s="55" t="str">
        <f t="shared" ca="1" si="80"/>
        <v/>
      </c>
      <c r="D197" s="55" t="str">
        <f t="shared" ca="1" si="80"/>
        <v/>
      </c>
      <c r="E197" s="55" t="str">
        <f t="shared" ca="1" si="80"/>
        <v/>
      </c>
      <c r="F197" s="55" t="str">
        <f t="shared" ca="1" si="80"/>
        <v/>
      </c>
      <c r="G197" s="55">
        <f t="shared" ca="1" si="80"/>
        <v>121.36704130007337</v>
      </c>
      <c r="H197" s="55">
        <f t="shared" ca="1" si="80"/>
        <v>116.75637744297862</v>
      </c>
      <c r="I197" s="55">
        <f t="shared" ca="1" si="80"/>
        <v>112.32087004496373</v>
      </c>
      <c r="J197" s="55">
        <f t="shared" ca="1" si="80"/>
        <v>108.05386501323245</v>
      </c>
      <c r="K197" s="55">
        <f t="shared" ca="1" si="80"/>
        <v>103.94896104013375</v>
      </c>
      <c r="L197" s="55">
        <f t="shared" ca="1" si="80"/>
        <v>99.999999999999986</v>
      </c>
      <c r="M197" s="55">
        <f t="shared" ca="1" si="79"/>
        <v>96.201057710803752</v>
      </c>
      <c r="N197" s="55">
        <f t="shared" ca="1" si="79"/>
        <v>92.546435046773951</v>
      </c>
      <c r="O197" s="55">
        <f t="shared" ca="1" si="79"/>
        <v>89.030649388638523</v>
      </c>
      <c r="P197" s="55">
        <f t="shared" ca="1" si="79"/>
        <v>85.648426398667496</v>
      </c>
      <c r="Q197" s="55">
        <f t="shared" ca="1" si="79"/>
        <v>82.394692108177395</v>
      </c>
    </row>
    <row r="198" spans="1:17" x14ac:dyDescent="0.15">
      <c r="A198" s="49">
        <v>4</v>
      </c>
      <c r="C198" s="55" t="str">
        <f t="shared" ca="1" si="80"/>
        <v/>
      </c>
      <c r="D198" s="55" t="str">
        <f t="shared" ca="1" si="80"/>
        <v/>
      </c>
      <c r="E198" s="55" t="str">
        <f t="shared" ca="1" si="80"/>
        <v/>
      </c>
      <c r="F198" s="55">
        <f t="shared" ca="1" si="80"/>
        <v>116.75637744297862</v>
      </c>
      <c r="G198" s="55">
        <f t="shared" ca="1" si="80"/>
        <v>112.32087004496373</v>
      </c>
      <c r="H198" s="55">
        <f t="shared" ca="1" si="80"/>
        <v>108.05386501323245</v>
      </c>
      <c r="I198" s="55">
        <f t="shared" ca="1" si="80"/>
        <v>103.94896104013375</v>
      </c>
      <c r="J198" s="55">
        <f t="shared" ca="1" si="80"/>
        <v>99.999999999999986</v>
      </c>
      <c r="K198" s="55">
        <f t="shared" ca="1" si="80"/>
        <v>96.201057710803752</v>
      </c>
      <c r="L198" s="55">
        <f t="shared" ca="1" si="80"/>
        <v>92.546435046773951</v>
      </c>
      <c r="M198" s="55">
        <f t="shared" ca="1" si="79"/>
        <v>89.030649388638523</v>
      </c>
      <c r="N198" s="55">
        <f t="shared" ca="1" si="79"/>
        <v>85.648426398667496</v>
      </c>
      <c r="O198" s="55">
        <f t="shared" ca="1" si="79"/>
        <v>82.394692108177395</v>
      </c>
      <c r="P198" s="55">
        <f t="shared" ca="1" si="79"/>
        <v>79.264565305626803</v>
      </c>
      <c r="Q198" s="55">
        <f t="shared" ca="1" si="79"/>
        <v>76.253350213883778</v>
      </c>
    </row>
    <row r="199" spans="1:17" x14ac:dyDescent="0.15">
      <c r="A199" s="49">
        <v>3</v>
      </c>
      <c r="C199" s="55" t="str">
        <f t="shared" ca="1" si="80"/>
        <v/>
      </c>
      <c r="D199" s="55" t="str">
        <f t="shared" ca="1" si="80"/>
        <v/>
      </c>
      <c r="E199" s="55">
        <f t="shared" ca="1" si="80"/>
        <v>112.32087004496373</v>
      </c>
      <c r="F199" s="55">
        <f t="shared" ca="1" si="80"/>
        <v>108.05386501323245</v>
      </c>
      <c r="G199" s="55">
        <f t="shared" ca="1" si="80"/>
        <v>103.94896104013375</v>
      </c>
      <c r="H199" s="55">
        <f t="shared" ca="1" si="80"/>
        <v>99.999999999999986</v>
      </c>
      <c r="I199" s="55">
        <f t="shared" ca="1" si="80"/>
        <v>96.201057710803752</v>
      </c>
      <c r="J199" s="55">
        <f t="shared" ca="1" si="80"/>
        <v>92.546435046773951</v>
      </c>
      <c r="K199" s="55">
        <f t="shared" ca="1" si="80"/>
        <v>89.030649388638523</v>
      </c>
      <c r="L199" s="55">
        <f t="shared" ca="1" si="80"/>
        <v>85.648426398667496</v>
      </c>
      <c r="M199" s="55">
        <f t="shared" ca="1" si="79"/>
        <v>82.394692108177395</v>
      </c>
      <c r="N199" s="55">
        <f t="shared" ca="1" si="79"/>
        <v>79.264565305626803</v>
      </c>
      <c r="O199" s="55">
        <f t="shared" ca="1" si="79"/>
        <v>76.253350213883778</v>
      </c>
      <c r="P199" s="55">
        <f t="shared" ca="1" si="79"/>
        <v>73.356529445679641</v>
      </c>
      <c r="Q199" s="55">
        <f t="shared" ca="1" si="79"/>
        <v>70.56975722668102</v>
      </c>
    </row>
    <row r="200" spans="1:17" x14ac:dyDescent="0.15">
      <c r="A200" s="49">
        <v>2</v>
      </c>
      <c r="C200" s="55" t="str">
        <f t="shared" ca="1" si="80"/>
        <v/>
      </c>
      <c r="D200" s="55">
        <f t="shared" ca="1" si="80"/>
        <v>108.05386501323245</v>
      </c>
      <c r="E200" s="55">
        <f t="shared" ca="1" si="80"/>
        <v>103.94896104013375</v>
      </c>
      <c r="F200" s="55">
        <f t="shared" ca="1" si="80"/>
        <v>99.999999999999986</v>
      </c>
      <c r="G200" s="55">
        <f t="shared" ca="1" si="80"/>
        <v>96.201057710803752</v>
      </c>
      <c r="H200" s="55">
        <f t="shared" ca="1" si="80"/>
        <v>92.546435046773951</v>
      </c>
      <c r="I200" s="55">
        <f t="shared" ca="1" si="80"/>
        <v>89.030649388638523</v>
      </c>
      <c r="J200" s="55">
        <f t="shared" ca="1" si="80"/>
        <v>85.648426398667496</v>
      </c>
      <c r="K200" s="55">
        <f t="shared" ca="1" si="80"/>
        <v>82.394692108177395</v>
      </c>
      <c r="L200" s="55">
        <f t="shared" ca="1" si="80"/>
        <v>79.264565305626803</v>
      </c>
      <c r="M200" s="55">
        <f t="shared" ca="1" si="79"/>
        <v>76.253350213883778</v>
      </c>
      <c r="N200" s="55">
        <f t="shared" ca="1" si="79"/>
        <v>73.356529445679641</v>
      </c>
      <c r="O200" s="55">
        <f t="shared" ca="1" si="79"/>
        <v>70.56975722668102</v>
      </c>
      <c r="P200" s="55">
        <f t="shared" ca="1" si="79"/>
        <v>67.888852876013516</v>
      </c>
      <c r="Q200" s="55">
        <f t="shared" ca="1" si="79"/>
        <v>65.309794534456415</v>
      </c>
    </row>
    <row r="201" spans="1:17" x14ac:dyDescent="0.15">
      <c r="A201" s="49">
        <v>1</v>
      </c>
      <c r="C201" s="55">
        <f t="shared" ca="1" si="80"/>
        <v>103.94896104013375</v>
      </c>
      <c r="D201" s="55">
        <f t="shared" ca="1" si="80"/>
        <v>99.999999999999986</v>
      </c>
      <c r="E201" s="55">
        <f t="shared" ca="1" si="80"/>
        <v>96.201057710803752</v>
      </c>
      <c r="F201" s="55">
        <f t="shared" ca="1" si="80"/>
        <v>92.546435046773951</v>
      </c>
      <c r="G201" s="55">
        <f t="shared" ca="1" si="80"/>
        <v>89.030649388638523</v>
      </c>
      <c r="H201" s="55">
        <f t="shared" ca="1" si="80"/>
        <v>85.648426398667496</v>
      </c>
      <c r="I201" s="55">
        <f t="shared" ca="1" si="80"/>
        <v>82.394692108177395</v>
      </c>
      <c r="J201" s="55">
        <f t="shared" ca="1" si="80"/>
        <v>79.264565305626803</v>
      </c>
      <c r="K201" s="55">
        <f t="shared" ca="1" si="80"/>
        <v>76.253350213883778</v>
      </c>
      <c r="L201" s="55">
        <f t="shared" ca="1" si="80"/>
        <v>73.356529445679641</v>
      </c>
      <c r="M201" s="55">
        <f t="shared" ca="1" si="79"/>
        <v>70.56975722668102</v>
      </c>
      <c r="N201" s="55">
        <f t="shared" ca="1" si="79"/>
        <v>67.888852876013516</v>
      </c>
      <c r="O201" s="55">
        <f t="shared" ca="1" si="79"/>
        <v>65.309794534456415</v>
      </c>
      <c r="P201" s="55">
        <f t="shared" ca="1" si="79"/>
        <v>62.828713130899779</v>
      </c>
      <c r="Q201" s="55">
        <f t="shared" ca="1" si="79"/>
        <v>60.441886578012237</v>
      </c>
    </row>
    <row r="202" spans="1:17" x14ac:dyDescent="0.15">
      <c r="A202" s="49">
        <v>0</v>
      </c>
      <c r="B202" s="55">
        <f>$B$2</f>
        <v>100</v>
      </c>
      <c r="C202" s="55">
        <f t="shared" ca="1" si="80"/>
        <v>96.201057710803767</v>
      </c>
      <c r="D202" s="55">
        <f t="shared" ca="1" si="80"/>
        <v>92.546435046773965</v>
      </c>
      <c r="E202" s="55">
        <f t="shared" ca="1" si="80"/>
        <v>89.030649388638537</v>
      </c>
      <c r="F202" s="55">
        <f t="shared" ca="1" si="80"/>
        <v>85.64842639866751</v>
      </c>
      <c r="G202" s="55">
        <f t="shared" ca="1" si="80"/>
        <v>82.394692108177409</v>
      </c>
      <c r="H202" s="55">
        <f t="shared" ca="1" si="80"/>
        <v>79.264565305626817</v>
      </c>
      <c r="I202" s="55">
        <f t="shared" ca="1" si="80"/>
        <v>76.253350213883792</v>
      </c>
      <c r="J202" s="55">
        <f t="shared" ca="1" si="80"/>
        <v>73.356529445679655</v>
      </c>
      <c r="K202" s="55">
        <f t="shared" ca="1" si="80"/>
        <v>70.569757226681034</v>
      </c>
      <c r="L202" s="55">
        <f t="shared" ca="1" si="80"/>
        <v>67.88885287601353</v>
      </c>
      <c r="M202" s="55">
        <f t="shared" ca="1" si="79"/>
        <v>65.309794534456429</v>
      </c>
      <c r="N202" s="55">
        <f t="shared" ca="1" si="79"/>
        <v>62.828713130899793</v>
      </c>
      <c r="O202" s="55">
        <f t="shared" ca="1" si="79"/>
        <v>60.441886578012252</v>
      </c>
      <c r="P202" s="55">
        <f t="shared" ca="1" si="79"/>
        <v>58.145734188412121</v>
      </c>
      <c r="Q202" s="55">
        <f t="shared" ca="1" si="79"/>
        <v>55.936811302964898</v>
      </c>
    </row>
    <row r="203" spans="1:17" x14ac:dyDescent="0.15">
      <c r="O203" s="54"/>
      <c r="P203" s="54"/>
      <c r="Q203" s="54"/>
    </row>
    <row r="204" spans="1:17" x14ac:dyDescent="0.15">
      <c r="A204" s="58" t="s">
        <v>40</v>
      </c>
      <c r="O204" s="54"/>
      <c r="P204" s="54"/>
      <c r="Q204" s="54"/>
    </row>
    <row r="205" spans="1:17" x14ac:dyDescent="0.15">
      <c r="B205" s="54">
        <v>0</v>
      </c>
      <c r="C205" s="54">
        <v>1</v>
      </c>
      <c r="D205" s="54">
        <v>2</v>
      </c>
      <c r="E205" s="54">
        <v>3</v>
      </c>
      <c r="F205" s="54">
        <v>4</v>
      </c>
      <c r="G205" s="54">
        <v>5</v>
      </c>
      <c r="H205" s="54">
        <v>6</v>
      </c>
      <c r="I205" s="54">
        <v>7</v>
      </c>
      <c r="J205" s="54">
        <v>8</v>
      </c>
      <c r="K205" s="54">
        <v>9</v>
      </c>
      <c r="L205" s="49">
        <v>10</v>
      </c>
      <c r="M205" s="49">
        <v>11</v>
      </c>
      <c r="N205" s="49">
        <v>12</v>
      </c>
      <c r="O205" s="54">
        <v>13</v>
      </c>
      <c r="P205" s="60">
        <v>14</v>
      </c>
      <c r="Q205" s="60">
        <v>15</v>
      </c>
    </row>
    <row r="206" spans="1:17" x14ac:dyDescent="0.15">
      <c r="A206" s="49">
        <v>15</v>
      </c>
      <c r="K206" s="59" t="str">
        <f t="shared" ref="K206:P206" si="81">IF($A206 &lt;= K$34, ($B$10*L205+$B$11*L206)/EXP($B$6 * $B$3/$B$5),"")</f>
        <v/>
      </c>
      <c r="L206" s="59" t="str">
        <f t="shared" si="81"/>
        <v/>
      </c>
      <c r="M206" s="59" t="str">
        <f t="shared" si="81"/>
        <v/>
      </c>
      <c r="N206" s="59" t="str">
        <f t="shared" si="81"/>
        <v/>
      </c>
      <c r="O206" s="59" t="str">
        <f t="shared" si="81"/>
        <v/>
      </c>
      <c r="P206" s="59" t="str">
        <f t="shared" si="81"/>
        <v/>
      </c>
      <c r="Q206" s="56">
        <f ca="1">MAX(1*(Q187-$G$3),0)</f>
        <v>68.773150758236852</v>
      </c>
    </row>
    <row r="207" spans="1:17" x14ac:dyDescent="0.15">
      <c r="A207" s="49">
        <v>14</v>
      </c>
      <c r="K207" s="59" t="str">
        <f t="shared" ref="K207:P207" si="82">IF($A207 &lt;= K$34, ($B$10*L206+$B$11*L207)/EXP($B$6 * $B$3/$B$5),"")</f>
        <v/>
      </c>
      <c r="L207" s="59" t="str">
        <f t="shared" si="82"/>
        <v/>
      </c>
      <c r="M207" s="59" t="str">
        <f t="shared" si="82"/>
        <v/>
      </c>
      <c r="N207" s="59" t="str">
        <f t="shared" si="82"/>
        <v/>
      </c>
      <c r="O207" s="59" t="str">
        <f t="shared" si="82"/>
        <v/>
      </c>
      <c r="P207" s="59">
        <f t="shared" ca="1" si="82"/>
        <v>61.989661266767605</v>
      </c>
      <c r="Q207" s="56">
        <f t="shared" ref="Q207:Q221" ca="1" si="83">MAX(1*(Q188-$G$3),0)</f>
        <v>55.448177847542979</v>
      </c>
    </row>
    <row r="208" spans="1:17" x14ac:dyDescent="0.15">
      <c r="A208" s="49">
        <v>13</v>
      </c>
      <c r="K208" s="59" t="str">
        <f t="shared" ref="K208:P208" si="84">IF($A208 &lt;= K$34, ($B$10*L207+$B$11*L208)/EXP($B$6 * $B$3/$B$5),"")</f>
        <v/>
      </c>
      <c r="L208" s="59" t="str">
        <f t="shared" si="84"/>
        <v/>
      </c>
      <c r="M208" s="59" t="str">
        <f t="shared" si="84"/>
        <v/>
      </c>
      <c r="N208" s="59" t="str">
        <f t="shared" si="84"/>
        <v/>
      </c>
      <c r="O208" s="59">
        <f t="shared" ca="1" si="84"/>
        <v>55.466346539791445</v>
      </c>
      <c r="P208" s="59">
        <f t="shared" ca="1" si="84"/>
        <v>49.173032669786807</v>
      </c>
      <c r="Q208" s="56">
        <f t="shared" ca="1" si="83"/>
        <v>43.116390447747449</v>
      </c>
    </row>
    <row r="209" spans="1:17" x14ac:dyDescent="0.15">
      <c r="A209" s="49">
        <v>12</v>
      </c>
      <c r="K209" s="59" t="str">
        <f t="shared" ref="K209:P209" si="85">IF($A209 &lt;= K$34, ($B$10*L208+$B$11*L209)/EXP($B$6 * $B$3/$B$5),"")</f>
        <v/>
      </c>
      <c r="L209" s="59" t="str">
        <f t="shared" si="85"/>
        <v/>
      </c>
      <c r="M209" s="59" t="str">
        <f t="shared" si="85"/>
        <v/>
      </c>
      <c r="N209" s="59">
        <f t="shared" ca="1" si="85"/>
        <v>49.193280514437177</v>
      </c>
      <c r="O209" s="59">
        <f t="shared" ca="1" si="85"/>
        <v>43.138669050772663</v>
      </c>
      <c r="P209" s="59">
        <f t="shared" ca="1" si="85"/>
        <v>37.31169981009571</v>
      </c>
      <c r="Q209" s="56">
        <f t="shared" ca="1" si="83"/>
        <v>31.703760831689408</v>
      </c>
    </row>
    <row r="210" spans="1:17" x14ac:dyDescent="0.15">
      <c r="A210" s="49">
        <v>11</v>
      </c>
      <c r="K210" s="59" t="str">
        <f t="shared" ref="K210:P210" si="86">IF($A210 &lt;= K$34, ($B$10*L209+$B$11*L210)/EXP($B$6 * $B$3/$B$5),"")</f>
        <v/>
      </c>
      <c r="L210" s="59" t="str">
        <f t="shared" si="86"/>
        <v/>
      </c>
      <c r="M210" s="59">
        <f t="shared" ca="1" si="86"/>
        <v>43.160915804751305</v>
      </c>
      <c r="N210" s="59">
        <f t="shared" ca="1" si="86"/>
        <v>37.335900773476261</v>
      </c>
      <c r="O210" s="59">
        <f t="shared" ca="1" si="86"/>
        <v>31.729843010622105</v>
      </c>
      <c r="P210" s="59">
        <f t="shared" ca="1" si="86"/>
        <v>26.334459099420034</v>
      </c>
      <c r="Q210" s="56">
        <f t="shared" ca="1" si="83"/>
        <v>21.14177897693537</v>
      </c>
    </row>
    <row r="211" spans="1:17" x14ac:dyDescent="0.15">
      <c r="A211" s="49">
        <v>10</v>
      </c>
      <c r="B211" s="59" t="str">
        <f t="shared" ref="B211:K211" si="87">IF($A211 &lt;= B$34, ($B$10*C205+$B$11*C211)/EXP($B$6 * $B$3/$B$5),"")</f>
        <v/>
      </c>
      <c r="C211" s="59" t="str">
        <f t="shared" si="87"/>
        <v/>
      </c>
      <c r="D211" s="59" t="str">
        <f t="shared" si="87"/>
        <v/>
      </c>
      <c r="E211" s="59" t="str">
        <f t="shared" si="87"/>
        <v/>
      </c>
      <c r="F211" s="59" t="str">
        <f t="shared" si="87"/>
        <v/>
      </c>
      <c r="G211" s="59" t="str">
        <f t="shared" si="87"/>
        <v/>
      </c>
      <c r="H211" s="59" t="str">
        <f t="shared" si="87"/>
        <v/>
      </c>
      <c r="I211" s="59" t="str">
        <f t="shared" si="87"/>
        <v/>
      </c>
      <c r="J211" s="59" t="str">
        <f t="shared" si="87"/>
        <v/>
      </c>
      <c r="K211" s="59" t="str">
        <f t="shared" ref="K211:P211" si="88">IF($A211 &lt;= K$34, ($B$10*L210+$B$11*L211)/EXP($B$6 * $B$3/$B$5),"")</f>
        <v/>
      </c>
      <c r="L211" s="59">
        <f t="shared" ca="1" si="88"/>
        <v>37.36006925527024</v>
      </c>
      <c r="M211" s="59">
        <f t="shared" ca="1" si="88"/>
        <v>31.755892072860888</v>
      </c>
      <c r="N211" s="59">
        <f t="shared" ca="1" si="88"/>
        <v>26.362318533258517</v>
      </c>
      <c r="O211" s="59">
        <f t="shared" ca="1" si="88"/>
        <v>21.171381229774742</v>
      </c>
      <c r="P211" s="59">
        <f t="shared" ca="1" si="88"/>
        <v>16.17541415518653</v>
      </c>
      <c r="Q211" s="56">
        <f t="shared" ca="1" si="83"/>
        <v>11.367041300073353</v>
      </c>
    </row>
    <row r="212" spans="1:17" x14ac:dyDescent="0.15">
      <c r="A212" s="49">
        <v>9</v>
      </c>
      <c r="B212" s="59" t="str">
        <f t="shared" ref="B212:P212" si="89">IF($A212 &lt;= B$34, ($B$10*C211+$B$11*C212)/EXP($B$6 * $B$3/$B$5),"")</f>
        <v/>
      </c>
      <c r="C212" s="59" t="str">
        <f t="shared" si="89"/>
        <v/>
      </c>
      <c r="D212" s="59" t="str">
        <f t="shared" si="89"/>
        <v/>
      </c>
      <c r="E212" s="59" t="str">
        <f t="shared" si="89"/>
        <v/>
      </c>
      <c r="F212" s="59" t="str">
        <f t="shared" si="89"/>
        <v/>
      </c>
      <c r="G212" s="59" t="str">
        <f t="shared" si="89"/>
        <v/>
      </c>
      <c r="H212" s="59" t="str">
        <f t="shared" si="89"/>
        <v/>
      </c>
      <c r="I212" s="59" t="str">
        <f t="shared" si="89"/>
        <v/>
      </c>
      <c r="J212" s="59" t="str">
        <f t="shared" si="89"/>
        <v/>
      </c>
      <c r="K212" s="59">
        <f t="shared" ca="1" si="89"/>
        <v>31.781908045720105</v>
      </c>
      <c r="L212" s="59">
        <f t="shared" ca="1" si="89"/>
        <v>26.390144266223512</v>
      </c>
      <c r="M212" s="59">
        <f t="shared" ca="1" si="89"/>
        <v>21.200949192757761</v>
      </c>
      <c r="N212" s="59">
        <f t="shared" ca="1" si="89"/>
        <v>16.206659373011082</v>
      </c>
      <c r="O212" s="59">
        <f t="shared" ca="1" si="89"/>
        <v>11.399901255824371</v>
      </c>
      <c r="P212" s="59">
        <f t="shared" ca="1" si="89"/>
        <v>6.773580224498887</v>
      </c>
      <c r="Q212" s="56">
        <f t="shared" ca="1" si="83"/>
        <v>2.3208700449637121</v>
      </c>
    </row>
    <row r="213" spans="1:17" x14ac:dyDescent="0.15">
      <c r="A213" s="49">
        <v>8</v>
      </c>
      <c r="B213" s="59" t="str">
        <f t="shared" ref="B213:P213" si="90">IF($A213 &lt;= B$34, ($B$10*C212+$B$11*C213)/EXP($B$6 * $B$3/$B$5),"")</f>
        <v/>
      </c>
      <c r="C213" s="59" t="str">
        <f t="shared" si="90"/>
        <v/>
      </c>
      <c r="D213" s="59" t="str">
        <f t="shared" si="90"/>
        <v/>
      </c>
      <c r="E213" s="59" t="str">
        <f t="shared" si="90"/>
        <v/>
      </c>
      <c r="F213" s="59" t="str">
        <f t="shared" si="90"/>
        <v/>
      </c>
      <c r="G213" s="59" t="str">
        <f t="shared" si="90"/>
        <v/>
      </c>
      <c r="H213" s="59" t="str">
        <f t="shared" si="90"/>
        <v/>
      </c>
      <c r="I213" s="59" t="str">
        <f t="shared" si="90"/>
        <v/>
      </c>
      <c r="J213" s="59">
        <f t="shared" ca="1" si="90"/>
        <v>26.470302195546125</v>
      </c>
      <c r="K213" s="59">
        <f t="shared" ca="1" si="90"/>
        <v>21.333695182818008</v>
      </c>
      <c r="L213" s="59">
        <f t="shared" ca="1" si="90"/>
        <v>16.441299527988726</v>
      </c>
      <c r="M213" s="59">
        <f t="shared" ca="1" si="90"/>
        <v>11.833682642407446</v>
      </c>
      <c r="N213" s="59">
        <f t="shared" ca="1" si="90"/>
        <v>7.5982382983552608</v>
      </c>
      <c r="O213" s="59">
        <f t="shared" ca="1" si="90"/>
        <v>3.9143729754279279</v>
      </c>
      <c r="P213" s="59">
        <f t="shared" ca="1" si="90"/>
        <v>1.1425780656973441</v>
      </c>
      <c r="Q213" s="56">
        <f t="shared" ca="1" si="83"/>
        <v>0</v>
      </c>
    </row>
    <row r="214" spans="1:17" x14ac:dyDescent="0.15">
      <c r="A214" s="49">
        <v>7</v>
      </c>
      <c r="B214" s="59" t="str">
        <f t="shared" ref="B214:P214" si="91">IF($A214 &lt;= B$34, ($B$10*C213+$B$11*C214)/EXP($B$6 * $B$3/$B$5),"")</f>
        <v/>
      </c>
      <c r="C214" s="59" t="str">
        <f t="shared" si="91"/>
        <v/>
      </c>
      <c r="D214" s="59" t="str">
        <f t="shared" si="91"/>
        <v/>
      </c>
      <c r="E214" s="59" t="str">
        <f t="shared" si="91"/>
        <v/>
      </c>
      <c r="F214" s="59" t="str">
        <f t="shared" si="91"/>
        <v/>
      </c>
      <c r="G214" s="59" t="str">
        <f t="shared" si="91"/>
        <v/>
      </c>
      <c r="H214" s="59" t="str">
        <f t="shared" si="91"/>
        <v/>
      </c>
      <c r="I214" s="59">
        <f t="shared" ca="1" si="91"/>
        <v>21.526809809516344</v>
      </c>
      <c r="J214" s="59">
        <f t="shared" ca="1" si="91"/>
        <v>16.74414595044718</v>
      </c>
      <c r="K214" s="59">
        <f t="shared" ca="1" si="91"/>
        <v>12.301781055003142</v>
      </c>
      <c r="L214" s="59">
        <f t="shared" ca="1" si="91"/>
        <v>8.2931750658147259</v>
      </c>
      <c r="M214" s="59">
        <f t="shared" ca="1" si="91"/>
        <v>4.863172373064474</v>
      </c>
      <c r="N214" s="59">
        <f t="shared" ca="1" si="91"/>
        <v>2.212458403020396</v>
      </c>
      <c r="O214" s="59">
        <f t="shared" ca="1" si="91"/>
        <v>0.5624979472873054</v>
      </c>
      <c r="P214" s="59">
        <f t="shared" ca="1" si="91"/>
        <v>0</v>
      </c>
      <c r="Q214" s="56">
        <f t="shared" ca="1" si="83"/>
        <v>0</v>
      </c>
    </row>
    <row r="215" spans="1:17" x14ac:dyDescent="0.15">
      <c r="A215" s="49">
        <v>6</v>
      </c>
      <c r="B215" s="59" t="str">
        <f t="shared" ref="B215:P215" si="92">IF($A215 &lt;= B$34, ($B$10*C214+$B$11*C215)/EXP($B$6 * $B$3/$B$5),"")</f>
        <v/>
      </c>
      <c r="C215" s="59" t="str">
        <f t="shared" si="92"/>
        <v/>
      </c>
      <c r="D215" s="59" t="str">
        <f t="shared" si="92"/>
        <v/>
      </c>
      <c r="E215" s="59" t="str">
        <f t="shared" si="92"/>
        <v/>
      </c>
      <c r="F215" s="59" t="str">
        <f t="shared" si="92"/>
        <v/>
      </c>
      <c r="G215" s="59" t="str">
        <f t="shared" si="92"/>
        <v/>
      </c>
      <c r="H215" s="59">
        <f t="shared" ca="1" si="92"/>
        <v>17.072245928651149</v>
      </c>
      <c r="I215" s="59">
        <f t="shared" ca="1" si="92"/>
        <v>12.761076498343078</v>
      </c>
      <c r="J215" s="59">
        <f t="shared" ca="1" si="92"/>
        <v>8.9045789341432044</v>
      </c>
      <c r="K215" s="59">
        <f t="shared" ca="1" si="92"/>
        <v>5.6140310270399505</v>
      </c>
      <c r="L215" s="59">
        <f t="shared" ca="1" si="92"/>
        <v>3.0180728054098336</v>
      </c>
      <c r="M215" s="59">
        <f t="shared" ca="1" si="92"/>
        <v>1.2297052683823446</v>
      </c>
      <c r="N215" s="59">
        <f t="shared" ca="1" si="92"/>
        <v>0.27692107016716005</v>
      </c>
      <c r="O215" s="59">
        <f t="shared" ca="1" si="92"/>
        <v>0</v>
      </c>
      <c r="P215" s="59">
        <f t="shared" ca="1" si="92"/>
        <v>0</v>
      </c>
      <c r="Q215" s="56">
        <f t="shared" ca="1" si="83"/>
        <v>0</v>
      </c>
    </row>
    <row r="216" spans="1:17" x14ac:dyDescent="0.15">
      <c r="A216" s="49">
        <v>5</v>
      </c>
      <c r="B216" s="59" t="str">
        <f t="shared" ref="B216:P216" si="93">IF($A216 &lt;= B$34, ($B$10*C215+$B$11*C216)/EXP($B$6 * $B$3/$B$5),"")</f>
        <v/>
      </c>
      <c r="C216" s="59" t="str">
        <f t="shared" si="93"/>
        <v/>
      </c>
      <c r="D216" s="59" t="str">
        <f t="shared" si="93"/>
        <v/>
      </c>
      <c r="E216" s="59" t="str">
        <f t="shared" si="93"/>
        <v/>
      </c>
      <c r="F216" s="59" t="str">
        <f t="shared" si="93"/>
        <v/>
      </c>
      <c r="G216" s="59">
        <f t="shared" ca="1" si="93"/>
        <v>13.202730592989127</v>
      </c>
      <c r="H216" s="59">
        <f t="shared" ca="1" si="93"/>
        <v>9.4567077783335129</v>
      </c>
      <c r="I216" s="59">
        <f t="shared" ca="1" si="93"/>
        <v>6.2566013186723382</v>
      </c>
      <c r="J216" s="59">
        <f t="shared" ca="1" si="93"/>
        <v>3.6913068162590625</v>
      </c>
      <c r="K216" s="59">
        <f t="shared" ca="1" si="93"/>
        <v>1.8280602238499948</v>
      </c>
      <c r="L216" s="59">
        <f t="shared" ca="1" si="93"/>
        <v>0.67455962348776044</v>
      </c>
      <c r="M216" s="59">
        <f t="shared" ca="1" si="93"/>
        <v>0.13632988257529918</v>
      </c>
      <c r="N216" s="59">
        <f t="shared" ca="1" si="93"/>
        <v>0</v>
      </c>
      <c r="O216" s="59">
        <f t="shared" ca="1" si="93"/>
        <v>0</v>
      </c>
      <c r="P216" s="59">
        <f t="shared" ca="1" si="93"/>
        <v>0</v>
      </c>
      <c r="Q216" s="56">
        <f t="shared" ca="1" si="83"/>
        <v>0</v>
      </c>
    </row>
    <row r="217" spans="1:17" x14ac:dyDescent="0.15">
      <c r="A217" s="49">
        <v>4</v>
      </c>
      <c r="B217" s="59" t="str">
        <f t="shared" ref="B217:P217" si="94">IF($A217 &lt;= B$34, ($B$10*C216+$B$11*C217)/EXP($B$6 * $B$3/$B$5),"")</f>
        <v/>
      </c>
      <c r="C217" s="59" t="str">
        <f t="shared" si="94"/>
        <v/>
      </c>
      <c r="D217" s="59" t="str">
        <f t="shared" si="94"/>
        <v/>
      </c>
      <c r="E217" s="59" t="str">
        <f t="shared" si="94"/>
        <v/>
      </c>
      <c r="F217" s="59">
        <f t="shared" ca="1" si="94"/>
        <v>9.9640082516547004</v>
      </c>
      <c r="G217" s="59">
        <f t="shared" ca="1" si="94"/>
        <v>6.8279334886721434</v>
      </c>
      <c r="H217" s="59">
        <f t="shared" ca="1" si="94"/>
        <v>4.2816477928254626</v>
      </c>
      <c r="I217" s="59">
        <f t="shared" ca="1" si="94"/>
        <v>2.3681094681941879</v>
      </c>
      <c r="J217" s="59">
        <f t="shared" ca="1" si="94"/>
        <v>1.0857308334168754</v>
      </c>
      <c r="K217" s="59">
        <f t="shared" ca="1" si="94"/>
        <v>0.36614172870854578</v>
      </c>
      <c r="L217" s="59">
        <f t="shared" ca="1" si="94"/>
        <v>6.711600844159582E-2</v>
      </c>
      <c r="M217" s="59">
        <f t="shared" ca="1" si="94"/>
        <v>0</v>
      </c>
      <c r="N217" s="59">
        <f t="shared" ca="1" si="94"/>
        <v>0</v>
      </c>
      <c r="O217" s="59">
        <f t="shared" ca="1" si="94"/>
        <v>0</v>
      </c>
      <c r="P217" s="59">
        <f t="shared" ca="1" si="94"/>
        <v>0</v>
      </c>
      <c r="Q217" s="56">
        <f t="shared" ca="1" si="83"/>
        <v>0</v>
      </c>
    </row>
    <row r="218" spans="1:17" x14ac:dyDescent="0.15">
      <c r="A218" s="49">
        <v>3</v>
      </c>
      <c r="B218" s="59" t="str">
        <f t="shared" ref="B218:P218" si="95">IF($A218 &lt;= B$34, ($B$10*C217+$B$11*C218)/EXP($B$6 * $B$3/$B$5),"")</f>
        <v/>
      </c>
      <c r="C218" s="59" t="str">
        <f t="shared" si="95"/>
        <v/>
      </c>
      <c r="D218" s="59" t="str">
        <f t="shared" si="95"/>
        <v/>
      </c>
      <c r="E218" s="59">
        <f t="shared" ca="1" si="95"/>
        <v>7.3477013896336505</v>
      </c>
      <c r="F218" s="59">
        <f t="shared" ca="1" si="95"/>
        <v>4.8138546041904728</v>
      </c>
      <c r="G218" s="59">
        <f t="shared" ca="1" si="95"/>
        <v>2.862701483564825</v>
      </c>
      <c r="H218" s="59">
        <f t="shared" ca="1" si="95"/>
        <v>1.4877399296127327</v>
      </c>
      <c r="I218" s="59">
        <f t="shared" ca="1" si="95"/>
        <v>0.63447080570174352</v>
      </c>
      <c r="J218" s="59">
        <f t="shared" ca="1" si="95"/>
        <v>0.19701775796333756</v>
      </c>
      <c r="K218" s="59">
        <f t="shared" ca="1" si="95"/>
        <v>3.3041608369642331E-2</v>
      </c>
      <c r="L218" s="59">
        <f t="shared" ca="1" si="95"/>
        <v>0</v>
      </c>
      <c r="M218" s="59">
        <f t="shared" ca="1" si="95"/>
        <v>0</v>
      </c>
      <c r="N218" s="59">
        <f t="shared" ca="1" si="95"/>
        <v>0</v>
      </c>
      <c r="O218" s="59">
        <f t="shared" ca="1" si="95"/>
        <v>0</v>
      </c>
      <c r="P218" s="59">
        <f t="shared" ca="1" si="95"/>
        <v>0</v>
      </c>
      <c r="Q218" s="56">
        <f t="shared" ca="1" si="83"/>
        <v>0</v>
      </c>
    </row>
    <row r="219" spans="1:17" x14ac:dyDescent="0.15">
      <c r="A219" s="49">
        <v>2</v>
      </c>
      <c r="B219" s="59" t="str">
        <f t="shared" ref="B219:P219" si="96">IF($A219 &lt;= B$34, ($B$10*C218+$B$11*C219)/EXP($B$6 * $B$3/$B$5),"")</f>
        <v/>
      </c>
      <c r="C219" s="59" t="str">
        <f t="shared" si="96"/>
        <v/>
      </c>
      <c r="D219" s="59">
        <f t="shared" ca="1" si="96"/>
        <v>5.3023788150350546</v>
      </c>
      <c r="E219" s="59">
        <f t="shared" ca="1" si="96"/>
        <v>3.3212300003120494</v>
      </c>
      <c r="F219" s="59">
        <f t="shared" ca="1" si="96"/>
        <v>1.8750776029245009</v>
      </c>
      <c r="G219" s="59">
        <f t="shared" ca="1" si="96"/>
        <v>0.91799112350701795</v>
      </c>
      <c r="H219" s="59">
        <f t="shared" ca="1" si="96"/>
        <v>0.36575144645018176</v>
      </c>
      <c r="I219" s="59">
        <f t="shared" ca="1" si="96"/>
        <v>0.1052460336238224</v>
      </c>
      <c r="J219" s="59">
        <f t="shared" ca="1" si="96"/>
        <v>1.6266579449563875E-2</v>
      </c>
      <c r="K219" s="59">
        <f t="shared" ca="1" si="96"/>
        <v>0</v>
      </c>
      <c r="L219" s="59">
        <f t="shared" ca="1" si="96"/>
        <v>0</v>
      </c>
      <c r="M219" s="59">
        <f t="shared" ca="1" si="96"/>
        <v>0</v>
      </c>
      <c r="N219" s="59">
        <f t="shared" ca="1" si="96"/>
        <v>0</v>
      </c>
      <c r="O219" s="59">
        <f t="shared" ca="1" si="96"/>
        <v>0</v>
      </c>
      <c r="P219" s="59">
        <f t="shared" ca="1" si="96"/>
        <v>0</v>
      </c>
      <c r="Q219" s="56">
        <f t="shared" ca="1" si="83"/>
        <v>0</v>
      </c>
    </row>
    <row r="220" spans="1:17" x14ac:dyDescent="0.15">
      <c r="A220" s="49">
        <v>1</v>
      </c>
      <c r="B220" s="59" t="str">
        <f t="shared" ref="B220:P220" si="97">IF($A220 &lt;= B$34, ($B$10*C219+$B$11*C220)/EXP($B$6 * $B$3/$B$5),"")</f>
        <v/>
      </c>
      <c r="C220" s="59">
        <f t="shared" ca="1" si="97"/>
        <v>3.750414491195559</v>
      </c>
      <c r="D220" s="59">
        <f t="shared" ca="1" si="97"/>
        <v>2.2469650819058313</v>
      </c>
      <c r="E220" s="59">
        <f t="shared" ca="1" si="97"/>
        <v>1.2060527452135705</v>
      </c>
      <c r="F220" s="59">
        <f t="shared" ca="1" si="97"/>
        <v>0.55767205091412142</v>
      </c>
      <c r="G220" s="59">
        <f t="shared" ca="1" si="97"/>
        <v>0.20841102608188006</v>
      </c>
      <c r="H220" s="59">
        <f t="shared" ca="1" si="97"/>
        <v>5.5876258512764912E-2</v>
      </c>
      <c r="I220" s="59">
        <f t="shared" ca="1" si="97"/>
        <v>8.0081333822745165E-3</v>
      </c>
      <c r="J220" s="59">
        <f t="shared" ca="1" si="97"/>
        <v>0</v>
      </c>
      <c r="K220" s="59">
        <f t="shared" ca="1" si="97"/>
        <v>0</v>
      </c>
      <c r="L220" s="59">
        <f t="shared" ca="1" si="97"/>
        <v>0</v>
      </c>
      <c r="M220" s="59">
        <f t="shared" ca="1" si="97"/>
        <v>0</v>
      </c>
      <c r="N220" s="59">
        <f t="shared" ca="1" si="97"/>
        <v>0</v>
      </c>
      <c r="O220" s="59">
        <f t="shared" ca="1" si="97"/>
        <v>0</v>
      </c>
      <c r="P220" s="59">
        <f t="shared" ca="1" si="97"/>
        <v>0</v>
      </c>
      <c r="Q220" s="56">
        <f t="shared" ca="1" si="83"/>
        <v>0</v>
      </c>
    </row>
    <row r="221" spans="1:17" x14ac:dyDescent="0.15">
      <c r="A221" s="49">
        <v>0</v>
      </c>
      <c r="B221" s="59">
        <f t="shared" ref="B221:P221" ca="1" si="98">IF($A221 &lt;= B$34, ($B$10*C220+$B$11*C221)/EXP($B$6 * $B$3/$B$5),"")</f>
        <v>2.6040771329665637</v>
      </c>
      <c r="C221" s="59">
        <f t="shared" ca="1" si="98"/>
        <v>1.4934655382510746</v>
      </c>
      <c r="D221" s="59">
        <f t="shared" ca="1" si="98"/>
        <v>0.76330556633299396</v>
      </c>
      <c r="E221" s="59">
        <f t="shared" ca="1" si="98"/>
        <v>0.33419739593673542</v>
      </c>
      <c r="F221" s="59">
        <f t="shared" ca="1" si="98"/>
        <v>0.1175734172242906</v>
      </c>
      <c r="G221" s="59">
        <f t="shared" ca="1" si="98"/>
        <v>2.9508458267588761E-2</v>
      </c>
      <c r="H221" s="59">
        <f t="shared" ca="1" si="98"/>
        <v>3.9424514826329323E-3</v>
      </c>
      <c r="I221" s="59">
        <f t="shared" ca="1" si="98"/>
        <v>0</v>
      </c>
      <c r="J221" s="59">
        <f t="shared" ca="1" si="98"/>
        <v>0</v>
      </c>
      <c r="K221" s="59">
        <f t="shared" ca="1" si="98"/>
        <v>0</v>
      </c>
      <c r="L221" s="59">
        <f t="shared" ca="1" si="98"/>
        <v>0</v>
      </c>
      <c r="M221" s="59">
        <f t="shared" ca="1" si="98"/>
        <v>0</v>
      </c>
      <c r="N221" s="59">
        <f t="shared" ca="1" si="98"/>
        <v>0</v>
      </c>
      <c r="O221" s="59">
        <f t="shared" ca="1" si="98"/>
        <v>0</v>
      </c>
      <c r="P221" s="59">
        <f t="shared" ca="1" si="98"/>
        <v>0</v>
      </c>
      <c r="Q221" s="56">
        <f t="shared" ca="1" si="83"/>
        <v>0</v>
      </c>
    </row>
    <row r="223" spans="1:17" x14ac:dyDescent="0.15">
      <c r="A223" s="53" t="s">
        <v>33</v>
      </c>
      <c r="M223" s="53"/>
    </row>
    <row r="224" spans="1:17" x14ac:dyDescent="0.15">
      <c r="B224" s="54">
        <v>0</v>
      </c>
      <c r="C224" s="54">
        <v>1</v>
      </c>
      <c r="D224" s="54">
        <v>2</v>
      </c>
      <c r="E224" s="54">
        <v>3</v>
      </c>
      <c r="F224" s="54">
        <v>4</v>
      </c>
      <c r="G224" s="54">
        <v>5</v>
      </c>
      <c r="H224" s="54">
        <v>6</v>
      </c>
      <c r="I224" s="54">
        <v>7</v>
      </c>
      <c r="J224" s="54">
        <v>8</v>
      </c>
      <c r="K224" s="54">
        <v>9</v>
      </c>
      <c r="L224" s="49">
        <v>10</v>
      </c>
      <c r="M224" s="49">
        <v>11</v>
      </c>
      <c r="N224" s="49">
        <v>12</v>
      </c>
      <c r="O224" s="49">
        <v>13</v>
      </c>
      <c r="P224" s="49">
        <v>14</v>
      </c>
      <c r="Q224" s="49">
        <v>15</v>
      </c>
    </row>
    <row r="225" spans="1:17" x14ac:dyDescent="0.15">
      <c r="A225" s="49">
        <v>15</v>
      </c>
      <c r="M225" s="55" t="str">
        <f t="shared" ref="M225:Q240" ca="1" si="99">IF($A225&lt;M$15,$B$9*OFFSET(M225,0,-1),IF($A225=M$15,$B$8*OFFSET(M225,1,-1),""))</f>
        <v/>
      </c>
      <c r="N225" s="55" t="str">
        <f t="shared" ca="1" si="99"/>
        <v/>
      </c>
      <c r="O225" s="55" t="str">
        <f t="shared" ca="1" si="99"/>
        <v/>
      </c>
      <c r="P225" s="55" t="str">
        <f t="shared" ca="1" si="99"/>
        <v/>
      </c>
      <c r="Q225" s="55">
        <f t="shared" ca="1" si="99"/>
        <v>178.77315075823685</v>
      </c>
    </row>
    <row r="226" spans="1:17" x14ac:dyDescent="0.15">
      <c r="A226" s="49">
        <v>14</v>
      </c>
      <c r="M226" s="55" t="str">
        <f t="shared" ca="1" si="99"/>
        <v/>
      </c>
      <c r="N226" s="55" t="str">
        <f t="shared" ca="1" si="99"/>
        <v/>
      </c>
      <c r="O226" s="55" t="str">
        <f t="shared" ca="1" si="99"/>
        <v/>
      </c>
      <c r="P226" s="55">
        <f t="shared" ca="1" si="99"/>
        <v>171.98166193235366</v>
      </c>
      <c r="Q226" s="55">
        <f t="shared" ca="1" si="99"/>
        <v>165.44817784754298</v>
      </c>
    </row>
    <row r="227" spans="1:17" x14ac:dyDescent="0.15">
      <c r="A227" s="49">
        <v>13</v>
      </c>
      <c r="M227" s="55" t="str">
        <f t="shared" ca="1" si="99"/>
        <v/>
      </c>
      <c r="N227" s="55" t="str">
        <f t="shared" ca="1" si="99"/>
        <v/>
      </c>
      <c r="O227" s="55">
        <f t="shared" ca="1" si="99"/>
        <v>165.44817784754298</v>
      </c>
      <c r="P227" s="55">
        <f t="shared" ca="1" si="99"/>
        <v>159.16289705258808</v>
      </c>
      <c r="Q227" s="55">
        <f t="shared" ca="1" si="99"/>
        <v>153.11639044774745</v>
      </c>
    </row>
    <row r="228" spans="1:17" x14ac:dyDescent="0.15">
      <c r="A228" s="49">
        <v>12</v>
      </c>
      <c r="M228" s="55" t="str">
        <f t="shared" ca="1" si="99"/>
        <v/>
      </c>
      <c r="N228" s="55">
        <f t="shared" ca="1" si="99"/>
        <v>159.16289705258808</v>
      </c>
      <c r="O228" s="55">
        <f t="shared" ca="1" si="99"/>
        <v>153.11639044774745</v>
      </c>
      <c r="P228" s="55">
        <f t="shared" ca="1" si="99"/>
        <v>147.29958713933715</v>
      </c>
      <c r="Q228" s="55">
        <f t="shared" ca="1" si="99"/>
        <v>141.70376083168941</v>
      </c>
    </row>
    <row r="229" spans="1:17" x14ac:dyDescent="0.15">
      <c r="A229" s="49">
        <v>11</v>
      </c>
      <c r="M229" s="55">
        <f t="shared" ca="1" si="99"/>
        <v>153.11639044774745</v>
      </c>
      <c r="N229" s="55">
        <f t="shared" ca="1" si="99"/>
        <v>147.29958713933715</v>
      </c>
      <c r="O229" s="55">
        <f t="shared" ca="1" si="99"/>
        <v>141.70376083168941</v>
      </c>
      <c r="P229" s="55">
        <f t="shared" ca="1" si="99"/>
        <v>136.32051673607288</v>
      </c>
      <c r="Q229" s="55">
        <f t="shared" ca="1" si="99"/>
        <v>131.14177897693537</v>
      </c>
    </row>
    <row r="230" spans="1:17" x14ac:dyDescent="0.15">
      <c r="A230" s="49">
        <v>10</v>
      </c>
      <c r="B230" s="54"/>
      <c r="C230" s="55" t="str">
        <f t="shared" ref="C230:L240" ca="1" si="100">IF($A230&lt;C$15,$B$9*OFFSET(C230,0,-1),IF($A230=C$15,$B$8*OFFSET(C230,1,-1),""))</f>
        <v/>
      </c>
      <c r="D230" s="55" t="str">
        <f t="shared" ca="1" si="100"/>
        <v/>
      </c>
      <c r="E230" s="55" t="str">
        <f t="shared" ca="1" si="100"/>
        <v/>
      </c>
      <c r="F230" s="55" t="str">
        <f t="shared" ca="1" si="100"/>
        <v/>
      </c>
      <c r="G230" s="55" t="str">
        <f t="shared" ca="1" si="100"/>
        <v/>
      </c>
      <c r="H230" s="55" t="str">
        <f t="shared" ca="1" si="100"/>
        <v/>
      </c>
      <c r="I230" s="55" t="str">
        <f t="shared" ca="1" si="100"/>
        <v/>
      </c>
      <c r="J230" s="55" t="str">
        <f t="shared" ca="1" si="100"/>
        <v/>
      </c>
      <c r="K230" s="55" t="str">
        <f t="shared" ca="1" si="100"/>
        <v/>
      </c>
      <c r="L230" s="55">
        <f t="shared" ca="1" si="100"/>
        <v>147.29958713933715</v>
      </c>
      <c r="M230" s="55">
        <f t="shared" ca="1" si="99"/>
        <v>141.70376083168941</v>
      </c>
      <c r="N230" s="55">
        <f t="shared" ca="1" si="99"/>
        <v>136.32051673607288</v>
      </c>
      <c r="O230" s="55">
        <f t="shared" ca="1" si="99"/>
        <v>131.14177897693537</v>
      </c>
      <c r="P230" s="55">
        <f t="shared" ca="1" si="99"/>
        <v>126.15977847657631</v>
      </c>
      <c r="Q230" s="55">
        <f t="shared" ca="1" si="99"/>
        <v>121.36704130007335</v>
      </c>
    </row>
    <row r="231" spans="1:17" x14ac:dyDescent="0.15">
      <c r="A231" s="49">
        <v>9</v>
      </c>
      <c r="B231" s="54"/>
      <c r="C231" s="55" t="str">
        <f t="shared" ca="1" si="100"/>
        <v/>
      </c>
      <c r="D231" s="55" t="str">
        <f t="shared" ca="1" si="100"/>
        <v/>
      </c>
      <c r="E231" s="55" t="str">
        <f t="shared" ca="1" si="100"/>
        <v/>
      </c>
      <c r="F231" s="55" t="str">
        <f t="shared" ca="1" si="100"/>
        <v/>
      </c>
      <c r="G231" s="55" t="str">
        <f t="shared" ca="1" si="100"/>
        <v/>
      </c>
      <c r="H231" s="55" t="str">
        <f t="shared" ca="1" si="100"/>
        <v/>
      </c>
      <c r="I231" s="55" t="str">
        <f t="shared" ca="1" si="100"/>
        <v/>
      </c>
      <c r="J231" s="55" t="str">
        <f t="shared" ca="1" si="100"/>
        <v/>
      </c>
      <c r="K231" s="55">
        <f t="shared" ca="1" si="100"/>
        <v>141.70376083168941</v>
      </c>
      <c r="L231" s="55">
        <f t="shared" ca="1" si="100"/>
        <v>136.32051673607288</v>
      </c>
      <c r="M231" s="55">
        <f t="shared" ca="1" si="99"/>
        <v>131.14177897693537</v>
      </c>
      <c r="N231" s="55">
        <f t="shared" ca="1" si="99"/>
        <v>126.15977847657631</v>
      </c>
      <c r="O231" s="55">
        <f t="shared" ca="1" si="99"/>
        <v>121.36704130007335</v>
      </c>
      <c r="P231" s="55">
        <f t="shared" ca="1" si="99"/>
        <v>116.7563774429786</v>
      </c>
      <c r="Q231" s="55">
        <f t="shared" ca="1" si="99"/>
        <v>112.32087004496371</v>
      </c>
    </row>
    <row r="232" spans="1:17" x14ac:dyDescent="0.15">
      <c r="A232" s="49">
        <v>8</v>
      </c>
      <c r="B232" s="54"/>
      <c r="C232" s="55" t="str">
        <f t="shared" ca="1" si="100"/>
        <v/>
      </c>
      <c r="D232" s="55" t="str">
        <f t="shared" ca="1" si="100"/>
        <v/>
      </c>
      <c r="E232" s="55" t="str">
        <f t="shared" ca="1" si="100"/>
        <v/>
      </c>
      <c r="F232" s="55" t="str">
        <f t="shared" ca="1" si="100"/>
        <v/>
      </c>
      <c r="G232" s="55" t="str">
        <f t="shared" ca="1" si="100"/>
        <v/>
      </c>
      <c r="H232" s="55" t="str">
        <f t="shared" ca="1" si="100"/>
        <v/>
      </c>
      <c r="I232" s="55" t="str">
        <f t="shared" ca="1" si="100"/>
        <v/>
      </c>
      <c r="J232" s="55">
        <f t="shared" ca="1" si="100"/>
        <v>136.32051673607288</v>
      </c>
      <c r="K232" s="55">
        <f t="shared" ca="1" si="100"/>
        <v>131.14177897693537</v>
      </c>
      <c r="L232" s="55">
        <f t="shared" ca="1" si="100"/>
        <v>126.15977847657631</v>
      </c>
      <c r="M232" s="55">
        <f t="shared" ca="1" si="99"/>
        <v>121.36704130007335</v>
      </c>
      <c r="N232" s="55">
        <f t="shared" ca="1" si="99"/>
        <v>116.7563774429786</v>
      </c>
      <c r="O232" s="55">
        <f t="shared" ca="1" si="99"/>
        <v>112.32087004496371</v>
      </c>
      <c r="P232" s="55">
        <f t="shared" ca="1" si="99"/>
        <v>108.05386501323244</v>
      </c>
      <c r="Q232" s="55">
        <f t="shared" ca="1" si="99"/>
        <v>103.94896104013374</v>
      </c>
    </row>
    <row r="233" spans="1:17" x14ac:dyDescent="0.15">
      <c r="A233" s="49">
        <v>7</v>
      </c>
      <c r="B233" s="54"/>
      <c r="C233" s="55" t="str">
        <f t="shared" ca="1" si="100"/>
        <v/>
      </c>
      <c r="D233" s="55" t="str">
        <f t="shared" ca="1" si="100"/>
        <v/>
      </c>
      <c r="E233" s="55" t="str">
        <f t="shared" ca="1" si="100"/>
        <v/>
      </c>
      <c r="F233" s="55" t="str">
        <f t="shared" ca="1" si="100"/>
        <v/>
      </c>
      <c r="G233" s="55" t="str">
        <f t="shared" ca="1" si="100"/>
        <v/>
      </c>
      <c r="H233" s="55" t="str">
        <f t="shared" ca="1" si="100"/>
        <v/>
      </c>
      <c r="I233" s="55">
        <f t="shared" ca="1" si="100"/>
        <v>131.14177897693537</v>
      </c>
      <c r="J233" s="55">
        <f t="shared" ca="1" si="100"/>
        <v>126.15977847657631</v>
      </c>
      <c r="K233" s="55">
        <f t="shared" ca="1" si="100"/>
        <v>121.36704130007335</v>
      </c>
      <c r="L233" s="55">
        <f t="shared" ca="1" si="100"/>
        <v>116.7563774429786</v>
      </c>
      <c r="M233" s="55">
        <f t="shared" ca="1" si="99"/>
        <v>112.32087004496371</v>
      </c>
      <c r="N233" s="55">
        <f t="shared" ca="1" si="99"/>
        <v>108.05386501323244</v>
      </c>
      <c r="O233" s="55">
        <f t="shared" ca="1" si="99"/>
        <v>103.94896104013374</v>
      </c>
      <c r="P233" s="55">
        <f t="shared" ca="1" si="99"/>
        <v>99.999999999999972</v>
      </c>
      <c r="Q233" s="55">
        <f t="shared" ca="1" si="99"/>
        <v>96.201057710803738</v>
      </c>
    </row>
    <row r="234" spans="1:17" x14ac:dyDescent="0.15">
      <c r="A234" s="49">
        <v>6</v>
      </c>
      <c r="B234" s="54"/>
      <c r="C234" s="55" t="str">
        <f t="shared" ca="1" si="100"/>
        <v/>
      </c>
      <c r="D234" s="55" t="str">
        <f t="shared" ca="1" si="100"/>
        <v/>
      </c>
      <c r="E234" s="55" t="str">
        <f t="shared" ca="1" si="100"/>
        <v/>
      </c>
      <c r="F234" s="55" t="str">
        <f t="shared" ca="1" si="100"/>
        <v/>
      </c>
      <c r="G234" s="55" t="str">
        <f t="shared" ca="1" si="100"/>
        <v/>
      </c>
      <c r="H234" s="55">
        <f t="shared" ca="1" si="100"/>
        <v>126.15977847657631</v>
      </c>
      <c r="I234" s="55">
        <f t="shared" ca="1" si="100"/>
        <v>121.36704130007335</v>
      </c>
      <c r="J234" s="55">
        <f t="shared" ca="1" si="100"/>
        <v>116.7563774429786</v>
      </c>
      <c r="K234" s="55">
        <f t="shared" ca="1" si="100"/>
        <v>112.32087004496371</v>
      </c>
      <c r="L234" s="55">
        <f t="shared" ca="1" si="100"/>
        <v>108.05386501323244</v>
      </c>
      <c r="M234" s="55">
        <f t="shared" ca="1" si="99"/>
        <v>103.94896104013374</v>
      </c>
      <c r="N234" s="55">
        <f t="shared" ca="1" si="99"/>
        <v>99.999999999999972</v>
      </c>
      <c r="O234" s="55">
        <f t="shared" ca="1" si="99"/>
        <v>96.201057710803738</v>
      </c>
      <c r="P234" s="55">
        <f t="shared" ca="1" si="99"/>
        <v>92.546435046773937</v>
      </c>
      <c r="Q234" s="55">
        <f t="shared" ca="1" si="99"/>
        <v>89.030649388638508</v>
      </c>
    </row>
    <row r="235" spans="1:17" x14ac:dyDescent="0.15">
      <c r="A235" s="49">
        <v>5</v>
      </c>
      <c r="C235" s="55" t="str">
        <f t="shared" ca="1" si="100"/>
        <v/>
      </c>
      <c r="D235" s="55" t="str">
        <f t="shared" ca="1" si="100"/>
        <v/>
      </c>
      <c r="E235" s="55" t="str">
        <f t="shared" ca="1" si="100"/>
        <v/>
      </c>
      <c r="F235" s="55" t="str">
        <f t="shared" ca="1" si="100"/>
        <v/>
      </c>
      <c r="G235" s="55">
        <f t="shared" ca="1" si="100"/>
        <v>121.36704130007337</v>
      </c>
      <c r="H235" s="55">
        <f t="shared" ca="1" si="100"/>
        <v>116.75637744297862</v>
      </c>
      <c r="I235" s="55">
        <f t="shared" ca="1" si="100"/>
        <v>112.32087004496373</v>
      </c>
      <c r="J235" s="55">
        <f t="shared" ca="1" si="100"/>
        <v>108.05386501323245</v>
      </c>
      <c r="K235" s="55">
        <f t="shared" ca="1" si="100"/>
        <v>103.94896104013375</v>
      </c>
      <c r="L235" s="55">
        <f t="shared" ca="1" si="100"/>
        <v>99.999999999999986</v>
      </c>
      <c r="M235" s="55">
        <f t="shared" ca="1" si="99"/>
        <v>96.201057710803752</v>
      </c>
      <c r="N235" s="55">
        <f t="shared" ca="1" si="99"/>
        <v>92.546435046773951</v>
      </c>
      <c r="O235" s="55">
        <f t="shared" ca="1" si="99"/>
        <v>89.030649388638523</v>
      </c>
      <c r="P235" s="55">
        <f t="shared" ca="1" si="99"/>
        <v>85.648426398667496</v>
      </c>
      <c r="Q235" s="55">
        <f t="shared" ca="1" si="99"/>
        <v>82.394692108177395</v>
      </c>
    </row>
    <row r="236" spans="1:17" x14ac:dyDescent="0.15">
      <c r="A236" s="49">
        <v>4</v>
      </c>
      <c r="C236" s="55" t="str">
        <f t="shared" ca="1" si="100"/>
        <v/>
      </c>
      <c r="D236" s="55" t="str">
        <f t="shared" ca="1" si="100"/>
        <v/>
      </c>
      <c r="E236" s="55" t="str">
        <f t="shared" ca="1" si="100"/>
        <v/>
      </c>
      <c r="F236" s="55">
        <f t="shared" ca="1" si="100"/>
        <v>116.75637744297862</v>
      </c>
      <c r="G236" s="55">
        <f t="shared" ca="1" si="100"/>
        <v>112.32087004496373</v>
      </c>
      <c r="H236" s="55">
        <f t="shared" ca="1" si="100"/>
        <v>108.05386501323245</v>
      </c>
      <c r="I236" s="55">
        <f t="shared" ca="1" si="100"/>
        <v>103.94896104013375</v>
      </c>
      <c r="J236" s="55">
        <f t="shared" ca="1" si="100"/>
        <v>99.999999999999986</v>
      </c>
      <c r="K236" s="55">
        <f t="shared" ca="1" si="100"/>
        <v>96.201057710803752</v>
      </c>
      <c r="L236" s="55">
        <f t="shared" ca="1" si="100"/>
        <v>92.546435046773951</v>
      </c>
      <c r="M236" s="55">
        <f t="shared" ca="1" si="99"/>
        <v>89.030649388638523</v>
      </c>
      <c r="N236" s="55">
        <f t="shared" ca="1" si="99"/>
        <v>85.648426398667496</v>
      </c>
      <c r="O236" s="55">
        <f t="shared" ca="1" si="99"/>
        <v>82.394692108177395</v>
      </c>
      <c r="P236" s="55">
        <f t="shared" ca="1" si="99"/>
        <v>79.264565305626803</v>
      </c>
      <c r="Q236" s="55">
        <f t="shared" ca="1" si="99"/>
        <v>76.253350213883778</v>
      </c>
    </row>
    <row r="237" spans="1:17" x14ac:dyDescent="0.15">
      <c r="A237" s="49">
        <v>3</v>
      </c>
      <c r="C237" s="55" t="str">
        <f t="shared" ca="1" si="100"/>
        <v/>
      </c>
      <c r="D237" s="55" t="str">
        <f t="shared" ca="1" si="100"/>
        <v/>
      </c>
      <c r="E237" s="55">
        <f t="shared" ca="1" si="100"/>
        <v>112.32087004496373</v>
      </c>
      <c r="F237" s="55">
        <f t="shared" ca="1" si="100"/>
        <v>108.05386501323245</v>
      </c>
      <c r="G237" s="55">
        <f t="shared" ca="1" si="100"/>
        <v>103.94896104013375</v>
      </c>
      <c r="H237" s="55">
        <f t="shared" ca="1" si="100"/>
        <v>99.999999999999986</v>
      </c>
      <c r="I237" s="55">
        <f t="shared" ca="1" si="100"/>
        <v>96.201057710803752</v>
      </c>
      <c r="J237" s="55">
        <f t="shared" ca="1" si="100"/>
        <v>92.546435046773951</v>
      </c>
      <c r="K237" s="55">
        <f t="shared" ca="1" si="100"/>
        <v>89.030649388638523</v>
      </c>
      <c r="L237" s="55">
        <f t="shared" ca="1" si="100"/>
        <v>85.648426398667496</v>
      </c>
      <c r="M237" s="55">
        <f t="shared" ca="1" si="99"/>
        <v>82.394692108177395</v>
      </c>
      <c r="N237" s="55">
        <f t="shared" ca="1" si="99"/>
        <v>79.264565305626803</v>
      </c>
      <c r="O237" s="55">
        <f t="shared" ca="1" si="99"/>
        <v>76.253350213883778</v>
      </c>
      <c r="P237" s="55">
        <f t="shared" ca="1" si="99"/>
        <v>73.356529445679641</v>
      </c>
      <c r="Q237" s="55">
        <f t="shared" ca="1" si="99"/>
        <v>70.56975722668102</v>
      </c>
    </row>
    <row r="238" spans="1:17" x14ac:dyDescent="0.15">
      <c r="A238" s="49">
        <v>2</v>
      </c>
      <c r="C238" s="55" t="str">
        <f t="shared" ca="1" si="100"/>
        <v/>
      </c>
      <c r="D238" s="55">
        <f t="shared" ca="1" si="100"/>
        <v>108.05386501323245</v>
      </c>
      <c r="E238" s="55">
        <f t="shared" ca="1" si="100"/>
        <v>103.94896104013375</v>
      </c>
      <c r="F238" s="55">
        <f t="shared" ca="1" si="100"/>
        <v>99.999999999999986</v>
      </c>
      <c r="G238" s="55">
        <f t="shared" ca="1" si="100"/>
        <v>96.201057710803752</v>
      </c>
      <c r="H238" s="55">
        <f t="shared" ca="1" si="100"/>
        <v>92.546435046773951</v>
      </c>
      <c r="I238" s="55">
        <f t="shared" ca="1" si="100"/>
        <v>89.030649388638523</v>
      </c>
      <c r="J238" s="55">
        <f t="shared" ca="1" si="100"/>
        <v>85.648426398667496</v>
      </c>
      <c r="K238" s="55">
        <f t="shared" ca="1" si="100"/>
        <v>82.394692108177395</v>
      </c>
      <c r="L238" s="55">
        <f t="shared" ca="1" si="100"/>
        <v>79.264565305626803</v>
      </c>
      <c r="M238" s="55">
        <f t="shared" ca="1" si="99"/>
        <v>76.253350213883778</v>
      </c>
      <c r="N238" s="55">
        <f t="shared" ca="1" si="99"/>
        <v>73.356529445679641</v>
      </c>
      <c r="O238" s="55">
        <f t="shared" ca="1" si="99"/>
        <v>70.56975722668102</v>
      </c>
      <c r="P238" s="55">
        <f t="shared" ca="1" si="99"/>
        <v>67.888852876013516</v>
      </c>
      <c r="Q238" s="55">
        <f t="shared" ca="1" si="99"/>
        <v>65.309794534456415</v>
      </c>
    </row>
    <row r="239" spans="1:17" x14ac:dyDescent="0.15">
      <c r="A239" s="49">
        <v>1</v>
      </c>
      <c r="C239" s="55">
        <f t="shared" ca="1" si="100"/>
        <v>103.94896104013375</v>
      </c>
      <c r="D239" s="55">
        <f t="shared" ca="1" si="100"/>
        <v>99.999999999999986</v>
      </c>
      <c r="E239" s="55">
        <f t="shared" ca="1" si="100"/>
        <v>96.201057710803752</v>
      </c>
      <c r="F239" s="55">
        <f t="shared" ca="1" si="100"/>
        <v>92.546435046773951</v>
      </c>
      <c r="G239" s="55">
        <f t="shared" ca="1" si="100"/>
        <v>89.030649388638523</v>
      </c>
      <c r="H239" s="55">
        <f t="shared" ca="1" si="100"/>
        <v>85.648426398667496</v>
      </c>
      <c r="I239" s="55">
        <f t="shared" ca="1" si="100"/>
        <v>82.394692108177395</v>
      </c>
      <c r="J239" s="55">
        <f t="shared" ca="1" si="100"/>
        <v>79.264565305626803</v>
      </c>
      <c r="K239" s="55">
        <f t="shared" ca="1" si="100"/>
        <v>76.253350213883778</v>
      </c>
      <c r="L239" s="55">
        <f t="shared" ca="1" si="100"/>
        <v>73.356529445679641</v>
      </c>
      <c r="M239" s="55">
        <f t="shared" ca="1" si="99"/>
        <v>70.56975722668102</v>
      </c>
      <c r="N239" s="55">
        <f t="shared" ca="1" si="99"/>
        <v>67.888852876013516</v>
      </c>
      <c r="O239" s="55">
        <f t="shared" ca="1" si="99"/>
        <v>65.309794534456415</v>
      </c>
      <c r="P239" s="55">
        <f t="shared" ca="1" si="99"/>
        <v>62.828713130899779</v>
      </c>
      <c r="Q239" s="55">
        <f t="shared" ca="1" si="99"/>
        <v>60.441886578012237</v>
      </c>
    </row>
    <row r="240" spans="1:17" x14ac:dyDescent="0.15">
      <c r="A240" s="49">
        <v>0</v>
      </c>
      <c r="B240" s="55">
        <f>$B$2</f>
        <v>100</v>
      </c>
      <c r="C240" s="55">
        <f t="shared" ca="1" si="100"/>
        <v>96.201057710803767</v>
      </c>
      <c r="D240" s="55">
        <f t="shared" ca="1" si="100"/>
        <v>92.546435046773965</v>
      </c>
      <c r="E240" s="55">
        <f t="shared" ca="1" si="100"/>
        <v>89.030649388638537</v>
      </c>
      <c r="F240" s="55">
        <f t="shared" ca="1" si="100"/>
        <v>85.64842639866751</v>
      </c>
      <c r="G240" s="55">
        <f t="shared" ca="1" si="100"/>
        <v>82.394692108177409</v>
      </c>
      <c r="H240" s="55">
        <f t="shared" ca="1" si="100"/>
        <v>79.264565305626817</v>
      </c>
      <c r="I240" s="55">
        <f t="shared" ca="1" si="100"/>
        <v>76.253350213883792</v>
      </c>
      <c r="J240" s="55">
        <f t="shared" ca="1" si="100"/>
        <v>73.356529445679655</v>
      </c>
      <c r="K240" s="55">
        <f t="shared" ca="1" si="100"/>
        <v>70.569757226681034</v>
      </c>
      <c r="L240" s="55">
        <f t="shared" ca="1" si="100"/>
        <v>67.88885287601353</v>
      </c>
      <c r="M240" s="55">
        <f t="shared" ca="1" si="99"/>
        <v>65.309794534456429</v>
      </c>
      <c r="N240" s="55">
        <f t="shared" ca="1" si="99"/>
        <v>62.828713130899793</v>
      </c>
      <c r="O240" s="55">
        <f t="shared" ca="1" si="99"/>
        <v>60.441886578012252</v>
      </c>
      <c r="P240" s="55">
        <f t="shared" ca="1" si="99"/>
        <v>58.145734188412121</v>
      </c>
      <c r="Q240" s="55">
        <f t="shared" ca="1" si="99"/>
        <v>55.936811302964898</v>
      </c>
    </row>
    <row r="241" spans="1:17" x14ac:dyDescent="0.15">
      <c r="O241" s="54"/>
      <c r="P241" s="54"/>
      <c r="Q241" s="54"/>
    </row>
    <row r="242" spans="1:17" x14ac:dyDescent="0.15">
      <c r="A242" s="58" t="s">
        <v>41</v>
      </c>
      <c r="O242" s="54"/>
      <c r="P242" s="54"/>
      <c r="Q242" s="54"/>
    </row>
    <row r="243" spans="1:17" x14ac:dyDescent="0.15">
      <c r="B243" s="54">
        <v>0</v>
      </c>
      <c r="C243" s="54">
        <v>1</v>
      </c>
      <c r="D243" s="54">
        <v>2</v>
      </c>
      <c r="E243" s="54">
        <v>3</v>
      </c>
      <c r="F243" s="54">
        <v>4</v>
      </c>
      <c r="G243" s="54">
        <v>5</v>
      </c>
      <c r="H243" s="54">
        <v>6</v>
      </c>
      <c r="I243" s="54">
        <v>7</v>
      </c>
      <c r="J243" s="54">
        <v>8</v>
      </c>
      <c r="K243" s="54">
        <v>9</v>
      </c>
      <c r="L243" s="49">
        <v>10</v>
      </c>
      <c r="M243" s="49">
        <v>11</v>
      </c>
      <c r="N243" s="49">
        <v>12</v>
      </c>
      <c r="O243" s="54">
        <v>13</v>
      </c>
      <c r="P243" s="60">
        <v>14</v>
      </c>
      <c r="Q243" s="60">
        <v>15</v>
      </c>
    </row>
    <row r="244" spans="1:17" x14ac:dyDescent="0.15">
      <c r="A244" s="49">
        <v>15</v>
      </c>
      <c r="K244" s="59" t="str">
        <f t="shared" ref="K244:P244" si="101">IF($A244 &lt;= K$34, ($B$10*L243+$B$11*L244)/EXP($B$6 * $B$3/$B$5),"")</f>
        <v/>
      </c>
      <c r="L244" s="59" t="str">
        <f t="shared" si="101"/>
        <v/>
      </c>
      <c r="M244" s="59" t="str">
        <f t="shared" si="101"/>
        <v/>
      </c>
      <c r="N244" s="59" t="str">
        <f t="shared" si="101"/>
        <v/>
      </c>
      <c r="O244" s="59" t="str">
        <f t="shared" si="101"/>
        <v/>
      </c>
      <c r="P244" s="59" t="str">
        <f t="shared" si="101"/>
        <v/>
      </c>
      <c r="Q244" s="56">
        <f ca="1">MAX(-1*(Q225-$G$3),0)</f>
        <v>0</v>
      </c>
    </row>
    <row r="245" spans="1:17" x14ac:dyDescent="0.15">
      <c r="A245" s="49">
        <v>14</v>
      </c>
      <c r="K245" s="59" t="str">
        <f t="shared" ref="K245:P245" si="102">IF($A245 &lt;= K$34, ($B$10*L244+$B$11*L245)/EXP($B$6 * $B$3/$B$5),"")</f>
        <v/>
      </c>
      <c r="L245" s="59" t="str">
        <f t="shared" si="102"/>
        <v/>
      </c>
      <c r="M245" s="59" t="str">
        <f t="shared" si="102"/>
        <v/>
      </c>
      <c r="N245" s="59" t="str">
        <f t="shared" si="102"/>
        <v/>
      </c>
      <c r="O245" s="59" t="str">
        <f t="shared" si="102"/>
        <v/>
      </c>
      <c r="P245" s="59">
        <f t="shared" ca="1" si="102"/>
        <v>0</v>
      </c>
      <c r="Q245" s="56">
        <f t="shared" ref="Q245:Q259" ca="1" si="103">MAX(-1*(Q226-$G$3),0)</f>
        <v>0</v>
      </c>
    </row>
    <row r="246" spans="1:17" x14ac:dyDescent="0.15">
      <c r="A246" s="49">
        <v>13</v>
      </c>
      <c r="K246" s="59" t="str">
        <f t="shared" ref="K246:P246" si="104">IF($A246 &lt;= K$34, ($B$10*L245+$B$11*L246)/EXP($B$6 * $B$3/$B$5),"")</f>
        <v/>
      </c>
      <c r="L246" s="59" t="str">
        <f t="shared" si="104"/>
        <v/>
      </c>
      <c r="M246" s="59" t="str">
        <f t="shared" si="104"/>
        <v/>
      </c>
      <c r="N246" s="59" t="str">
        <f t="shared" si="104"/>
        <v/>
      </c>
      <c r="O246" s="59">
        <f t="shared" ca="1" si="104"/>
        <v>0</v>
      </c>
      <c r="P246" s="59">
        <f t="shared" ca="1" si="104"/>
        <v>0</v>
      </c>
      <c r="Q246" s="56">
        <f t="shared" ca="1" si="103"/>
        <v>0</v>
      </c>
    </row>
    <row r="247" spans="1:17" x14ac:dyDescent="0.15">
      <c r="A247" s="49">
        <v>12</v>
      </c>
      <c r="K247" s="59" t="str">
        <f t="shared" ref="K247:P247" si="105">IF($A247 &lt;= K$34, ($B$10*L246+$B$11*L247)/EXP($B$6 * $B$3/$B$5),"")</f>
        <v/>
      </c>
      <c r="L247" s="59" t="str">
        <f t="shared" si="105"/>
        <v/>
      </c>
      <c r="M247" s="59" t="str">
        <f t="shared" si="105"/>
        <v/>
      </c>
      <c r="N247" s="59">
        <f t="shared" ca="1" si="105"/>
        <v>0</v>
      </c>
      <c r="O247" s="59">
        <f t="shared" ca="1" si="105"/>
        <v>0</v>
      </c>
      <c r="P247" s="59">
        <f t="shared" ca="1" si="105"/>
        <v>0</v>
      </c>
      <c r="Q247" s="56">
        <f t="shared" ca="1" si="103"/>
        <v>0</v>
      </c>
    </row>
    <row r="248" spans="1:17" x14ac:dyDescent="0.15">
      <c r="A248" s="49">
        <v>11</v>
      </c>
      <c r="K248" s="59" t="str">
        <f t="shared" ref="K248:P248" si="106">IF($A248 &lt;= K$34, ($B$10*L247+$B$11*L248)/EXP($B$6 * $B$3/$B$5),"")</f>
        <v/>
      </c>
      <c r="L248" s="59" t="str">
        <f t="shared" si="106"/>
        <v/>
      </c>
      <c r="M248" s="59">
        <f t="shared" ca="1" si="106"/>
        <v>0</v>
      </c>
      <c r="N248" s="59">
        <f t="shared" ca="1" si="106"/>
        <v>0</v>
      </c>
      <c r="O248" s="59">
        <f t="shared" ca="1" si="106"/>
        <v>0</v>
      </c>
      <c r="P248" s="59">
        <f t="shared" ca="1" si="106"/>
        <v>0</v>
      </c>
      <c r="Q248" s="56">
        <f t="shared" ca="1" si="103"/>
        <v>0</v>
      </c>
    </row>
    <row r="249" spans="1:17" x14ac:dyDescent="0.15">
      <c r="A249" s="49">
        <v>10</v>
      </c>
      <c r="B249" s="59" t="str">
        <f t="shared" ref="B249:K249" si="107">IF($A249 &lt;= B$34, ($B$10*C243+$B$11*C249)/EXP($B$6 * $B$3/$B$5),"")</f>
        <v/>
      </c>
      <c r="C249" s="59" t="str">
        <f t="shared" si="107"/>
        <v/>
      </c>
      <c r="D249" s="59" t="str">
        <f t="shared" si="107"/>
        <v/>
      </c>
      <c r="E249" s="59" t="str">
        <f t="shared" si="107"/>
        <v/>
      </c>
      <c r="F249" s="59" t="str">
        <f t="shared" si="107"/>
        <v/>
      </c>
      <c r="G249" s="59" t="str">
        <f t="shared" si="107"/>
        <v/>
      </c>
      <c r="H249" s="59" t="str">
        <f t="shared" si="107"/>
        <v/>
      </c>
      <c r="I249" s="59" t="str">
        <f t="shared" si="107"/>
        <v/>
      </c>
      <c r="J249" s="59" t="str">
        <f t="shared" si="107"/>
        <v/>
      </c>
      <c r="K249" s="59" t="str">
        <f t="shared" ref="K249:P249" si="108">IF($A249 &lt;= K$34, ($B$10*L248+$B$11*L249)/EXP($B$6 * $B$3/$B$5),"")</f>
        <v/>
      </c>
      <c r="L249" s="59">
        <f t="shared" ca="1" si="108"/>
        <v>0</v>
      </c>
      <c r="M249" s="59">
        <f t="shared" ca="1" si="108"/>
        <v>0</v>
      </c>
      <c r="N249" s="59">
        <f t="shared" ca="1" si="108"/>
        <v>0</v>
      </c>
      <c r="O249" s="59">
        <f t="shared" ca="1" si="108"/>
        <v>0</v>
      </c>
      <c r="P249" s="59">
        <f t="shared" ca="1" si="108"/>
        <v>0</v>
      </c>
      <c r="Q249" s="56">
        <f t="shared" ca="1" si="103"/>
        <v>0</v>
      </c>
    </row>
    <row r="250" spans="1:17" x14ac:dyDescent="0.15">
      <c r="A250" s="49">
        <v>9</v>
      </c>
      <c r="B250" s="59" t="str">
        <f t="shared" ref="B250:P250" si="109">IF($A250 &lt;= B$34, ($B$10*C249+$B$11*C250)/EXP($B$6 * $B$3/$B$5),"")</f>
        <v/>
      </c>
      <c r="C250" s="59" t="str">
        <f t="shared" si="109"/>
        <v/>
      </c>
      <c r="D250" s="59" t="str">
        <f t="shared" si="109"/>
        <v/>
      </c>
      <c r="E250" s="59" t="str">
        <f t="shared" si="109"/>
        <v/>
      </c>
      <c r="F250" s="59" t="str">
        <f t="shared" si="109"/>
        <v/>
      </c>
      <c r="G250" s="59" t="str">
        <f t="shared" si="109"/>
        <v/>
      </c>
      <c r="H250" s="59" t="str">
        <f t="shared" si="109"/>
        <v/>
      </c>
      <c r="I250" s="59" t="str">
        <f t="shared" si="109"/>
        <v/>
      </c>
      <c r="J250" s="59" t="str">
        <f t="shared" si="109"/>
        <v/>
      </c>
      <c r="K250" s="59">
        <f t="shared" ca="1" si="109"/>
        <v>0</v>
      </c>
      <c r="L250" s="59">
        <f t="shared" ca="1" si="109"/>
        <v>0</v>
      </c>
      <c r="M250" s="59">
        <f t="shared" ca="1" si="109"/>
        <v>0</v>
      </c>
      <c r="N250" s="59">
        <f t="shared" ca="1" si="109"/>
        <v>0</v>
      </c>
      <c r="O250" s="59">
        <f t="shared" ca="1" si="109"/>
        <v>0</v>
      </c>
      <c r="P250" s="59">
        <f t="shared" ca="1" si="109"/>
        <v>0</v>
      </c>
      <c r="Q250" s="56">
        <f t="shared" ca="1" si="103"/>
        <v>0</v>
      </c>
    </row>
    <row r="251" spans="1:17" x14ac:dyDescent="0.15">
      <c r="A251" s="49">
        <v>8</v>
      </c>
      <c r="B251" s="59" t="str">
        <f t="shared" ref="B251:P251" si="110">IF($A251 &lt;= B$34, ($B$10*C250+$B$11*C251)/EXP($B$6 * $B$3/$B$5),"")</f>
        <v/>
      </c>
      <c r="C251" s="59" t="str">
        <f t="shared" si="110"/>
        <v/>
      </c>
      <c r="D251" s="59" t="str">
        <f t="shared" si="110"/>
        <v/>
      </c>
      <c r="E251" s="59" t="str">
        <f t="shared" si="110"/>
        <v/>
      </c>
      <c r="F251" s="59" t="str">
        <f t="shared" si="110"/>
        <v/>
      </c>
      <c r="G251" s="59" t="str">
        <f t="shared" si="110"/>
        <v/>
      </c>
      <c r="H251" s="59" t="str">
        <f t="shared" si="110"/>
        <v/>
      </c>
      <c r="I251" s="59" t="str">
        <f t="shared" si="110"/>
        <v/>
      </c>
      <c r="J251" s="59">
        <f t="shared" ca="1" si="110"/>
        <v>5.2365869727484728E-2</v>
      </c>
      <c r="K251" s="59">
        <f t="shared" ca="1" si="110"/>
        <v>0.10321228922823039</v>
      </c>
      <c r="L251" s="59">
        <f t="shared" ca="1" si="110"/>
        <v>0.20342976643316729</v>
      </c>
      <c r="M251" s="59">
        <f t="shared" ca="1" si="110"/>
        <v>0.40095680640841586</v>
      </c>
      <c r="N251" s="59">
        <f t="shared" ca="1" si="110"/>
        <v>0.79027943365432896</v>
      </c>
      <c r="O251" s="59">
        <f t="shared" ca="1" si="110"/>
        <v>1.5576280868040606</v>
      </c>
      <c r="P251" s="59">
        <f t="shared" ca="1" si="110"/>
        <v>3.070059973067842</v>
      </c>
      <c r="Q251" s="56">
        <f t="shared" ca="1" si="103"/>
        <v>6.0510389598662613</v>
      </c>
    </row>
    <row r="252" spans="1:17" x14ac:dyDescent="0.15">
      <c r="A252" s="49">
        <v>7</v>
      </c>
      <c r="B252" s="59" t="str">
        <f t="shared" ref="B252:P252" si="111">IF($A252 &lt;= B$34, ($B$10*C251+$B$11*C252)/EXP($B$6 * $B$3/$B$5),"")</f>
        <v/>
      </c>
      <c r="C252" s="59" t="str">
        <f t="shared" si="111"/>
        <v/>
      </c>
      <c r="D252" s="59" t="str">
        <f t="shared" si="111"/>
        <v/>
      </c>
      <c r="E252" s="59" t="str">
        <f t="shared" si="111"/>
        <v/>
      </c>
      <c r="F252" s="59" t="str">
        <f t="shared" si="111"/>
        <v/>
      </c>
      <c r="G252" s="59" t="str">
        <f t="shared" si="111"/>
        <v/>
      </c>
      <c r="H252" s="59" t="str">
        <f t="shared" si="111"/>
        <v/>
      </c>
      <c r="I252" s="59">
        <f t="shared" ca="1" si="111"/>
        <v>0.26682744956029508</v>
      </c>
      <c r="J252" s="59">
        <f t="shared" ca="1" si="111"/>
        <v>0.47510060174752389</v>
      </c>
      <c r="K252" s="59">
        <f t="shared" ca="1" si="111"/>
        <v>0.83626598633862426</v>
      </c>
      <c r="L252" s="59">
        <f t="shared" ca="1" si="111"/>
        <v>1.4508734344918943</v>
      </c>
      <c r="M252" s="59">
        <f t="shared" ca="1" si="111"/>
        <v>2.4705890211519717</v>
      </c>
      <c r="N252" s="59">
        <f t="shared" ca="1" si="111"/>
        <v>4.1026617994835286</v>
      </c>
      <c r="O252" s="59">
        <f t="shared" ca="1" si="111"/>
        <v>6.5748718922128528</v>
      </c>
      <c r="P252" s="59">
        <f t="shared" ca="1" si="111"/>
        <v>9.9800047216204444</v>
      </c>
      <c r="Q252" s="56">
        <f t="shared" ca="1" si="103"/>
        <v>13.798942289196262</v>
      </c>
    </row>
    <row r="253" spans="1:17" x14ac:dyDescent="0.15">
      <c r="A253" s="49">
        <v>6</v>
      </c>
      <c r="B253" s="59" t="str">
        <f t="shared" ref="B253:P253" si="112">IF($A253 &lt;= B$34, ($B$10*C252+$B$11*C253)/EXP($B$6 * $B$3/$B$5),"")</f>
        <v/>
      </c>
      <c r="C253" s="59" t="str">
        <f t="shared" si="112"/>
        <v/>
      </c>
      <c r="D253" s="59" t="str">
        <f t="shared" si="112"/>
        <v/>
      </c>
      <c r="E253" s="59" t="str">
        <f t="shared" si="112"/>
        <v/>
      </c>
      <c r="F253" s="59" t="str">
        <f t="shared" si="112"/>
        <v/>
      </c>
      <c r="G253" s="59" t="str">
        <f t="shared" si="112"/>
        <v/>
      </c>
      <c r="H253" s="59">
        <f t="shared" ca="1" si="112"/>
        <v>0.77205976634821527</v>
      </c>
      <c r="I253" s="59">
        <f t="shared" ca="1" si="112"/>
        <v>1.262807516475253</v>
      </c>
      <c r="J253" s="59">
        <f t="shared" ca="1" si="112"/>
        <v>2.0279703815508769</v>
      </c>
      <c r="K253" s="59">
        <f t="shared" ca="1" si="112"/>
        <v>3.1856455638082677</v>
      </c>
      <c r="L253" s="59">
        <f t="shared" ca="1" si="112"/>
        <v>4.8710345310082248</v>
      </c>
      <c r="M253" s="59">
        <f t="shared" ca="1" si="112"/>
        <v>7.2034515086407973</v>
      </c>
      <c r="N253" s="59">
        <f t="shared" ca="1" si="112"/>
        <v>10.216963553921499</v>
      </c>
      <c r="O253" s="59">
        <f t="shared" ca="1" si="112"/>
        <v>13.757695070203686</v>
      </c>
      <c r="P253" s="59">
        <f t="shared" ca="1" si="112"/>
        <v>17.432327517536933</v>
      </c>
      <c r="Q253" s="56">
        <f t="shared" ca="1" si="103"/>
        <v>20.969350611361492</v>
      </c>
    </row>
    <row r="254" spans="1:17" x14ac:dyDescent="0.15">
      <c r="A254" s="49">
        <v>5</v>
      </c>
      <c r="B254" s="59" t="str">
        <f t="shared" ref="B254:P254" si="113">IF($A254 &lt;= B$34, ($B$10*C253+$B$11*C254)/EXP($B$6 * $B$3/$B$5),"")</f>
        <v/>
      </c>
      <c r="C254" s="59" t="str">
        <f t="shared" si="113"/>
        <v/>
      </c>
      <c r="D254" s="59" t="str">
        <f t="shared" si="113"/>
        <v/>
      </c>
      <c r="E254" s="59" t="str">
        <f t="shared" si="113"/>
        <v/>
      </c>
      <c r="F254" s="59" t="str">
        <f t="shared" si="113"/>
        <v/>
      </c>
      <c r="G254" s="59">
        <f t="shared" ca="1" si="113"/>
        <v>1.6717429893533784</v>
      </c>
      <c r="H254" s="59">
        <f t="shared" ca="1" si="113"/>
        <v>2.5458281216166063</v>
      </c>
      <c r="I254" s="59">
        <f t="shared" ca="1" si="113"/>
        <v>3.7924500677091779</v>
      </c>
      <c r="J254" s="59">
        <f t="shared" ca="1" si="113"/>
        <v>5.5070636824854997</v>
      </c>
      <c r="K254" s="59">
        <f t="shared" ca="1" si="113"/>
        <v>7.763216041002992</v>
      </c>
      <c r="L254" s="59">
        <f t="shared" ca="1" si="113"/>
        <v>10.574677603845192</v>
      </c>
      <c r="M254" s="59">
        <f t="shared" ca="1" si="113"/>
        <v>13.852815904651276</v>
      </c>
      <c r="N254" s="59">
        <f t="shared" ca="1" si="113"/>
        <v>17.389881586044122</v>
      </c>
      <c r="O254" s="59">
        <f t="shared" ca="1" si="113"/>
        <v>20.925713654573286</v>
      </c>
      <c r="P254" s="59">
        <f t="shared" ca="1" si="113"/>
        <v>24.329186593335717</v>
      </c>
      <c r="Q254" s="56">
        <f t="shared" ca="1" si="103"/>
        <v>27.605307891822605</v>
      </c>
    </row>
    <row r="255" spans="1:17" x14ac:dyDescent="0.15">
      <c r="A255" s="49">
        <v>4</v>
      </c>
      <c r="B255" s="59" t="str">
        <f t="shared" ref="B255:P255" si="114">IF($A255 &lt;= B$34, ($B$10*C254+$B$11*C255)/EXP($B$6 * $B$3/$B$5),"")</f>
        <v/>
      </c>
      <c r="C255" s="59" t="str">
        <f t="shared" si="114"/>
        <v/>
      </c>
      <c r="D255" s="59" t="str">
        <f t="shared" si="114"/>
        <v/>
      </c>
      <c r="E255" s="59" t="str">
        <f t="shared" si="114"/>
        <v/>
      </c>
      <c r="F255" s="59">
        <f t="shared" ca="1" si="114"/>
        <v>3.0188932797708858</v>
      </c>
      <c r="G255" s="59">
        <f t="shared" ca="1" si="114"/>
        <v>4.3280527452037569</v>
      </c>
      <c r="H255" s="59">
        <f t="shared" ca="1" si="114"/>
        <v>6.0602365826432525</v>
      </c>
      <c r="I255" s="59">
        <f t="shared" ca="1" si="114"/>
        <v>8.2647121151118057</v>
      </c>
      <c r="J255" s="59">
        <f t="shared" ca="1" si="114"/>
        <v>10.945962015998665</v>
      </c>
      <c r="K255" s="59">
        <f t="shared" ca="1" si="114"/>
        <v>14.041456844522878</v>
      </c>
      <c r="L255" s="59">
        <f t="shared" ca="1" si="114"/>
        <v>17.41459022522201</v>
      </c>
      <c r="M255" s="59">
        <f t="shared" ca="1" si="114"/>
        <v>20.88211566509646</v>
      </c>
      <c r="N255" s="59">
        <f t="shared" ca="1" si="114"/>
        <v>24.284442091933901</v>
      </c>
      <c r="O255" s="59">
        <f t="shared" ca="1" si="114"/>
        <v>27.559459317897581</v>
      </c>
      <c r="P255" s="59">
        <f t="shared" ca="1" si="114"/>
        <v>30.711983798187369</v>
      </c>
      <c r="Q255" s="56">
        <f t="shared" ca="1" si="103"/>
        <v>33.746649786116222</v>
      </c>
    </row>
    <row r="256" spans="1:17" x14ac:dyDescent="0.15">
      <c r="A256" s="49">
        <v>3</v>
      </c>
      <c r="B256" s="59" t="str">
        <f t="shared" ref="B256:P256" si="115">IF($A256 &lt;= B$34, ($B$10*C255+$B$11*C256)/EXP($B$6 * $B$3/$B$5),"")</f>
        <v/>
      </c>
      <c r="C256" s="59" t="str">
        <f t="shared" si="115"/>
        <v/>
      </c>
      <c r="D256" s="59" t="str">
        <f t="shared" si="115"/>
        <v/>
      </c>
      <c r="E256" s="59">
        <f t="shared" ca="1" si="115"/>
        <v>4.8121274205451217</v>
      </c>
      <c r="F256" s="59">
        <f t="shared" ca="1" si="115"/>
        <v>6.5553120720537876</v>
      </c>
      <c r="G256" s="59">
        <f t="shared" ca="1" si="115"/>
        <v>8.7207881844459756</v>
      </c>
      <c r="H256" s="59">
        <f t="shared" ca="1" si="115"/>
        <v>11.308121991212674</v>
      </c>
      <c r="I256" s="59">
        <f t="shared" ca="1" si="115"/>
        <v>14.268653128142217</v>
      </c>
      <c r="J256" s="59">
        <f t="shared" ca="1" si="115"/>
        <v>17.50212313858535</v>
      </c>
      <c r="K256" s="59">
        <f t="shared" ca="1" si="115"/>
        <v>20.871598222036425</v>
      </c>
      <c r="L256" s="59">
        <f t="shared" ca="1" si="115"/>
        <v>24.239736918823482</v>
      </c>
      <c r="M256" s="59">
        <f t="shared" ca="1" si="115"/>
        <v>27.513650448366793</v>
      </c>
      <c r="N256" s="59">
        <f t="shared" ca="1" si="115"/>
        <v>30.665112052277721</v>
      </c>
      <c r="O256" s="59">
        <f t="shared" ca="1" si="115"/>
        <v>33.698754439374191</v>
      </c>
      <c r="P256" s="59">
        <f t="shared" ca="1" si="115"/>
        <v>36.619035067542711</v>
      </c>
      <c r="Q256" s="56">
        <f t="shared" ca="1" si="103"/>
        <v>39.43024277331898</v>
      </c>
    </row>
    <row r="257" spans="1:17" x14ac:dyDescent="0.15">
      <c r="A257" s="49">
        <v>2</v>
      </c>
      <c r="B257" s="59" t="str">
        <f t="shared" ref="B257:P257" si="116">IF($A257 &lt;= B$34, ($B$10*C256+$B$11*C257)/EXP($B$6 * $B$3/$B$5),"")</f>
        <v/>
      </c>
      <c r="C257" s="59" t="str">
        <f t="shared" si="116"/>
        <v/>
      </c>
      <c r="D257" s="59">
        <f t="shared" ca="1" si="116"/>
        <v>7.0067416869092636</v>
      </c>
      <c r="E257" s="59">
        <f t="shared" ca="1" si="116"/>
        <v>9.140837950704876</v>
      </c>
      <c r="F257" s="59">
        <f t="shared" ca="1" si="116"/>
        <v>11.655648191529362</v>
      </c>
      <c r="G257" s="59">
        <f t="shared" ca="1" si="116"/>
        <v>14.511078736503629</v>
      </c>
      <c r="H257" s="59">
        <f t="shared" ca="1" si="116"/>
        <v>17.628526494915832</v>
      </c>
      <c r="I257" s="59">
        <f t="shared" ca="1" si="116"/>
        <v>20.900282504664442</v>
      </c>
      <c r="J257" s="59">
        <f t="shared" ca="1" si="116"/>
        <v>24.211337624074901</v>
      </c>
      <c r="K257" s="59">
        <f t="shared" ca="1" si="116"/>
        <v>27.467881253720357</v>
      </c>
      <c r="L257" s="59">
        <f t="shared" ca="1" si="116"/>
        <v>30.618280343622793</v>
      </c>
      <c r="M257" s="59">
        <f t="shared" ca="1" si="116"/>
        <v>33.650899479170292</v>
      </c>
      <c r="N257" s="59">
        <f t="shared" ca="1" si="116"/>
        <v>36.570194632676326</v>
      </c>
      <c r="O257" s="59">
        <f t="shared" ca="1" si="116"/>
        <v>39.380453211301287</v>
      </c>
      <c r="P257" s="59">
        <f t="shared" ca="1" si="116"/>
        <v>42.08580043371628</v>
      </c>
      <c r="Q257" s="56">
        <f t="shared" ca="1" si="103"/>
        <v>44.690205465543585</v>
      </c>
    </row>
    <row r="258" spans="1:17" x14ac:dyDescent="0.15">
      <c r="A258" s="49">
        <v>1</v>
      </c>
      <c r="B258" s="59" t="str">
        <f t="shared" ref="B258:P258" si="117">IF($A258 &lt;= B$34, ($B$10*C257+$B$11*C258)/EXP($B$6 * $B$3/$B$5),"")</f>
        <v/>
      </c>
      <c r="C258" s="59">
        <f t="shared" ca="1" si="117"/>
        <v>9.5315808580178079</v>
      </c>
      <c r="D258" s="59">
        <f t="shared" ca="1" si="117"/>
        <v>11.98776181671578</v>
      </c>
      <c r="E258" s="59">
        <f t="shared" ca="1" si="117"/>
        <v>14.758083703759013</v>
      </c>
      <c r="F258" s="59">
        <f t="shared" ca="1" si="117"/>
        <v>17.778155242142741</v>
      </c>
      <c r="G258" s="59">
        <f t="shared" ca="1" si="117"/>
        <v>20.959966234076798</v>
      </c>
      <c r="H258" s="59">
        <f t="shared" ca="1" si="117"/>
        <v>24.206320698493752</v>
      </c>
      <c r="I258" s="59">
        <f t="shared" ca="1" si="117"/>
        <v>27.430159837851342</v>
      </c>
      <c r="J258" s="59">
        <f t="shared" ca="1" si="117"/>
        <v>30.5714886426072</v>
      </c>
      <c r="K258" s="59">
        <f t="shared" ca="1" si="117"/>
        <v>33.603084875767316</v>
      </c>
      <c r="L258" s="59">
        <f t="shared" ca="1" si="117"/>
        <v>36.521394891184968</v>
      </c>
      <c r="M258" s="59">
        <f t="shared" ca="1" si="117"/>
        <v>39.330704667121616</v>
      </c>
      <c r="N258" s="59">
        <f t="shared" ca="1" si="117"/>
        <v>42.035138047403287</v>
      </c>
      <c r="O258" s="59">
        <f t="shared" ca="1" si="117"/>
        <v>44.63866287481617</v>
      </c>
      <c r="P258" s="59">
        <f t="shared" ca="1" si="117"/>
        <v>47.145096892481654</v>
      </c>
      <c r="Q258" s="56">
        <f t="shared" ca="1" si="103"/>
        <v>49.558113421987763</v>
      </c>
    </row>
    <row r="259" spans="1:17" x14ac:dyDescent="0.15">
      <c r="A259" s="49">
        <v>0</v>
      </c>
      <c r="B259" s="59">
        <f t="shared" ref="B259:P259" ca="1" si="118">IF($A259 &lt;= B$34, ($B$10*C258+$B$11*C259)/EXP($B$6 * $B$3/$B$5),"")</f>
        <v>12.30513760441559</v>
      </c>
      <c r="C259" s="59">
        <f t="shared" ca="1" si="118"/>
        <v>15.004477868421215</v>
      </c>
      <c r="D259" s="59">
        <f t="shared" ca="1" si="118"/>
        <v>17.941535346181716</v>
      </c>
      <c r="E259" s="59">
        <f t="shared" ca="1" si="118"/>
        <v>21.042310191263944</v>
      </c>
      <c r="F259" s="59">
        <f t="shared" ca="1" si="118"/>
        <v>24.223430492776853</v>
      </c>
      <c r="G259" s="59">
        <f t="shared" ca="1" si="118"/>
        <v>27.405970229411974</v>
      </c>
      <c r="H259" s="59">
        <f t="shared" ca="1" si="118"/>
        <v>30.528679371118884</v>
      </c>
      <c r="I259" s="59">
        <f t="shared" ca="1" si="118"/>
        <v>33.555310599448781</v>
      </c>
      <c r="J259" s="59">
        <f t="shared" ca="1" si="118"/>
        <v>36.472635813234547</v>
      </c>
      <c r="K259" s="59">
        <f t="shared" ca="1" si="118"/>
        <v>39.280997110832331</v>
      </c>
      <c r="L259" s="59">
        <f t="shared" ca="1" si="118"/>
        <v>41.984516961681251</v>
      </c>
      <c r="M259" s="59">
        <f t="shared" ca="1" si="118"/>
        <v>44.587161886172289</v>
      </c>
      <c r="N259" s="59">
        <f t="shared" ca="1" si="118"/>
        <v>47.092748355056521</v>
      </c>
      <c r="O259" s="59">
        <f t="shared" ca="1" si="118"/>
        <v>49.504948465684151</v>
      </c>
      <c r="P259" s="59">
        <f t="shared" ca="1" si="118"/>
        <v>51.827295403516658</v>
      </c>
      <c r="Q259" s="56">
        <f t="shared" ca="1" si="103"/>
        <v>54.063188697035102</v>
      </c>
    </row>
    <row r="261" spans="1:17" x14ac:dyDescent="0.15">
      <c r="A261" s="58" t="s">
        <v>39</v>
      </c>
      <c r="O261" s="54"/>
      <c r="P261" s="54"/>
      <c r="Q261" s="54"/>
    </row>
    <row r="262" spans="1:17" x14ac:dyDescent="0.15">
      <c r="B262" s="54">
        <v>0</v>
      </c>
      <c r="C262" s="54">
        <v>1</v>
      </c>
      <c r="D262" s="54">
        <v>2</v>
      </c>
      <c r="E262" s="54">
        <v>3</v>
      </c>
      <c r="F262" s="54">
        <v>4</v>
      </c>
      <c r="G262" s="54">
        <v>5</v>
      </c>
      <c r="H262" s="54">
        <v>6</v>
      </c>
      <c r="I262" s="54">
        <v>7</v>
      </c>
      <c r="J262" s="54">
        <v>8</v>
      </c>
      <c r="K262" s="54">
        <v>9</v>
      </c>
      <c r="L262" s="49">
        <v>10</v>
      </c>
      <c r="O262" s="54"/>
      <c r="P262" s="60"/>
      <c r="Q262" s="60"/>
    </row>
    <row r="263" spans="1:17" x14ac:dyDescent="0.15">
      <c r="A263" s="49">
        <v>15</v>
      </c>
      <c r="K263" s="59" t="str">
        <f t="shared" ref="K263:P263" si="119">IF($A263 &lt;= K$34, ($B$10*L262+$B$11*L263)/EXP($B$6 * $B$3/$B$5),"")</f>
        <v/>
      </c>
      <c r="L263" s="59" t="str">
        <f t="shared" si="119"/>
        <v/>
      </c>
      <c r="M263" s="59"/>
      <c r="N263" s="59"/>
      <c r="O263" s="59"/>
      <c r="P263" s="59"/>
      <c r="Q263" s="56"/>
    </row>
    <row r="264" spans="1:17" x14ac:dyDescent="0.15">
      <c r="A264" s="49">
        <v>14</v>
      </c>
      <c r="K264" s="59" t="str">
        <f t="shared" ref="K264:P264" si="120">IF($A264 &lt;= K$34, ($B$10*L263+$B$11*L264)/EXP($B$6 * $B$3/$B$5),"")</f>
        <v/>
      </c>
      <c r="L264" s="59" t="str">
        <f t="shared" si="120"/>
        <v/>
      </c>
      <c r="M264" s="59"/>
      <c r="N264" s="59"/>
      <c r="O264" s="59"/>
      <c r="P264" s="59"/>
      <c r="Q264" s="56"/>
    </row>
    <row r="265" spans="1:17" x14ac:dyDescent="0.15">
      <c r="A265" s="49">
        <v>13</v>
      </c>
      <c r="K265" s="59" t="str">
        <f t="shared" ref="K265:P265" si="121">IF($A265 &lt;= K$34, ($B$10*L264+$B$11*L265)/EXP($B$6 * $B$3/$B$5),"")</f>
        <v/>
      </c>
      <c r="L265" s="59" t="str">
        <f t="shared" si="121"/>
        <v/>
      </c>
      <c r="M265" s="59"/>
      <c r="N265" s="59"/>
      <c r="O265" s="59"/>
      <c r="P265" s="59"/>
      <c r="Q265" s="56"/>
    </row>
    <row r="266" spans="1:17" x14ac:dyDescent="0.15">
      <c r="A266" s="49">
        <v>12</v>
      </c>
      <c r="K266" s="59" t="str">
        <f t="shared" ref="K266:P266" si="122">IF($A266 &lt;= K$34, ($B$10*L265+$B$11*L266)/EXP($B$6 * $B$3/$B$5),"")</f>
        <v/>
      </c>
      <c r="L266" s="59" t="str">
        <f t="shared" si="122"/>
        <v/>
      </c>
      <c r="M266" s="59"/>
      <c r="N266" s="59"/>
      <c r="O266" s="59"/>
      <c r="P266" s="59"/>
      <c r="Q266" s="56"/>
    </row>
    <row r="267" spans="1:17" x14ac:dyDescent="0.15">
      <c r="A267" s="49">
        <v>11</v>
      </c>
      <c r="K267" s="59" t="str">
        <f t="shared" ref="K267:P267" si="123">IF($A267 &lt;= K$34, ($B$10*L266+$B$11*L267)/EXP($B$6 * $B$3/$B$5),"")</f>
        <v/>
      </c>
      <c r="L267" s="59" t="str">
        <f t="shared" si="123"/>
        <v/>
      </c>
      <c r="M267" s="59"/>
      <c r="N267" s="59"/>
      <c r="O267" s="59"/>
      <c r="P267" s="59"/>
      <c r="Q267" s="56"/>
    </row>
    <row r="268" spans="1:17" x14ac:dyDescent="0.15">
      <c r="A268" s="49">
        <v>10</v>
      </c>
      <c r="B268" s="59" t="str">
        <f t="shared" ref="B268:K268" si="124">IF($A268 &lt;= B$34, ($B$10*C262+$B$11*C268)/EXP($B$6 * $B$3/$B$5),"")</f>
        <v/>
      </c>
      <c r="C268" s="59" t="str">
        <f t="shared" si="124"/>
        <v/>
      </c>
      <c r="D268" s="59" t="str">
        <f t="shared" si="124"/>
        <v/>
      </c>
      <c r="E268" s="59" t="str">
        <f t="shared" si="124"/>
        <v/>
      </c>
      <c r="F268" s="59" t="str">
        <f t="shared" si="124"/>
        <v/>
      </c>
      <c r="G268" s="59" t="str">
        <f t="shared" si="124"/>
        <v/>
      </c>
      <c r="H268" s="59" t="str">
        <f t="shared" si="124"/>
        <v/>
      </c>
      <c r="I268" s="59" t="str">
        <f t="shared" si="124"/>
        <v/>
      </c>
      <c r="J268" s="59" t="str">
        <f t="shared" si="124"/>
        <v/>
      </c>
      <c r="K268" s="59" t="str">
        <f t="shared" ref="K268:P268" si="125">IF($A268 &lt;= K$34, ($B$10*L267+$B$11*L268)/EXP($B$6 * $B$3/$B$5),"")</f>
        <v/>
      </c>
      <c r="L268" s="59">
        <f ca="1">MAX(L249,L211)</f>
        <v>37.36006925527024</v>
      </c>
      <c r="M268" s="59"/>
      <c r="N268" s="59"/>
      <c r="O268" s="59"/>
      <c r="P268" s="59"/>
      <c r="Q268" s="56"/>
    </row>
    <row r="269" spans="1:17" x14ac:dyDescent="0.15">
      <c r="A269" s="49">
        <v>9</v>
      </c>
      <c r="B269" s="59" t="str">
        <f t="shared" ref="B269:P269" si="126">IF($A269 &lt;= B$34, ($B$10*C268+$B$11*C269)/EXP($B$6 * $B$3/$B$5),"")</f>
        <v/>
      </c>
      <c r="C269" s="59" t="str">
        <f t="shared" si="126"/>
        <v/>
      </c>
      <c r="D269" s="59" t="str">
        <f t="shared" si="126"/>
        <v/>
      </c>
      <c r="E269" s="59" t="str">
        <f t="shared" si="126"/>
        <v/>
      </c>
      <c r="F269" s="59" t="str">
        <f t="shared" si="126"/>
        <v/>
      </c>
      <c r="G269" s="59" t="str">
        <f t="shared" si="126"/>
        <v/>
      </c>
      <c r="H269" s="59" t="str">
        <f t="shared" si="126"/>
        <v/>
      </c>
      <c r="I269" s="59" t="str">
        <f t="shared" si="126"/>
        <v/>
      </c>
      <c r="J269" s="59" t="str">
        <f t="shared" si="126"/>
        <v/>
      </c>
      <c r="K269" s="59">
        <f t="shared" ca="1" si="126"/>
        <v>31.781908045720105</v>
      </c>
      <c r="L269" s="59">
        <f t="shared" ref="L269:L278" ca="1" si="127">MAX(L250,L212)</f>
        <v>26.390144266223512</v>
      </c>
      <c r="M269" s="59"/>
      <c r="N269" s="59"/>
      <c r="O269" s="59"/>
      <c r="P269" s="59"/>
      <c r="Q269" s="56"/>
    </row>
    <row r="270" spans="1:17" x14ac:dyDescent="0.15">
      <c r="A270" s="49">
        <v>8</v>
      </c>
      <c r="B270" s="59" t="str">
        <f t="shared" ref="B270:P270" si="128">IF($A270 &lt;= B$34, ($B$10*C269+$B$11*C270)/EXP($B$6 * $B$3/$B$5),"")</f>
        <v/>
      </c>
      <c r="C270" s="59" t="str">
        <f t="shared" si="128"/>
        <v/>
      </c>
      <c r="D270" s="59" t="str">
        <f t="shared" si="128"/>
        <v/>
      </c>
      <c r="E270" s="59" t="str">
        <f t="shared" si="128"/>
        <v/>
      </c>
      <c r="F270" s="59" t="str">
        <f t="shared" si="128"/>
        <v/>
      </c>
      <c r="G270" s="59" t="str">
        <f t="shared" si="128"/>
        <v/>
      </c>
      <c r="H270" s="59" t="str">
        <f t="shared" si="128"/>
        <v/>
      </c>
      <c r="I270" s="59" t="str">
        <f t="shared" si="128"/>
        <v/>
      </c>
      <c r="J270" s="59">
        <f t="shared" ca="1" si="128"/>
        <v>26.470302195546125</v>
      </c>
      <c r="K270" s="59">
        <f t="shared" ca="1" si="128"/>
        <v>21.333695182818008</v>
      </c>
      <c r="L270" s="59">
        <f t="shared" ca="1" si="127"/>
        <v>16.441299527988726</v>
      </c>
      <c r="M270" s="59"/>
      <c r="N270" s="59"/>
      <c r="O270" s="59"/>
      <c r="P270" s="59"/>
      <c r="Q270" s="56"/>
    </row>
    <row r="271" spans="1:17" x14ac:dyDescent="0.15">
      <c r="A271" s="49">
        <v>7</v>
      </c>
      <c r="B271" s="59" t="str">
        <f t="shared" ref="B271:P271" si="129">IF($A271 &lt;= B$34, ($B$10*C270+$B$11*C271)/EXP($B$6 * $B$3/$B$5),"")</f>
        <v/>
      </c>
      <c r="C271" s="59" t="str">
        <f t="shared" si="129"/>
        <v/>
      </c>
      <c r="D271" s="59" t="str">
        <f t="shared" si="129"/>
        <v/>
      </c>
      <c r="E271" s="59" t="str">
        <f t="shared" si="129"/>
        <v/>
      </c>
      <c r="F271" s="59" t="str">
        <f t="shared" si="129"/>
        <v/>
      </c>
      <c r="G271" s="59" t="str">
        <f t="shared" si="129"/>
        <v/>
      </c>
      <c r="H271" s="59" t="str">
        <f t="shared" si="129"/>
        <v/>
      </c>
      <c r="I271" s="59">
        <f t="shared" ca="1" si="129"/>
        <v>21.526809809516344</v>
      </c>
      <c r="J271" s="59">
        <f t="shared" ca="1" si="129"/>
        <v>16.74414595044718</v>
      </c>
      <c r="K271" s="59">
        <f t="shared" ca="1" si="129"/>
        <v>12.301781055003142</v>
      </c>
      <c r="L271" s="59">
        <f t="shared" ca="1" si="127"/>
        <v>8.2931750658147259</v>
      </c>
      <c r="M271" s="59"/>
      <c r="N271" s="59"/>
      <c r="O271" s="59"/>
      <c r="P271" s="59"/>
      <c r="Q271" s="56"/>
    </row>
    <row r="272" spans="1:17" x14ac:dyDescent="0.15">
      <c r="A272" s="49">
        <v>6</v>
      </c>
      <c r="B272" s="59" t="str">
        <f t="shared" ref="B272:P272" si="130">IF($A272 &lt;= B$34, ($B$10*C271+$B$11*C272)/EXP($B$6 * $B$3/$B$5),"")</f>
        <v/>
      </c>
      <c r="C272" s="59" t="str">
        <f t="shared" si="130"/>
        <v/>
      </c>
      <c r="D272" s="59" t="str">
        <f t="shared" si="130"/>
        <v/>
      </c>
      <c r="E272" s="59" t="str">
        <f t="shared" si="130"/>
        <v/>
      </c>
      <c r="F272" s="59" t="str">
        <f t="shared" si="130"/>
        <v/>
      </c>
      <c r="G272" s="59" t="str">
        <f t="shared" si="130"/>
        <v/>
      </c>
      <c r="H272" s="59">
        <f t="shared" ca="1" si="130"/>
        <v>17.195027755180551</v>
      </c>
      <c r="I272" s="59">
        <f t="shared" ca="1" si="130"/>
        <v>13.003077508880516</v>
      </c>
      <c r="J272" s="59">
        <f t="shared" ca="1" si="130"/>
        <v>9.3815590439570666</v>
      </c>
      <c r="K272" s="59">
        <f t="shared" ca="1" si="130"/>
        <v>6.5541511722111956</v>
      </c>
      <c r="L272" s="59">
        <f t="shared" ca="1" si="127"/>
        <v>4.8710345310082248</v>
      </c>
      <c r="M272" s="59"/>
      <c r="N272" s="59"/>
      <c r="O272" s="59"/>
      <c r="P272" s="59"/>
      <c r="Q272" s="56"/>
    </row>
    <row r="273" spans="1:17" x14ac:dyDescent="0.15">
      <c r="A273" s="49">
        <v>5</v>
      </c>
      <c r="B273" s="59" t="str">
        <f t="shared" ref="B273:P273" si="131">IF($A273 &lt;= B$34, ($B$10*C272+$B$11*C273)/EXP($B$6 * $B$3/$B$5),"")</f>
        <v/>
      </c>
      <c r="C273" s="59" t="str">
        <f t="shared" si="131"/>
        <v/>
      </c>
      <c r="D273" s="59" t="str">
        <f t="shared" si="131"/>
        <v/>
      </c>
      <c r="E273" s="59" t="str">
        <f t="shared" si="131"/>
        <v/>
      </c>
      <c r="F273" s="59" t="str">
        <f t="shared" si="131"/>
        <v/>
      </c>
      <c r="G273" s="59">
        <f t="shared" ca="1" si="131"/>
        <v>13.837793576681314</v>
      </c>
      <c r="H273" s="59">
        <f t="shared" ca="1" si="131"/>
        <v>10.58926820165278</v>
      </c>
      <c r="I273" s="59">
        <f t="shared" ca="1" si="131"/>
        <v>8.2540396131498461</v>
      </c>
      <c r="J273" s="59">
        <f t="shared" ca="1" si="131"/>
        <v>7.1653989394256827</v>
      </c>
      <c r="K273" s="59">
        <f t="shared" ca="1" si="131"/>
        <v>7.763216041002992</v>
      </c>
      <c r="L273" s="59">
        <f t="shared" ca="1" si="127"/>
        <v>10.574677603845192</v>
      </c>
      <c r="M273" s="59"/>
      <c r="N273" s="59"/>
      <c r="O273" s="59"/>
      <c r="P273" s="59"/>
      <c r="Q273" s="56"/>
    </row>
    <row r="274" spans="1:17" x14ac:dyDescent="0.15">
      <c r="A274" s="49">
        <v>4</v>
      </c>
      <c r="B274" s="59" t="str">
        <f t="shared" ref="B274:P274" si="132">IF($A274 &lt;= B$34, ($B$10*C273+$B$11*C274)/EXP($B$6 * $B$3/$B$5),"")</f>
        <v/>
      </c>
      <c r="C274" s="59" t="str">
        <f t="shared" si="132"/>
        <v/>
      </c>
      <c r="D274" s="59" t="str">
        <f t="shared" si="132"/>
        <v/>
      </c>
      <c r="E274" s="59" t="str">
        <f t="shared" si="132"/>
        <v/>
      </c>
      <c r="F274" s="59">
        <f t="shared" ca="1" si="132"/>
        <v>11.689404431562158</v>
      </c>
      <c r="G274" s="59">
        <f t="shared" ca="1" si="132"/>
        <v>9.6124428754457387</v>
      </c>
      <c r="H274" s="59">
        <f t="shared" ca="1" si="132"/>
        <v>8.670917086224069</v>
      </c>
      <c r="I274" s="59">
        <f t="shared" ca="1" si="132"/>
        <v>9.0811203815996642</v>
      </c>
      <c r="J274" s="59">
        <f t="shared" ca="1" si="132"/>
        <v>10.945962015998665</v>
      </c>
      <c r="K274" s="59">
        <f t="shared" ca="1" si="132"/>
        <v>14.041456844522878</v>
      </c>
      <c r="L274" s="59">
        <f t="shared" ca="1" si="127"/>
        <v>17.41459022522201</v>
      </c>
      <c r="M274" s="59"/>
      <c r="N274" s="59"/>
      <c r="O274" s="59"/>
      <c r="P274" s="59"/>
      <c r="Q274" s="56"/>
    </row>
    <row r="275" spans="1:17" x14ac:dyDescent="0.15">
      <c r="A275" s="49">
        <v>3</v>
      </c>
      <c r="B275" s="59" t="str">
        <f t="shared" ref="B275:P275" si="133">IF($A275 &lt;= B$34, ($B$10*C274+$B$11*C275)/EXP($B$6 * $B$3/$B$5),"")</f>
        <v/>
      </c>
      <c r="C275" s="59" t="str">
        <f t="shared" si="133"/>
        <v/>
      </c>
      <c r="D275" s="59" t="str">
        <f t="shared" si="133"/>
        <v/>
      </c>
      <c r="E275" s="59">
        <f t="shared" ca="1" si="133"/>
        <v>10.783924576717052</v>
      </c>
      <c r="F275" s="59">
        <f t="shared" ca="1" si="133"/>
        <v>9.912396758900087</v>
      </c>
      <c r="G275" s="59">
        <f t="shared" ca="1" si="133"/>
        <v>10.209961439286895</v>
      </c>
      <c r="H275" s="59">
        <f t="shared" ca="1" si="133"/>
        <v>11.710044615000774</v>
      </c>
      <c r="I275" s="59">
        <f t="shared" ca="1" si="133"/>
        <v>14.268653128142217</v>
      </c>
      <c r="J275" s="59">
        <f t="shared" ca="1" si="133"/>
        <v>17.50212313858535</v>
      </c>
      <c r="K275" s="59">
        <f t="shared" ca="1" si="133"/>
        <v>20.871598222036425</v>
      </c>
      <c r="L275" s="59">
        <f t="shared" ca="1" si="127"/>
        <v>24.239736918823482</v>
      </c>
      <c r="M275" s="59"/>
      <c r="N275" s="59"/>
      <c r="O275" s="59"/>
      <c r="P275" s="59"/>
      <c r="Q275" s="56"/>
    </row>
    <row r="276" spans="1:17" x14ac:dyDescent="0.15">
      <c r="A276" s="49">
        <v>2</v>
      </c>
      <c r="B276" s="59" t="str">
        <f t="shared" ref="B276:P276" si="134">IF($A276 &lt;= B$34, ($B$10*C275+$B$11*C276)/EXP($B$6 * $B$3/$B$5),"")</f>
        <v/>
      </c>
      <c r="C276" s="59" t="str">
        <f t="shared" si="134"/>
        <v/>
      </c>
      <c r="D276" s="59">
        <f t="shared" ca="1" si="134"/>
        <v>10.999774877593467</v>
      </c>
      <c r="E276" s="59">
        <f t="shared" ca="1" si="134"/>
        <v>11.216445857360497</v>
      </c>
      <c r="F276" s="59">
        <f t="shared" ca="1" si="134"/>
        <v>12.489167920011942</v>
      </c>
      <c r="G276" s="59">
        <f t="shared" ca="1" si="134"/>
        <v>14.708947624097886</v>
      </c>
      <c r="H276" s="59">
        <f t="shared" ca="1" si="134"/>
        <v>17.628526494915832</v>
      </c>
      <c r="I276" s="59">
        <f t="shared" ca="1" si="134"/>
        <v>20.900282504664442</v>
      </c>
      <c r="J276" s="59">
        <f t="shared" ca="1" si="134"/>
        <v>24.211337624074901</v>
      </c>
      <c r="K276" s="59">
        <f t="shared" ca="1" si="134"/>
        <v>27.467881253720357</v>
      </c>
      <c r="L276" s="59">
        <f t="shared" ca="1" si="127"/>
        <v>30.618280343622793</v>
      </c>
      <c r="M276" s="59"/>
      <c r="N276" s="59"/>
      <c r="O276" s="59"/>
      <c r="P276" s="59"/>
      <c r="Q276" s="56"/>
    </row>
    <row r="277" spans="1:17" x14ac:dyDescent="0.15">
      <c r="A277" s="49">
        <v>1</v>
      </c>
      <c r="B277" s="59" t="str">
        <f t="shared" ref="B277:P277" si="135">IF($A277 &lt;= B$34, ($B$10*C276+$B$11*C277)/EXP($B$6 * $B$3/$B$5),"")</f>
        <v/>
      </c>
      <c r="C277" s="59">
        <f t="shared" ca="1" si="135"/>
        <v>12.134164909918885</v>
      </c>
      <c r="D277" s="59">
        <f t="shared" ca="1" si="135"/>
        <v>13.242865023422445</v>
      </c>
      <c r="E277" s="59">
        <f t="shared" ca="1" si="135"/>
        <v>15.217853444633892</v>
      </c>
      <c r="F277" s="59">
        <f t="shared" ca="1" si="135"/>
        <v>17.875567267145918</v>
      </c>
      <c r="G277" s="59">
        <f t="shared" ca="1" si="135"/>
        <v>20.959966234076798</v>
      </c>
      <c r="H277" s="59">
        <f t="shared" ca="1" si="135"/>
        <v>24.206320698493752</v>
      </c>
      <c r="I277" s="59">
        <f t="shared" ca="1" si="135"/>
        <v>27.430159837851342</v>
      </c>
      <c r="J277" s="59">
        <f t="shared" ca="1" si="135"/>
        <v>30.5714886426072</v>
      </c>
      <c r="K277" s="59">
        <f t="shared" ca="1" si="135"/>
        <v>33.603084875767316</v>
      </c>
      <c r="L277" s="59">
        <f t="shared" ca="1" si="127"/>
        <v>36.521394891184968</v>
      </c>
      <c r="M277" s="59"/>
      <c r="N277" s="59"/>
      <c r="O277" s="59"/>
      <c r="P277" s="59"/>
      <c r="Q277" s="56"/>
    </row>
    <row r="278" spans="1:17" x14ac:dyDescent="0.15">
      <c r="A278" s="49">
        <v>0</v>
      </c>
      <c r="B278" s="68">
        <f t="shared" ref="B278:P278" ca="1" si="136">IF($A278 &lt;= B$34, ($B$10*C277+$B$11*C278)/EXP($B$6 * $B$3/$B$5),"")</f>
        <v>13.964429147465308</v>
      </c>
      <c r="C278" s="59">
        <f t="shared" ca="1" si="136"/>
        <v>15.749557115655559</v>
      </c>
      <c r="D278" s="59">
        <f t="shared" ca="1" si="136"/>
        <v>18.192213968777381</v>
      </c>
      <c r="E278" s="59">
        <f t="shared" ca="1" si="136"/>
        <v>21.090266707978575</v>
      </c>
      <c r="F278" s="59">
        <f t="shared" ca="1" si="136"/>
        <v>24.223430492776853</v>
      </c>
      <c r="G278" s="59">
        <f t="shared" ca="1" si="136"/>
        <v>27.405970229411974</v>
      </c>
      <c r="H278" s="59">
        <f t="shared" ca="1" si="136"/>
        <v>30.528679371118884</v>
      </c>
      <c r="I278" s="59">
        <f t="shared" ca="1" si="136"/>
        <v>33.555310599448781</v>
      </c>
      <c r="J278" s="59">
        <f t="shared" ca="1" si="136"/>
        <v>36.472635813234547</v>
      </c>
      <c r="K278" s="59">
        <f t="shared" ca="1" si="136"/>
        <v>39.280997110832331</v>
      </c>
      <c r="L278" s="59">
        <f t="shared" ca="1" si="127"/>
        <v>41.984516961681251</v>
      </c>
      <c r="M278" s="59"/>
      <c r="N278" s="59"/>
      <c r="O278" s="59"/>
      <c r="P278" s="59"/>
      <c r="Q278" s="56"/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EuropeanCall_EG</vt:lpstr>
      <vt:lpstr>AmericanPut_EG</vt:lpstr>
      <vt:lpstr>OptionsOnFuturesEG</vt:lpstr>
      <vt:lpstr>10PeriodBinomialModel</vt:lpstr>
      <vt:lpstr>15PeriodBinomialModel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Microsoft Office User</cp:lastModifiedBy>
  <dcterms:created xsi:type="dcterms:W3CDTF">2013-01-29T14:00:58Z</dcterms:created>
  <dcterms:modified xsi:type="dcterms:W3CDTF">2016-03-30T20:08:50Z</dcterms:modified>
</cp:coreProperties>
</file>