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alles/Downloads/financial_engineering_part_i/"/>
    </mc:Choice>
  </mc:AlternateContent>
  <bookViews>
    <workbookView xWindow="0" yWindow="460" windowWidth="25600" windowHeight="14180" tabRatio="815"/>
  </bookViews>
  <sheets>
    <sheet name="Homework_4" sheetId="17" r:id="rId1"/>
    <sheet name="ZCB+Options" sheetId="8" r:id="rId2"/>
    <sheet name="BondForward+Futures" sheetId="12" r:id="rId3"/>
    <sheet name="Caplets" sheetId="16" r:id="rId4"/>
    <sheet name="Swaps+Swaptions" sheetId="13" r:id="rId5"/>
    <sheet name="Elementary Prices" sheetId="9" r:id="rId6"/>
    <sheet name="BDT" sheetId="7" r:id="rId7"/>
    <sheet name="BDT_b=.005" sheetId="14" r:id="rId8"/>
    <sheet name="BDT_b=.01" sheetId="15" r:id="rId9"/>
  </sheets>
  <definedNames>
    <definedName name="_xlnm.Print_Area" localSheetId="6">BDT!$C$80:$L$105</definedName>
    <definedName name="_xlnm.Print_Area" localSheetId="7">'BDT_b=.005'!$C$80:$L$105</definedName>
    <definedName name="_xlnm.Print_Area" localSheetId="8">'BDT_b=.01'!$C$80:$L$105</definedName>
    <definedName name="solver_adj" localSheetId="6" hidden="1">BDT!$C$5:$P$5</definedName>
    <definedName name="solver_adj" localSheetId="7" hidden="1">'BDT_b=.005'!$C$5:$P$5</definedName>
    <definedName name="solver_adj" localSheetId="8" hidden="1">'BDT_b=.01'!$C$5:$P$5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6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6" hidden="1">100</definedName>
    <definedName name="solver_itr" localSheetId="7" hidden="1">100</definedName>
    <definedName name="solver_itr" localSheetId="8" hidden="1">100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2</definedName>
    <definedName name="solver_neg" localSheetId="7" hidden="1">2</definedName>
    <definedName name="solver_neg" localSheetId="8" hidden="1">2</definedName>
    <definedName name="solver_nod" localSheetId="6" hidden="1">2147483647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6" hidden="1">BDT!$D$51</definedName>
    <definedName name="solver_opt" localSheetId="7" hidden="1">'BDT_b=.005'!$D$51</definedName>
    <definedName name="solver_opt" localSheetId="8" hidden="1">'BDT_b=.01'!$D$51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6" hidden="1">1</definedName>
    <definedName name="solver_rlx" localSheetId="6" hidden="1">1</definedName>
    <definedName name="solver_rsd" localSheetId="6" hidden="1">0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6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6" hidden="1">2</definedName>
    <definedName name="workspace" localSheetId="2">#REF!</definedName>
    <definedName name="workspace" localSheetId="3">#REF!</definedName>
    <definedName name="workspace" localSheetId="4">#REF!</definedName>
    <definedName name="workspace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7" l="1"/>
  <c r="C13" i="17"/>
  <c r="D12" i="17"/>
  <c r="E11" i="17"/>
  <c r="F10" i="17"/>
  <c r="G9" i="17"/>
  <c r="H2" i="17"/>
  <c r="H8" i="17"/>
  <c r="I2" i="17"/>
  <c r="I7" i="17"/>
  <c r="J2" i="17"/>
  <c r="J6" i="17"/>
  <c r="K2" i="17"/>
  <c r="K5" i="17"/>
  <c r="L2" i="17"/>
  <c r="L4" i="17"/>
  <c r="C69" i="17"/>
  <c r="D68" i="17"/>
  <c r="E67" i="17"/>
  <c r="F66" i="17"/>
  <c r="G58" i="17"/>
  <c r="G65" i="17"/>
  <c r="H58" i="17"/>
  <c r="H64" i="17"/>
  <c r="I58" i="17"/>
  <c r="I63" i="17"/>
  <c r="J58" i="17"/>
  <c r="J62" i="17"/>
  <c r="K58" i="17"/>
  <c r="K61" i="17"/>
  <c r="L58" i="17"/>
  <c r="L60" i="17"/>
  <c r="G74" i="17"/>
  <c r="H74" i="17"/>
  <c r="I74" i="17"/>
  <c r="J74" i="17"/>
  <c r="K74" i="17"/>
  <c r="L74" i="17"/>
  <c r="L76" i="17"/>
  <c r="K77" i="17"/>
  <c r="L5" i="17"/>
  <c r="C14" i="17"/>
  <c r="C70" i="17"/>
  <c r="D69" i="17"/>
  <c r="D13" i="17"/>
  <c r="E68" i="17"/>
  <c r="E12" i="17"/>
  <c r="F67" i="17"/>
  <c r="F11" i="17"/>
  <c r="G66" i="17"/>
  <c r="G10" i="17"/>
  <c r="H65" i="17"/>
  <c r="H9" i="17"/>
  <c r="I64" i="17"/>
  <c r="I8" i="17"/>
  <c r="J63" i="17"/>
  <c r="J7" i="17"/>
  <c r="K62" i="17"/>
  <c r="K6" i="17"/>
  <c r="L61" i="17"/>
  <c r="L77" i="17"/>
  <c r="J78" i="17"/>
  <c r="K78" i="17"/>
  <c r="L6" i="17"/>
  <c r="D70" i="17"/>
  <c r="D14" i="17"/>
  <c r="E69" i="17"/>
  <c r="E13" i="17"/>
  <c r="F68" i="17"/>
  <c r="F12" i="17"/>
  <c r="G67" i="17"/>
  <c r="G11" i="17"/>
  <c r="H66" i="17"/>
  <c r="H10" i="17"/>
  <c r="I65" i="17"/>
  <c r="I9" i="17"/>
  <c r="J64" i="17"/>
  <c r="J8" i="17"/>
  <c r="K63" i="17"/>
  <c r="K7" i="17"/>
  <c r="L62" i="17"/>
  <c r="L78" i="17"/>
  <c r="I79" i="17"/>
  <c r="J79" i="17"/>
  <c r="K79" i="17"/>
  <c r="L7" i="17"/>
  <c r="E70" i="17"/>
  <c r="E14" i="17"/>
  <c r="F69" i="17"/>
  <c r="F13" i="17"/>
  <c r="G68" i="17"/>
  <c r="G12" i="17"/>
  <c r="H67" i="17"/>
  <c r="H11" i="17"/>
  <c r="I66" i="17"/>
  <c r="I10" i="17"/>
  <c r="J65" i="17"/>
  <c r="J9" i="17"/>
  <c r="K64" i="17"/>
  <c r="K8" i="17"/>
  <c r="L63" i="17"/>
  <c r="L79" i="17"/>
  <c r="H80" i="17"/>
  <c r="I80" i="17"/>
  <c r="J80" i="17"/>
  <c r="K80" i="17"/>
  <c r="L8" i="17"/>
  <c r="F70" i="17"/>
  <c r="F14" i="17"/>
  <c r="G69" i="17"/>
  <c r="G13" i="17"/>
  <c r="H68" i="17"/>
  <c r="H12" i="17"/>
  <c r="I67" i="17"/>
  <c r="I11" i="17"/>
  <c r="J66" i="17"/>
  <c r="J10" i="17"/>
  <c r="K65" i="17"/>
  <c r="K9" i="17"/>
  <c r="L64" i="17"/>
  <c r="L80" i="17"/>
  <c r="G81" i="17"/>
  <c r="H81" i="17"/>
  <c r="I81" i="17"/>
  <c r="J81" i="17"/>
  <c r="K81" i="17"/>
  <c r="L9" i="17"/>
  <c r="G70" i="17"/>
  <c r="G14" i="17"/>
  <c r="H69" i="17"/>
  <c r="H13" i="17"/>
  <c r="I68" i="17"/>
  <c r="I12" i="17"/>
  <c r="J67" i="17"/>
  <c r="J11" i="17"/>
  <c r="K66" i="17"/>
  <c r="K10" i="17"/>
  <c r="L65" i="17"/>
  <c r="L81" i="17"/>
  <c r="F82" i="17"/>
  <c r="G82" i="17"/>
  <c r="H82" i="17"/>
  <c r="I82" i="17"/>
  <c r="J82" i="17"/>
  <c r="K82" i="17"/>
  <c r="L10" i="17"/>
  <c r="H70" i="17"/>
  <c r="H14" i="17"/>
  <c r="I69" i="17"/>
  <c r="I13" i="17"/>
  <c r="J68" i="17"/>
  <c r="J12" i="17"/>
  <c r="K67" i="17"/>
  <c r="K11" i="17"/>
  <c r="L66" i="17"/>
  <c r="L82" i="17"/>
  <c r="E83" i="17"/>
  <c r="F83" i="17"/>
  <c r="G83" i="17"/>
  <c r="H83" i="17"/>
  <c r="I83" i="17"/>
  <c r="J83" i="17"/>
  <c r="K83" i="17"/>
  <c r="L11" i="17"/>
  <c r="I70" i="17"/>
  <c r="I14" i="17"/>
  <c r="J69" i="17"/>
  <c r="J13" i="17"/>
  <c r="K68" i="17"/>
  <c r="K12" i="17"/>
  <c r="L67" i="17"/>
  <c r="L83" i="17"/>
  <c r="D84" i="17"/>
  <c r="E84" i="17"/>
  <c r="F84" i="17"/>
  <c r="G84" i="17"/>
  <c r="H84" i="17"/>
  <c r="I84" i="17"/>
  <c r="J84" i="17"/>
  <c r="K84" i="17"/>
  <c r="L12" i="17"/>
  <c r="J70" i="17"/>
  <c r="J14" i="17"/>
  <c r="K69" i="17"/>
  <c r="K13" i="17"/>
  <c r="L68" i="17"/>
  <c r="L84" i="17"/>
  <c r="C85" i="17"/>
  <c r="D85" i="17"/>
  <c r="E85" i="17"/>
  <c r="F85" i="17"/>
  <c r="G85" i="17"/>
  <c r="H85" i="17"/>
  <c r="I85" i="17"/>
  <c r="J85" i="17"/>
  <c r="K85" i="17"/>
  <c r="L13" i="17"/>
  <c r="K70" i="17"/>
  <c r="K14" i="17"/>
  <c r="L69" i="17"/>
  <c r="L85" i="17"/>
  <c r="C86" i="17"/>
  <c r="D86" i="17"/>
  <c r="E86" i="17"/>
  <c r="F86" i="17"/>
  <c r="G86" i="17"/>
  <c r="H86" i="17"/>
  <c r="I86" i="17"/>
  <c r="J86" i="17"/>
  <c r="K86" i="17"/>
  <c r="L14" i="17"/>
  <c r="L70" i="17"/>
  <c r="L86" i="17"/>
  <c r="C75" i="17"/>
  <c r="D75" i="17"/>
  <c r="E75" i="17"/>
  <c r="F75" i="17"/>
  <c r="G75" i="17"/>
  <c r="H75" i="17"/>
  <c r="I75" i="17"/>
  <c r="J75" i="17"/>
  <c r="K75" i="17"/>
  <c r="L75" i="17"/>
  <c r="C76" i="17"/>
  <c r="D76" i="17"/>
  <c r="E76" i="17"/>
  <c r="F76" i="17"/>
  <c r="G76" i="17"/>
  <c r="H76" i="17"/>
  <c r="I76" i="17"/>
  <c r="J76" i="17"/>
  <c r="K76" i="17"/>
  <c r="C77" i="17"/>
  <c r="D77" i="17"/>
  <c r="E77" i="17"/>
  <c r="F77" i="17"/>
  <c r="G77" i="17"/>
  <c r="H77" i="17"/>
  <c r="I77" i="17"/>
  <c r="J77" i="17"/>
  <c r="C78" i="17"/>
  <c r="D78" i="17"/>
  <c r="E78" i="17"/>
  <c r="F78" i="17"/>
  <c r="G78" i="17"/>
  <c r="H78" i="17"/>
  <c r="I78" i="17"/>
  <c r="C79" i="17"/>
  <c r="D79" i="17"/>
  <c r="E79" i="17"/>
  <c r="F79" i="17"/>
  <c r="G79" i="17"/>
  <c r="H79" i="17"/>
  <c r="C80" i="17"/>
  <c r="D80" i="17"/>
  <c r="E80" i="17"/>
  <c r="F80" i="17"/>
  <c r="G80" i="17"/>
  <c r="C81" i="17"/>
  <c r="D81" i="17"/>
  <c r="E81" i="17"/>
  <c r="F81" i="17"/>
  <c r="C82" i="17"/>
  <c r="D82" i="17"/>
  <c r="E82" i="17"/>
  <c r="C83" i="17"/>
  <c r="D83" i="17"/>
  <c r="C84" i="17"/>
  <c r="C88" i="17"/>
  <c r="E88" i="17"/>
  <c r="B94" i="17"/>
  <c r="C94" i="17"/>
  <c r="D94" i="17"/>
  <c r="E94" i="17"/>
  <c r="B95" i="17"/>
  <c r="C95" i="17"/>
  <c r="D95" i="17"/>
  <c r="E95" i="17"/>
  <c r="B96" i="17"/>
  <c r="C96" i="17"/>
  <c r="D96" i="17"/>
  <c r="E96" i="17"/>
  <c r="B97" i="17"/>
  <c r="C97" i="17"/>
  <c r="D97" i="17"/>
  <c r="E97" i="17"/>
  <c r="B98" i="17"/>
  <c r="C98" i="17"/>
  <c r="D98" i="17"/>
  <c r="E98" i="17"/>
  <c r="B99" i="17"/>
  <c r="C99" i="17"/>
  <c r="D99" i="17"/>
  <c r="E99" i="17"/>
  <c r="F94" i="17"/>
  <c r="F95" i="17"/>
  <c r="F96" i="17"/>
  <c r="F97" i="17"/>
  <c r="F98" i="17"/>
  <c r="M3" i="17"/>
  <c r="M4" i="17"/>
  <c r="M5" i="17"/>
  <c r="M6" i="17"/>
  <c r="M7" i="17"/>
  <c r="M8" i="17"/>
  <c r="M9" i="17"/>
  <c r="M10" i="17"/>
  <c r="M11" i="17"/>
  <c r="M12" i="17"/>
  <c r="M13" i="17"/>
  <c r="M14" i="17"/>
  <c r="G99" i="17"/>
  <c r="G100" i="17"/>
  <c r="G101" i="17"/>
  <c r="G102" i="17"/>
  <c r="G103" i="17"/>
  <c r="G98" i="17"/>
  <c r="H93" i="17"/>
  <c r="I93" i="17"/>
  <c r="J93" i="17"/>
  <c r="K93" i="17"/>
  <c r="H94" i="17"/>
  <c r="I94" i="17"/>
  <c r="J94" i="17"/>
  <c r="K94" i="17"/>
  <c r="H95" i="17"/>
  <c r="I95" i="17"/>
  <c r="J95" i="17"/>
  <c r="K95" i="17"/>
  <c r="H96" i="17"/>
  <c r="I96" i="17"/>
  <c r="J96" i="17"/>
  <c r="K96" i="17"/>
  <c r="H97" i="17"/>
  <c r="I97" i="17"/>
  <c r="J97" i="17"/>
  <c r="K97" i="17"/>
  <c r="H98" i="17"/>
  <c r="I98" i="17"/>
  <c r="J98" i="17"/>
  <c r="K98" i="17"/>
  <c r="H99" i="17"/>
  <c r="I99" i="17"/>
  <c r="J99" i="17"/>
  <c r="K99" i="17"/>
  <c r="H100" i="17"/>
  <c r="I100" i="17"/>
  <c r="J100" i="17"/>
  <c r="K100" i="17"/>
  <c r="H101" i="17"/>
  <c r="I101" i="17"/>
  <c r="J101" i="17"/>
  <c r="K101" i="17"/>
  <c r="H102" i="17"/>
  <c r="I102" i="17"/>
  <c r="J102" i="17"/>
  <c r="K102" i="17"/>
  <c r="H103" i="17"/>
  <c r="I103" i="17"/>
  <c r="J103" i="17"/>
  <c r="K103" i="17"/>
  <c r="L94" i="17"/>
  <c r="L95" i="17"/>
  <c r="L96" i="17"/>
  <c r="L97" i="17"/>
  <c r="L98" i="17"/>
  <c r="L99" i="17"/>
  <c r="L100" i="17"/>
  <c r="L101" i="17"/>
  <c r="L102" i="17"/>
  <c r="L103" i="17"/>
  <c r="L93" i="17"/>
  <c r="B76" i="17"/>
  <c r="M60" i="17"/>
  <c r="M76" i="17"/>
  <c r="B77" i="17"/>
  <c r="M61" i="17"/>
  <c r="M77" i="17"/>
  <c r="B78" i="17"/>
  <c r="M62" i="17"/>
  <c r="M78" i="17"/>
  <c r="B79" i="17"/>
  <c r="M63" i="17"/>
  <c r="M79" i="17"/>
  <c r="B80" i="17"/>
  <c r="M64" i="17"/>
  <c r="M80" i="17"/>
  <c r="B81" i="17"/>
  <c r="M65" i="17"/>
  <c r="M81" i="17"/>
  <c r="B82" i="17"/>
  <c r="M66" i="17"/>
  <c r="M82" i="17"/>
  <c r="B83" i="17"/>
  <c r="M67" i="17"/>
  <c r="M83" i="17"/>
  <c r="B84" i="17"/>
  <c r="M68" i="17"/>
  <c r="M84" i="17"/>
  <c r="B85" i="17"/>
  <c r="M69" i="17"/>
  <c r="M85" i="17"/>
  <c r="B86" i="17"/>
  <c r="M70" i="17"/>
  <c r="M86" i="17"/>
  <c r="B75" i="17"/>
  <c r="M59" i="17"/>
  <c r="M75" i="17"/>
  <c r="F99" i="17"/>
  <c r="F100" i="17"/>
  <c r="E100" i="17"/>
  <c r="F101" i="17"/>
  <c r="E101" i="17"/>
  <c r="D101" i="17"/>
  <c r="F102" i="17"/>
  <c r="E102" i="17"/>
  <c r="D102" i="17"/>
  <c r="C102" i="17"/>
  <c r="F103" i="17"/>
  <c r="E103" i="17"/>
  <c r="D103" i="17"/>
  <c r="C103" i="17"/>
  <c r="B103" i="17"/>
  <c r="C93" i="17"/>
  <c r="D93" i="17"/>
  <c r="E93" i="17"/>
  <c r="F93" i="17"/>
  <c r="G93" i="17"/>
  <c r="C100" i="17"/>
  <c r="D100" i="17"/>
  <c r="C101" i="17"/>
  <c r="B100" i="17"/>
  <c r="B101" i="17"/>
  <c r="B102" i="17"/>
  <c r="C15" i="9"/>
  <c r="D27" i="9"/>
  <c r="D14" i="9"/>
  <c r="E26" i="9"/>
  <c r="E13" i="9"/>
  <c r="F25" i="9"/>
  <c r="F12" i="9"/>
  <c r="G24" i="9"/>
  <c r="C16" i="9"/>
  <c r="D28" i="9"/>
  <c r="D15" i="9"/>
  <c r="E27" i="9"/>
  <c r="E14" i="9"/>
  <c r="F26" i="9"/>
  <c r="F13" i="9"/>
  <c r="G25" i="9"/>
  <c r="D29" i="9"/>
  <c r="D16" i="9"/>
  <c r="E28" i="9"/>
  <c r="E15" i="9"/>
  <c r="F27" i="9"/>
  <c r="F14" i="9"/>
  <c r="G26" i="9"/>
  <c r="E29" i="9"/>
  <c r="E16" i="9"/>
  <c r="F28" i="9"/>
  <c r="F15" i="9"/>
  <c r="G27" i="9"/>
  <c r="F29" i="9"/>
  <c r="F16" i="9"/>
  <c r="G28" i="9"/>
  <c r="G29" i="9"/>
  <c r="G33" i="9"/>
  <c r="G34" i="9"/>
  <c r="C15" i="13"/>
  <c r="D14" i="13"/>
  <c r="E13" i="13"/>
  <c r="F12" i="13"/>
  <c r="G12" i="13"/>
  <c r="G25" i="13"/>
  <c r="G11" i="13"/>
  <c r="G24" i="13"/>
  <c r="F25" i="13"/>
  <c r="F13" i="13"/>
  <c r="G13" i="13"/>
  <c r="G26" i="13"/>
  <c r="F26" i="13"/>
  <c r="E26" i="13"/>
  <c r="E38" i="13"/>
  <c r="G17" i="17"/>
  <c r="H17" i="17"/>
  <c r="I17" i="17"/>
  <c r="J17" i="17"/>
  <c r="K17" i="17"/>
  <c r="K28" i="17"/>
  <c r="K27" i="17"/>
  <c r="J28" i="17"/>
  <c r="K26" i="17"/>
  <c r="J27" i="17"/>
  <c r="I28" i="17"/>
  <c r="K25" i="17"/>
  <c r="J26" i="17"/>
  <c r="I27" i="17"/>
  <c r="H28" i="17"/>
  <c r="K24" i="17"/>
  <c r="J25" i="17"/>
  <c r="I26" i="17"/>
  <c r="H27" i="17"/>
  <c r="G28" i="17"/>
  <c r="K23" i="17"/>
  <c r="J24" i="17"/>
  <c r="I25" i="17"/>
  <c r="H26" i="17"/>
  <c r="G27" i="17"/>
  <c r="F28" i="17"/>
  <c r="K22" i="17"/>
  <c r="J23" i="17"/>
  <c r="I24" i="17"/>
  <c r="H25" i="17"/>
  <c r="G26" i="17"/>
  <c r="F27" i="17"/>
  <c r="E28" i="17"/>
  <c r="K21" i="17"/>
  <c r="J22" i="17"/>
  <c r="I23" i="17"/>
  <c r="H24" i="17"/>
  <c r="G25" i="17"/>
  <c r="F26" i="17"/>
  <c r="E27" i="17"/>
  <c r="D28" i="17"/>
  <c r="K20" i="17"/>
  <c r="J21" i="17"/>
  <c r="I22" i="17"/>
  <c r="H23" i="17"/>
  <c r="G24" i="17"/>
  <c r="F25" i="17"/>
  <c r="E26" i="17"/>
  <c r="D27" i="17"/>
  <c r="C28" i="17"/>
  <c r="K19" i="17"/>
  <c r="J20" i="17"/>
  <c r="I21" i="17"/>
  <c r="H22" i="17"/>
  <c r="G23" i="17"/>
  <c r="F24" i="17"/>
  <c r="E25" i="17"/>
  <c r="D26" i="17"/>
  <c r="C27" i="17"/>
  <c r="B28" i="17"/>
  <c r="G92" i="17"/>
  <c r="H92" i="17"/>
  <c r="I92" i="17"/>
  <c r="J92" i="17"/>
  <c r="K92" i="17"/>
  <c r="L92" i="17"/>
  <c r="C29" i="9"/>
  <c r="C60" i="17"/>
  <c r="D60" i="17"/>
  <c r="E60" i="17"/>
  <c r="F60" i="17"/>
  <c r="G60" i="17"/>
  <c r="H60" i="17"/>
  <c r="I60" i="17"/>
  <c r="J60" i="17"/>
  <c r="K60" i="17"/>
  <c r="C61" i="17"/>
  <c r="D61" i="17"/>
  <c r="E61" i="17"/>
  <c r="F61" i="17"/>
  <c r="G61" i="17"/>
  <c r="H61" i="17"/>
  <c r="I61" i="17"/>
  <c r="J61" i="17"/>
  <c r="C62" i="17"/>
  <c r="D62" i="17"/>
  <c r="E62" i="17"/>
  <c r="F62" i="17"/>
  <c r="G62" i="17"/>
  <c r="H62" i="17"/>
  <c r="I62" i="17"/>
  <c r="C63" i="17"/>
  <c r="D63" i="17"/>
  <c r="E63" i="17"/>
  <c r="F63" i="17"/>
  <c r="G63" i="17"/>
  <c r="H63" i="17"/>
  <c r="C64" i="17"/>
  <c r="D64" i="17"/>
  <c r="E64" i="17"/>
  <c r="F64" i="17"/>
  <c r="G64" i="17"/>
  <c r="C65" i="17"/>
  <c r="D65" i="17"/>
  <c r="E65" i="17"/>
  <c r="F65" i="17"/>
  <c r="C66" i="17"/>
  <c r="D66" i="17"/>
  <c r="E66" i="17"/>
  <c r="C67" i="17"/>
  <c r="D67" i="17"/>
  <c r="C68" i="17"/>
  <c r="C10" i="17"/>
  <c r="D10" i="17"/>
  <c r="E10" i="17"/>
  <c r="G22" i="17"/>
  <c r="F22" i="17"/>
  <c r="E22" i="17"/>
  <c r="D22" i="17"/>
  <c r="C22" i="17"/>
  <c r="B61" i="17"/>
  <c r="B62" i="17"/>
  <c r="B63" i="17"/>
  <c r="B64" i="17"/>
  <c r="B65" i="17"/>
  <c r="B66" i="17"/>
  <c r="B67" i="17"/>
  <c r="B68" i="17"/>
  <c r="B69" i="17"/>
  <c r="H54" i="17"/>
  <c r="H53" i="17"/>
  <c r="G54" i="17"/>
  <c r="H52" i="17"/>
  <c r="G53" i="17"/>
  <c r="F54" i="17"/>
  <c r="H51" i="17"/>
  <c r="G52" i="17"/>
  <c r="F53" i="17"/>
  <c r="E54" i="17"/>
  <c r="H50" i="17"/>
  <c r="G51" i="17"/>
  <c r="F52" i="17"/>
  <c r="E53" i="17"/>
  <c r="D54" i="17"/>
  <c r="H49" i="17"/>
  <c r="G50" i="17"/>
  <c r="F51" i="17"/>
  <c r="E52" i="17"/>
  <c r="D53" i="17"/>
  <c r="C54" i="17"/>
  <c r="H48" i="17"/>
  <c r="G49" i="17"/>
  <c r="F50" i="17"/>
  <c r="E51" i="17"/>
  <c r="D52" i="17"/>
  <c r="C53" i="17"/>
  <c r="B54" i="17"/>
  <c r="E14" i="13"/>
  <c r="F14" i="13"/>
  <c r="G14" i="13"/>
  <c r="G27" i="13"/>
  <c r="F27" i="13"/>
  <c r="E27" i="13"/>
  <c r="E39" i="13"/>
  <c r="H32" i="17"/>
  <c r="I32" i="17"/>
  <c r="J32" i="17"/>
  <c r="H33" i="17"/>
  <c r="I33" i="17"/>
  <c r="J33" i="17"/>
  <c r="H34" i="17"/>
  <c r="I34" i="17"/>
  <c r="L32" i="17"/>
  <c r="L33" i="17"/>
  <c r="K33" i="17"/>
  <c r="L34" i="17"/>
  <c r="K34" i="17"/>
  <c r="J34" i="17"/>
  <c r="H35" i="17"/>
  <c r="L35" i="17"/>
  <c r="K35" i="17"/>
  <c r="J35" i="17"/>
  <c r="I35" i="17"/>
  <c r="L36" i="17"/>
  <c r="K36" i="17"/>
  <c r="J36" i="17"/>
  <c r="I36" i="17"/>
  <c r="H36" i="17"/>
  <c r="K32" i="17"/>
  <c r="F32" i="17"/>
  <c r="F33" i="17"/>
  <c r="E33" i="17"/>
  <c r="F34" i="17"/>
  <c r="E34" i="17"/>
  <c r="D34" i="17"/>
  <c r="F35" i="17"/>
  <c r="E35" i="17"/>
  <c r="D35" i="17"/>
  <c r="C35" i="17"/>
  <c r="F36" i="17"/>
  <c r="E36" i="17"/>
  <c r="D36" i="17"/>
  <c r="C36" i="17"/>
  <c r="B36" i="17"/>
  <c r="O31" i="17"/>
  <c r="B49" i="17"/>
  <c r="C49" i="17"/>
  <c r="D49" i="17"/>
  <c r="E49" i="17"/>
  <c r="F49" i="17"/>
  <c r="B50" i="17"/>
  <c r="C50" i="17"/>
  <c r="D50" i="17"/>
  <c r="E50" i="17"/>
  <c r="B51" i="17"/>
  <c r="C51" i="17"/>
  <c r="D51" i="17"/>
  <c r="B52" i="17"/>
  <c r="C52" i="17"/>
  <c r="B53" i="17"/>
  <c r="F44" i="17"/>
  <c r="F43" i="17"/>
  <c r="F42" i="17"/>
  <c r="F41" i="17"/>
  <c r="F40" i="17"/>
  <c r="C15" i="12"/>
  <c r="D14" i="12"/>
  <c r="E13" i="12"/>
  <c r="F12" i="12"/>
  <c r="G11" i="12"/>
  <c r="G25" i="12"/>
  <c r="G12" i="12"/>
  <c r="G26" i="12"/>
  <c r="F26" i="12"/>
  <c r="F38" i="12"/>
  <c r="F13" i="12"/>
  <c r="G13" i="12"/>
  <c r="G27" i="12"/>
  <c r="F27" i="12"/>
  <c r="F39" i="12"/>
  <c r="E39" i="12"/>
  <c r="B34" i="17"/>
  <c r="C34" i="17"/>
  <c r="B35" i="17"/>
  <c r="B33" i="17"/>
  <c r="C33" i="17"/>
  <c r="D33" i="17"/>
  <c r="B41" i="17"/>
  <c r="C41" i="17"/>
  <c r="D41" i="17"/>
  <c r="B42" i="17"/>
  <c r="C42" i="17"/>
  <c r="E41" i="17"/>
  <c r="E42" i="17"/>
  <c r="D42" i="17"/>
  <c r="B43" i="17"/>
  <c r="E43" i="17"/>
  <c r="D43" i="17"/>
  <c r="C43" i="17"/>
  <c r="E44" i="17"/>
  <c r="D44" i="17"/>
  <c r="C44" i="17"/>
  <c r="B44" i="17"/>
  <c r="E40" i="17"/>
  <c r="D40" i="17"/>
  <c r="C40" i="17"/>
  <c r="B40" i="17"/>
  <c r="B32" i="17"/>
  <c r="C32" i="17"/>
  <c r="D32" i="17"/>
  <c r="E32" i="17"/>
  <c r="B6" i="8"/>
  <c r="B27" i="17"/>
  <c r="C26" i="17"/>
  <c r="B26" i="17"/>
  <c r="D25" i="17"/>
  <c r="C25" i="17"/>
  <c r="B25" i="17"/>
  <c r="E24" i="17"/>
  <c r="D24" i="17"/>
  <c r="C24" i="17"/>
  <c r="B24" i="17"/>
  <c r="F23" i="17"/>
  <c r="E23" i="17"/>
  <c r="D23" i="17"/>
  <c r="C23" i="17"/>
  <c r="H21" i="17"/>
  <c r="G21" i="17"/>
  <c r="F21" i="17"/>
  <c r="E21" i="17"/>
  <c r="D21" i="17"/>
  <c r="C21" i="17"/>
  <c r="I20" i="17"/>
  <c r="H20" i="17"/>
  <c r="G20" i="17"/>
  <c r="F20" i="17"/>
  <c r="E20" i="17"/>
  <c r="D20" i="17"/>
  <c r="C20" i="17"/>
  <c r="J19" i="17"/>
  <c r="I19" i="17"/>
  <c r="H19" i="17"/>
  <c r="G19" i="17"/>
  <c r="F19" i="17"/>
  <c r="E19" i="17"/>
  <c r="D19" i="17"/>
  <c r="C19" i="17"/>
  <c r="K18" i="17"/>
  <c r="J18" i="17"/>
  <c r="I18" i="17"/>
  <c r="H18" i="17"/>
  <c r="G18" i="17"/>
  <c r="F18" i="17"/>
  <c r="E18" i="17"/>
  <c r="D18" i="17"/>
  <c r="C18" i="17"/>
  <c r="L17" i="17"/>
  <c r="C12" i="17"/>
  <c r="D11" i="17"/>
  <c r="C11" i="17"/>
  <c r="F9" i="17"/>
  <c r="E9" i="17"/>
  <c r="D9" i="17"/>
  <c r="C9" i="17"/>
  <c r="G8" i="17"/>
  <c r="H7" i="17"/>
  <c r="G7" i="17"/>
  <c r="I6" i="17"/>
  <c r="H6" i="17"/>
  <c r="G6" i="17"/>
  <c r="J5" i="17"/>
  <c r="I5" i="17"/>
  <c r="H5" i="17"/>
  <c r="G5" i="17"/>
  <c r="K4" i="17"/>
  <c r="J4" i="17"/>
  <c r="I4" i="17"/>
  <c r="H4" i="17"/>
  <c r="G4" i="17"/>
  <c r="L3" i="17"/>
  <c r="B16" i="8"/>
  <c r="C15" i="8"/>
  <c r="D14" i="8"/>
  <c r="E13" i="8"/>
  <c r="E23" i="8"/>
  <c r="E14" i="8"/>
  <c r="E24" i="8"/>
  <c r="D24" i="8"/>
  <c r="D15" i="8"/>
  <c r="E15" i="8"/>
  <c r="E25" i="8"/>
  <c r="D25" i="8"/>
  <c r="C25" i="8"/>
  <c r="C16" i="8"/>
  <c r="D16" i="8"/>
  <c r="E16" i="8"/>
  <c r="E26" i="8"/>
  <c r="D26" i="8"/>
  <c r="C26" i="8"/>
  <c r="B26" i="8"/>
  <c r="B16" i="16"/>
  <c r="C15" i="16"/>
  <c r="D14" i="16"/>
  <c r="C16" i="16"/>
  <c r="D16" i="16"/>
  <c r="E16" i="16"/>
  <c r="F16" i="16"/>
  <c r="G16" i="16"/>
  <c r="G29" i="16"/>
  <c r="B24" i="16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/>
  <c r="K25" i="15"/>
  <c r="J25" i="15"/>
  <c r="I25" i="15"/>
  <c r="H25" i="15"/>
  <c r="G25" i="15"/>
  <c r="F25" i="15"/>
  <c r="E25" i="15"/>
  <c r="D25" i="15"/>
  <c r="C25" i="15"/>
  <c r="D43" i="15"/>
  <c r="D24" i="15"/>
  <c r="E42" i="15"/>
  <c r="E23" i="15"/>
  <c r="F41" i="15"/>
  <c r="F22" i="15"/>
  <c r="G40" i="15"/>
  <c r="G21" i="15"/>
  <c r="H39" i="15"/>
  <c r="H20" i="15"/>
  <c r="I38" i="15"/>
  <c r="I19" i="15"/>
  <c r="J37" i="15"/>
  <c r="J18" i="15"/>
  <c r="K36" i="15"/>
  <c r="K17" i="15"/>
  <c r="L35" i="15"/>
  <c r="L16" i="15"/>
  <c r="M34" i="15"/>
  <c r="M15" i="15"/>
  <c r="N33" i="15"/>
  <c r="N14" i="15"/>
  <c r="O32" i="15"/>
  <c r="O13" i="15"/>
  <c r="P31" i="15"/>
  <c r="P12" i="15"/>
  <c r="Q30" i="15"/>
  <c r="P24" i="15"/>
  <c r="O24" i="15"/>
  <c r="N24" i="15"/>
  <c r="M24" i="15"/>
  <c r="L24" i="15"/>
  <c r="L66" i="15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/>
  <c r="K21" i="15"/>
  <c r="J21" i="15"/>
  <c r="I21" i="15"/>
  <c r="H21" i="15"/>
  <c r="F21" i="15"/>
  <c r="E21" i="15"/>
  <c r="D21" i="15"/>
  <c r="P20" i="15"/>
  <c r="O20" i="15"/>
  <c r="N20" i="15"/>
  <c r="M20" i="15"/>
  <c r="L20" i="15"/>
  <c r="L62" i="15"/>
  <c r="K20" i="15"/>
  <c r="J20" i="15"/>
  <c r="I20" i="15"/>
  <c r="G20" i="15"/>
  <c r="F20" i="15"/>
  <c r="E20" i="15"/>
  <c r="D20" i="15"/>
  <c r="P19" i="15"/>
  <c r="O19" i="15"/>
  <c r="N19" i="15"/>
  <c r="M19" i="15"/>
  <c r="L19" i="15"/>
  <c r="L61" i="15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/>
  <c r="J17" i="15"/>
  <c r="I17" i="15"/>
  <c r="H17" i="15"/>
  <c r="G17" i="15"/>
  <c r="F17" i="15"/>
  <c r="E17" i="15"/>
  <c r="D17" i="15"/>
  <c r="P16" i="15"/>
  <c r="O16" i="15"/>
  <c r="N16" i="15"/>
  <c r="M16" i="15"/>
  <c r="L58" i="15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L24" i="14"/>
  <c r="L66" i="14"/>
  <c r="C66" i="14"/>
  <c r="D65" i="14"/>
  <c r="C65" i="14"/>
  <c r="E64" i="14"/>
  <c r="D64" i="14"/>
  <c r="C64" i="14"/>
  <c r="F63" i="14"/>
  <c r="E63" i="14"/>
  <c r="D63" i="14"/>
  <c r="C63" i="14"/>
  <c r="L20" i="14"/>
  <c r="L62" i="14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16" i="14"/>
  <c r="L58" i="14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P25" i="14"/>
  <c r="O25" i="14"/>
  <c r="N25" i="14"/>
  <c r="M25" i="14"/>
  <c r="L25" i="14"/>
  <c r="L67" i="14"/>
  <c r="K25" i="14"/>
  <c r="B8" i="14"/>
  <c r="K67" i="14"/>
  <c r="J25" i="14"/>
  <c r="I25" i="14"/>
  <c r="H25" i="14"/>
  <c r="G25" i="14"/>
  <c r="F25" i="14"/>
  <c r="E25" i="14"/>
  <c r="D25" i="14"/>
  <c r="C25" i="14"/>
  <c r="D43" i="14"/>
  <c r="D24" i="14"/>
  <c r="E42" i="14"/>
  <c r="E23" i="14"/>
  <c r="F41" i="14"/>
  <c r="F22" i="14"/>
  <c r="G40" i="14"/>
  <c r="G21" i="14"/>
  <c r="H39" i="14"/>
  <c r="H20" i="14"/>
  <c r="I38" i="14"/>
  <c r="I19" i="14"/>
  <c r="J37" i="14"/>
  <c r="J18" i="14"/>
  <c r="K36" i="14"/>
  <c r="K17" i="14"/>
  <c r="L35" i="14"/>
  <c r="M34" i="14"/>
  <c r="M15" i="14"/>
  <c r="N33" i="14"/>
  <c r="N14" i="14"/>
  <c r="O32" i="14"/>
  <c r="O13" i="14"/>
  <c r="P31" i="14"/>
  <c r="P24" i="14"/>
  <c r="O24" i="14"/>
  <c r="N24" i="14"/>
  <c r="M24" i="14"/>
  <c r="K24" i="14"/>
  <c r="J24" i="14"/>
  <c r="I24" i="14"/>
  <c r="H24" i="14"/>
  <c r="G24" i="14"/>
  <c r="F24" i="14"/>
  <c r="E24" i="14"/>
  <c r="P23" i="14"/>
  <c r="O23" i="14"/>
  <c r="N23" i="14"/>
  <c r="M23" i="14"/>
  <c r="L23" i="14"/>
  <c r="L65" i="14"/>
  <c r="K66" i="14"/>
  <c r="K23" i="14"/>
  <c r="J23" i="14"/>
  <c r="I23" i="14"/>
  <c r="H23" i="14"/>
  <c r="G23" i="14"/>
  <c r="F23" i="14"/>
  <c r="D23" i="14"/>
  <c r="P22" i="14"/>
  <c r="O22" i="14"/>
  <c r="N22" i="14"/>
  <c r="M22" i="14"/>
  <c r="L22" i="14"/>
  <c r="L64" i="14"/>
  <c r="K22" i="14"/>
  <c r="J22" i="14"/>
  <c r="I22" i="14"/>
  <c r="H22" i="14"/>
  <c r="G22" i="14"/>
  <c r="E22" i="14"/>
  <c r="D22" i="14"/>
  <c r="P21" i="14"/>
  <c r="O21" i="14"/>
  <c r="N21" i="14"/>
  <c r="M21" i="14"/>
  <c r="L21" i="14"/>
  <c r="L63" i="14"/>
  <c r="K21" i="14"/>
  <c r="K63" i="14"/>
  <c r="J21" i="14"/>
  <c r="I21" i="14"/>
  <c r="H21" i="14"/>
  <c r="F21" i="14"/>
  <c r="E21" i="14"/>
  <c r="D21" i="14"/>
  <c r="P20" i="14"/>
  <c r="O20" i="14"/>
  <c r="N20" i="14"/>
  <c r="M20" i="14"/>
  <c r="K20" i="14"/>
  <c r="J20" i="14"/>
  <c r="I20" i="14"/>
  <c r="G20" i="14"/>
  <c r="F20" i="14"/>
  <c r="E20" i="14"/>
  <c r="D20" i="14"/>
  <c r="P19" i="14"/>
  <c r="O19" i="14"/>
  <c r="N19" i="14"/>
  <c r="M19" i="14"/>
  <c r="L19" i="14"/>
  <c r="L61" i="14"/>
  <c r="K62" i="14"/>
  <c r="K19" i="14"/>
  <c r="J19" i="14"/>
  <c r="H19" i="14"/>
  <c r="G19" i="14"/>
  <c r="F19" i="14"/>
  <c r="E19" i="14"/>
  <c r="D19" i="14"/>
  <c r="P18" i="14"/>
  <c r="O18" i="14"/>
  <c r="N18" i="14"/>
  <c r="M18" i="14"/>
  <c r="L18" i="14"/>
  <c r="L60" i="14"/>
  <c r="K18" i="14"/>
  <c r="I18" i="14"/>
  <c r="H18" i="14"/>
  <c r="G18" i="14"/>
  <c r="F18" i="14"/>
  <c r="E18" i="14"/>
  <c r="D18" i="14"/>
  <c r="P17" i="14"/>
  <c r="O17" i="14"/>
  <c r="N17" i="14"/>
  <c r="M17" i="14"/>
  <c r="L17" i="14"/>
  <c r="L59" i="14"/>
  <c r="K59" i="14"/>
  <c r="J17" i="14"/>
  <c r="I17" i="14"/>
  <c r="H17" i="14"/>
  <c r="G17" i="14"/>
  <c r="F17" i="14"/>
  <c r="E17" i="14"/>
  <c r="D17" i="14"/>
  <c r="P16" i="14"/>
  <c r="O16" i="14"/>
  <c r="N16" i="14"/>
  <c r="M16" i="14"/>
  <c r="K16" i="14"/>
  <c r="J16" i="14"/>
  <c r="I16" i="14"/>
  <c r="H16" i="14"/>
  <c r="G16" i="14"/>
  <c r="F16" i="14"/>
  <c r="E16" i="14"/>
  <c r="D16" i="14"/>
  <c r="P15" i="14"/>
  <c r="O15" i="14"/>
  <c r="N15" i="14"/>
  <c r="L15" i="14"/>
  <c r="K15" i="14"/>
  <c r="J15" i="14"/>
  <c r="I15" i="14"/>
  <c r="H15" i="14"/>
  <c r="G15" i="14"/>
  <c r="F15" i="14"/>
  <c r="E15" i="14"/>
  <c r="D15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P13" i="14"/>
  <c r="N13" i="14"/>
  <c r="M13" i="14"/>
  <c r="L13" i="14"/>
  <c r="K13" i="14"/>
  <c r="J13" i="14"/>
  <c r="I13" i="14"/>
  <c r="H13" i="14"/>
  <c r="G13" i="14"/>
  <c r="F13" i="14"/>
  <c r="E13" i="14"/>
  <c r="D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K61" i="15"/>
  <c r="K65" i="15"/>
  <c r="K66" i="15"/>
  <c r="J66" i="15"/>
  <c r="K60" i="15"/>
  <c r="J61" i="15"/>
  <c r="K64" i="15"/>
  <c r="J65" i="15"/>
  <c r="I66" i="15"/>
  <c r="K67" i="15"/>
  <c r="K59" i="15"/>
  <c r="J60" i="15"/>
  <c r="I61" i="15"/>
  <c r="K63" i="15"/>
  <c r="J64" i="15"/>
  <c r="I65" i="15"/>
  <c r="H66" i="15"/>
  <c r="K62" i="15"/>
  <c r="J63" i="15"/>
  <c r="I64" i="15"/>
  <c r="H65" i="15"/>
  <c r="G66" i="15"/>
  <c r="J67" i="15"/>
  <c r="D44" i="15"/>
  <c r="E43" i="15"/>
  <c r="F42" i="15"/>
  <c r="G41" i="15"/>
  <c r="H40" i="15"/>
  <c r="I39" i="15"/>
  <c r="J38" i="15"/>
  <c r="K37" i="15"/>
  <c r="L36" i="15"/>
  <c r="M35" i="15"/>
  <c r="N34" i="15"/>
  <c r="O33" i="15"/>
  <c r="P32" i="15"/>
  <c r="Q31" i="15"/>
  <c r="Q30" i="14"/>
  <c r="K60" i="14"/>
  <c r="K61" i="14"/>
  <c r="J61" i="14"/>
  <c r="J62" i="14"/>
  <c r="I62" i="14"/>
  <c r="J63" i="14"/>
  <c r="I63" i="14"/>
  <c r="H63" i="14"/>
  <c r="K64" i="14"/>
  <c r="J64" i="14"/>
  <c r="I64" i="14"/>
  <c r="H64" i="14"/>
  <c r="G64" i="14"/>
  <c r="J67" i="14"/>
  <c r="D44" i="14"/>
  <c r="D47" i="14"/>
  <c r="D48" i="14"/>
  <c r="D50" i="14"/>
  <c r="K65" i="14"/>
  <c r="J65" i="14"/>
  <c r="I67" i="15"/>
  <c r="H67" i="15"/>
  <c r="G67" i="15"/>
  <c r="F67" i="15"/>
  <c r="D47" i="15"/>
  <c r="D48" i="15"/>
  <c r="D50" i="15"/>
  <c r="J62" i="15"/>
  <c r="I63" i="15"/>
  <c r="H64" i="15"/>
  <c r="G65" i="15"/>
  <c r="F66" i="15"/>
  <c r="E44" i="15"/>
  <c r="I65" i="14"/>
  <c r="H65" i="14"/>
  <c r="J66" i="14"/>
  <c r="I67" i="14"/>
  <c r="E44" i="14"/>
  <c r="E43" i="14"/>
  <c r="J60" i="14"/>
  <c r="I61" i="14"/>
  <c r="H62" i="14"/>
  <c r="G63" i="14"/>
  <c r="F64" i="14"/>
  <c r="E67" i="15"/>
  <c r="F43" i="15"/>
  <c r="F44" i="15"/>
  <c r="E47" i="15"/>
  <c r="E48" i="15"/>
  <c r="E50" i="15"/>
  <c r="I62" i="15"/>
  <c r="F42" i="14"/>
  <c r="E47" i="14"/>
  <c r="E48" i="14"/>
  <c r="E50" i="14"/>
  <c r="G65" i="14"/>
  <c r="I66" i="14"/>
  <c r="H67" i="14"/>
  <c r="F43" i="14"/>
  <c r="G42" i="14"/>
  <c r="F44" i="14"/>
  <c r="H66" i="14"/>
  <c r="G67" i="14"/>
  <c r="H63" i="15"/>
  <c r="G64" i="15"/>
  <c r="F65" i="15"/>
  <c r="E66" i="15"/>
  <c r="D67" i="15"/>
  <c r="H62" i="15"/>
  <c r="G63" i="15"/>
  <c r="F64" i="15"/>
  <c r="E65" i="15"/>
  <c r="D66" i="15"/>
  <c r="C67" i="15"/>
  <c r="G42" i="15"/>
  <c r="F47" i="15"/>
  <c r="F48" i="15"/>
  <c r="F50" i="15"/>
  <c r="G43" i="15"/>
  <c r="H42" i="15"/>
  <c r="G44" i="15"/>
  <c r="G41" i="14"/>
  <c r="F47" i="14"/>
  <c r="F48" i="14"/>
  <c r="F50" i="14"/>
  <c r="G66" i="14"/>
  <c r="F67" i="14"/>
  <c r="G43" i="14"/>
  <c r="H42" i="14"/>
  <c r="G44" i="14"/>
  <c r="F65" i="14"/>
  <c r="H43" i="15"/>
  <c r="I42" i="15"/>
  <c r="H44" i="15"/>
  <c r="H41" i="15"/>
  <c r="G47" i="15"/>
  <c r="G48" i="15"/>
  <c r="G50" i="15"/>
  <c r="E65" i="14"/>
  <c r="H40" i="14"/>
  <c r="G47" i="14"/>
  <c r="G48" i="14"/>
  <c r="G50" i="14"/>
  <c r="H43" i="14"/>
  <c r="I42" i="14"/>
  <c r="H44" i="14"/>
  <c r="F66" i="14"/>
  <c r="E67" i="14"/>
  <c r="H41" i="14"/>
  <c r="I40" i="14"/>
  <c r="I40" i="15"/>
  <c r="H47" i="15"/>
  <c r="H48" i="15"/>
  <c r="H50" i="15"/>
  <c r="I41" i="15"/>
  <c r="J40" i="15"/>
  <c r="I43" i="15"/>
  <c r="J42" i="15"/>
  <c r="I44" i="15"/>
  <c r="I39" i="14"/>
  <c r="J39" i="14"/>
  <c r="I41" i="14"/>
  <c r="J40" i="14"/>
  <c r="K39" i="14"/>
  <c r="E66" i="14"/>
  <c r="D67" i="14"/>
  <c r="D66" i="14"/>
  <c r="C67" i="14"/>
  <c r="I44" i="14"/>
  <c r="I43" i="14"/>
  <c r="J42" i="14"/>
  <c r="H47" i="14"/>
  <c r="H48" i="14"/>
  <c r="H50" i="14"/>
  <c r="J39" i="15"/>
  <c r="I47" i="15"/>
  <c r="I48" i="15"/>
  <c r="I50" i="15"/>
  <c r="J43" i="15"/>
  <c r="K42" i="15"/>
  <c r="J44" i="15"/>
  <c r="J41" i="15"/>
  <c r="K40" i="15"/>
  <c r="J43" i="14"/>
  <c r="K42" i="14"/>
  <c r="J44" i="14"/>
  <c r="J41" i="14"/>
  <c r="K41" i="14"/>
  <c r="K40" i="14"/>
  <c r="L40" i="14"/>
  <c r="L39" i="14"/>
  <c r="M39" i="14"/>
  <c r="J38" i="14"/>
  <c r="K38" i="14"/>
  <c r="I47" i="14"/>
  <c r="I48" i="14"/>
  <c r="I50" i="14"/>
  <c r="K43" i="15"/>
  <c r="L42" i="15"/>
  <c r="K44" i="15"/>
  <c r="K38" i="15"/>
  <c r="J47" i="15"/>
  <c r="J48" i="15"/>
  <c r="J50" i="15"/>
  <c r="K39" i="15"/>
  <c r="L38" i="15"/>
  <c r="K41" i="15"/>
  <c r="L40" i="15"/>
  <c r="K37" i="14"/>
  <c r="L37" i="14"/>
  <c r="L38" i="14"/>
  <c r="M37" i="14"/>
  <c r="J47" i="14"/>
  <c r="J48" i="14"/>
  <c r="J50" i="14"/>
  <c r="L41" i="14"/>
  <c r="M40" i="14"/>
  <c r="N39" i="14"/>
  <c r="K43" i="14"/>
  <c r="L42" i="14"/>
  <c r="K44" i="14"/>
  <c r="M38" i="14"/>
  <c r="N37" i="14"/>
  <c r="L37" i="15"/>
  <c r="M37" i="15"/>
  <c r="L43" i="15"/>
  <c r="M42" i="15"/>
  <c r="L44" i="15"/>
  <c r="L39" i="15"/>
  <c r="M38" i="15"/>
  <c r="N37" i="15"/>
  <c r="K47" i="15"/>
  <c r="K48" i="15"/>
  <c r="K50" i="15"/>
  <c r="L41" i="15"/>
  <c r="M40" i="15"/>
  <c r="N38" i="14"/>
  <c r="O37" i="14"/>
  <c r="L43" i="14"/>
  <c r="M42" i="14"/>
  <c r="L44" i="14"/>
  <c r="L36" i="14"/>
  <c r="M36" i="14"/>
  <c r="K47" i="14"/>
  <c r="K48" i="14"/>
  <c r="K50" i="14"/>
  <c r="M41" i="14"/>
  <c r="N40" i="14"/>
  <c r="O39" i="14"/>
  <c r="M36" i="15"/>
  <c r="N36" i="15"/>
  <c r="L47" i="15"/>
  <c r="L48" i="15"/>
  <c r="L50" i="15"/>
  <c r="M41" i="15"/>
  <c r="N40" i="15"/>
  <c r="N41" i="15"/>
  <c r="O40" i="15"/>
  <c r="M43" i="15"/>
  <c r="N42" i="15"/>
  <c r="M44" i="15"/>
  <c r="M39" i="15"/>
  <c r="N38" i="15"/>
  <c r="O37" i="15"/>
  <c r="N36" i="14"/>
  <c r="N41" i="14"/>
  <c r="O40" i="14"/>
  <c r="P39" i="14"/>
  <c r="O38" i="14"/>
  <c r="P37" i="14"/>
  <c r="M44" i="14"/>
  <c r="M43" i="14"/>
  <c r="N42" i="14"/>
  <c r="M35" i="14"/>
  <c r="N35" i="14"/>
  <c r="L47" i="14"/>
  <c r="L48" i="14"/>
  <c r="L50" i="14"/>
  <c r="O36" i="15"/>
  <c r="N43" i="15"/>
  <c r="O42" i="15"/>
  <c r="N44" i="15"/>
  <c r="N39" i="15"/>
  <c r="O38" i="15"/>
  <c r="P37" i="15"/>
  <c r="N35" i="15"/>
  <c r="O35" i="15"/>
  <c r="M47" i="15"/>
  <c r="M48" i="15"/>
  <c r="M50" i="15"/>
  <c r="P36" i="15"/>
  <c r="O41" i="15"/>
  <c r="P40" i="15"/>
  <c r="O35" i="14"/>
  <c r="O36" i="14"/>
  <c r="N34" i="14"/>
  <c r="O34" i="14"/>
  <c r="M47" i="14"/>
  <c r="M48" i="14"/>
  <c r="M50" i="14"/>
  <c r="N43" i="14"/>
  <c r="O42" i="14"/>
  <c r="N44" i="14"/>
  <c r="O41" i="14"/>
  <c r="P40" i="14"/>
  <c r="Q39" i="14"/>
  <c r="P38" i="14"/>
  <c r="Q37" i="14"/>
  <c r="O34" i="15"/>
  <c r="P34" i="15"/>
  <c r="Q36" i="15"/>
  <c r="O39" i="15"/>
  <c r="P35" i="15"/>
  <c r="Q34" i="15"/>
  <c r="P41" i="15"/>
  <c r="Q40" i="15"/>
  <c r="N47" i="15"/>
  <c r="N48" i="15"/>
  <c r="N50" i="15"/>
  <c r="O43" i="15"/>
  <c r="P42" i="15"/>
  <c r="Q41" i="15"/>
  <c r="O44" i="15"/>
  <c r="O33" i="14"/>
  <c r="P33" i="14"/>
  <c r="O43" i="14"/>
  <c r="P42" i="14"/>
  <c r="O44" i="14"/>
  <c r="N47" i="14"/>
  <c r="N48" i="14"/>
  <c r="N50" i="14"/>
  <c r="Q38" i="14"/>
  <c r="P34" i="14"/>
  <c r="Q33" i="14"/>
  <c r="P35" i="14"/>
  <c r="P36" i="14"/>
  <c r="P41" i="14"/>
  <c r="Q40" i="14"/>
  <c r="Q35" i="15"/>
  <c r="P43" i="15"/>
  <c r="Q42" i="15"/>
  <c r="P44" i="15"/>
  <c r="P33" i="15"/>
  <c r="O47" i="15"/>
  <c r="O48" i="15"/>
  <c r="O50" i="15"/>
  <c r="P38" i="15"/>
  <c r="Q37" i="15"/>
  <c r="P39" i="15"/>
  <c r="Q35" i="14"/>
  <c r="Q36" i="14"/>
  <c r="Q41" i="14"/>
  <c r="P43" i="14"/>
  <c r="Q42" i="14"/>
  <c r="P44" i="14"/>
  <c r="P32" i="14"/>
  <c r="Q32" i="14"/>
  <c r="O47" i="14"/>
  <c r="O48" i="14"/>
  <c r="O50" i="14"/>
  <c r="Q34" i="14"/>
  <c r="Q32" i="15"/>
  <c r="P47" i="15"/>
  <c r="P48" i="15"/>
  <c r="P50" i="15"/>
  <c r="Q33" i="15"/>
  <c r="Q38" i="15"/>
  <c r="Q39" i="15"/>
  <c r="Q43" i="15"/>
  <c r="Q44" i="15"/>
  <c r="Q44" i="14"/>
  <c r="Q43" i="14"/>
  <c r="Q31" i="14"/>
  <c r="P47" i="14"/>
  <c r="P48" i="14"/>
  <c r="P50" i="14"/>
  <c r="Q47" i="15"/>
  <c r="Q48" i="15"/>
  <c r="Q50" i="15"/>
  <c r="D51" i="15"/>
  <c r="Q47" i="14"/>
  <c r="Q48" i="14"/>
  <c r="Q50" i="14"/>
  <c r="D51" i="14"/>
  <c r="B38" i="13"/>
  <c r="C38" i="13"/>
  <c r="B39" i="13"/>
  <c r="C39" i="13"/>
  <c r="B40" i="13"/>
  <c r="D38" i="13"/>
  <c r="B24" i="13"/>
  <c r="C24" i="13"/>
  <c r="D24" i="13"/>
  <c r="E24" i="13"/>
  <c r="B25" i="13"/>
  <c r="C25" i="13"/>
  <c r="D25" i="13"/>
  <c r="E25" i="13"/>
  <c r="B26" i="13"/>
  <c r="C26" i="13"/>
  <c r="D26" i="13"/>
  <c r="B27" i="13"/>
  <c r="C27" i="13"/>
  <c r="B28" i="13"/>
  <c r="F24" i="13"/>
  <c r="B16" i="13"/>
  <c r="C16" i="13"/>
  <c r="D16" i="13"/>
  <c r="D15" i="13"/>
  <c r="E15" i="13"/>
  <c r="F15" i="13"/>
  <c r="G15" i="13"/>
  <c r="G28" i="13"/>
  <c r="C14" i="13"/>
  <c r="D13" i="13"/>
  <c r="C13" i="13"/>
  <c r="E12" i="13"/>
  <c r="D12" i="13"/>
  <c r="C12" i="13"/>
  <c r="F11" i="13"/>
  <c r="E11" i="13"/>
  <c r="D11" i="13"/>
  <c r="C11" i="13"/>
  <c r="B6" i="13"/>
  <c r="K11" i="12"/>
  <c r="L11" i="12"/>
  <c r="M11" i="12"/>
  <c r="N11" i="12"/>
  <c r="K12" i="12"/>
  <c r="L12" i="12"/>
  <c r="M12" i="12"/>
  <c r="N12" i="12"/>
  <c r="K13" i="12"/>
  <c r="L13" i="12"/>
  <c r="M13" i="12"/>
  <c r="K14" i="12"/>
  <c r="L14" i="12"/>
  <c r="K15" i="12"/>
  <c r="K41" i="12"/>
  <c r="B41" i="12"/>
  <c r="L40" i="12"/>
  <c r="K40" i="12"/>
  <c r="C40" i="12"/>
  <c r="B40" i="12"/>
  <c r="M39" i="12"/>
  <c r="L39" i="12"/>
  <c r="K39" i="12"/>
  <c r="D39" i="12"/>
  <c r="C39" i="12"/>
  <c r="B39" i="12"/>
  <c r="N38" i="12"/>
  <c r="M38" i="12"/>
  <c r="L38" i="12"/>
  <c r="K38" i="12"/>
  <c r="E38" i="12"/>
  <c r="D38" i="12"/>
  <c r="C38" i="12"/>
  <c r="B38" i="12"/>
  <c r="B29" i="12"/>
  <c r="C28" i="12"/>
  <c r="B28" i="12"/>
  <c r="D27" i="12"/>
  <c r="C27" i="12"/>
  <c r="B27" i="12"/>
  <c r="E26" i="12"/>
  <c r="D26" i="12"/>
  <c r="C26" i="12"/>
  <c r="B26" i="12"/>
  <c r="F25" i="12"/>
  <c r="E25" i="12"/>
  <c r="D25" i="12"/>
  <c r="C25" i="12"/>
  <c r="B25" i="12"/>
  <c r="G24" i="12"/>
  <c r="F24" i="12"/>
  <c r="E24" i="12"/>
  <c r="D24" i="12"/>
  <c r="C24" i="12"/>
  <c r="B24" i="12"/>
  <c r="B16" i="12"/>
  <c r="C16" i="12"/>
  <c r="D16" i="12"/>
  <c r="E16" i="12"/>
  <c r="C14" i="12"/>
  <c r="D13" i="12"/>
  <c r="C13" i="12"/>
  <c r="E12" i="12"/>
  <c r="D12" i="12"/>
  <c r="C12" i="12"/>
  <c r="F11" i="12"/>
  <c r="E11" i="12"/>
  <c r="D11" i="12"/>
  <c r="C11" i="12"/>
  <c r="B6" i="12"/>
  <c r="D15" i="12"/>
  <c r="E15" i="12"/>
  <c r="C23" i="9"/>
  <c r="C24" i="9"/>
  <c r="C25" i="9"/>
  <c r="C26" i="9"/>
  <c r="C27" i="9"/>
  <c r="B16" i="9"/>
  <c r="C28" i="9"/>
  <c r="C33" i="9"/>
  <c r="C34" i="9"/>
  <c r="D23" i="9"/>
  <c r="E23" i="9"/>
  <c r="F23" i="9"/>
  <c r="G23" i="9"/>
  <c r="D24" i="9"/>
  <c r="E24" i="9"/>
  <c r="F24" i="9"/>
  <c r="D25" i="9"/>
  <c r="E25" i="9"/>
  <c r="D26" i="9"/>
  <c r="G16" i="9"/>
  <c r="C14" i="9"/>
  <c r="D13" i="9"/>
  <c r="C13" i="9"/>
  <c r="E12" i="9"/>
  <c r="D12" i="9"/>
  <c r="C12" i="9"/>
  <c r="F11" i="9"/>
  <c r="E11" i="9"/>
  <c r="D11" i="9"/>
  <c r="C11" i="9"/>
  <c r="B6" i="9"/>
  <c r="E23" i="7"/>
  <c r="F22" i="7"/>
  <c r="G21" i="7"/>
  <c r="H20" i="7"/>
  <c r="I19" i="7"/>
  <c r="J18" i="7"/>
  <c r="K17" i="7"/>
  <c r="L16" i="7"/>
  <c r="L58" i="7"/>
  <c r="L17" i="7"/>
  <c r="L59" i="7"/>
  <c r="B8" i="7"/>
  <c r="K18" i="7"/>
  <c r="L18" i="7"/>
  <c r="L60" i="7"/>
  <c r="J19" i="7"/>
  <c r="K19" i="7"/>
  <c r="L19" i="7"/>
  <c r="L61" i="7"/>
  <c r="I20" i="7"/>
  <c r="J20" i="7"/>
  <c r="K20" i="7"/>
  <c r="L20" i="7"/>
  <c r="L62" i="7"/>
  <c r="H21" i="7"/>
  <c r="I21" i="7"/>
  <c r="J21" i="7"/>
  <c r="K21" i="7"/>
  <c r="L21" i="7"/>
  <c r="L63" i="7"/>
  <c r="G22" i="7"/>
  <c r="H22" i="7"/>
  <c r="I22" i="7"/>
  <c r="J22" i="7"/>
  <c r="K22" i="7"/>
  <c r="L22" i="7"/>
  <c r="L64" i="7"/>
  <c r="F23" i="7"/>
  <c r="G23" i="7"/>
  <c r="H23" i="7"/>
  <c r="I23" i="7"/>
  <c r="J23" i="7"/>
  <c r="K23" i="7"/>
  <c r="L23" i="7"/>
  <c r="L65" i="7"/>
  <c r="E24" i="7"/>
  <c r="F24" i="7"/>
  <c r="G24" i="7"/>
  <c r="H24" i="7"/>
  <c r="I24" i="7"/>
  <c r="J24" i="7"/>
  <c r="K24" i="7"/>
  <c r="L24" i="7"/>
  <c r="L66" i="7"/>
  <c r="D24" i="7"/>
  <c r="E25" i="7"/>
  <c r="F25" i="7"/>
  <c r="G25" i="7"/>
  <c r="H25" i="7"/>
  <c r="I25" i="7"/>
  <c r="J25" i="7"/>
  <c r="K25" i="7"/>
  <c r="L25" i="7"/>
  <c r="L67" i="7"/>
  <c r="D25" i="7"/>
  <c r="C25" i="7"/>
  <c r="E58" i="7"/>
  <c r="E59" i="7"/>
  <c r="E60" i="7"/>
  <c r="E61" i="7"/>
  <c r="E62" i="7"/>
  <c r="E63" i="7"/>
  <c r="E64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F61" i="7"/>
  <c r="G61" i="7"/>
  <c r="H61" i="7"/>
  <c r="F62" i="7"/>
  <c r="G62" i="7"/>
  <c r="F63" i="7"/>
  <c r="K58" i="7"/>
  <c r="C58" i="7"/>
  <c r="C59" i="7"/>
  <c r="C60" i="7"/>
  <c r="C61" i="7"/>
  <c r="C62" i="7"/>
  <c r="C63" i="7"/>
  <c r="C64" i="7"/>
  <c r="C65" i="7"/>
  <c r="C66" i="7"/>
  <c r="D58" i="7"/>
  <c r="D59" i="7"/>
  <c r="D60" i="7"/>
  <c r="D61" i="7"/>
  <c r="D62" i="7"/>
  <c r="D63" i="7"/>
  <c r="D64" i="7"/>
  <c r="D65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30" i="7"/>
  <c r="O30" i="7"/>
  <c r="P30" i="7"/>
  <c r="N31" i="7"/>
  <c r="O31" i="7"/>
  <c r="D43" i="7"/>
  <c r="E42" i="7"/>
  <c r="M15" i="7"/>
  <c r="N32" i="7"/>
  <c r="D44" i="7"/>
  <c r="E44" i="7"/>
  <c r="M16" i="7"/>
  <c r="M17" i="7"/>
  <c r="M18" i="7"/>
  <c r="M19" i="7"/>
  <c r="M20" i="7"/>
  <c r="M21" i="7"/>
  <c r="M22" i="7"/>
  <c r="M23" i="7"/>
  <c r="M24" i="7"/>
  <c r="M25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E30" i="7"/>
  <c r="E31" i="7"/>
  <c r="E32" i="7"/>
  <c r="E33" i="7"/>
  <c r="E34" i="7"/>
  <c r="E35" i="7"/>
  <c r="E36" i="7"/>
  <c r="E37" i="7"/>
  <c r="E38" i="7"/>
  <c r="E39" i="7"/>
  <c r="E40" i="7"/>
  <c r="E41" i="7"/>
  <c r="F30" i="7"/>
  <c r="F31" i="7"/>
  <c r="F32" i="7"/>
  <c r="F33" i="7"/>
  <c r="F34" i="7"/>
  <c r="F35" i="7"/>
  <c r="F36" i="7"/>
  <c r="F37" i="7"/>
  <c r="F38" i="7"/>
  <c r="F39" i="7"/>
  <c r="F40" i="7"/>
  <c r="G30" i="7"/>
  <c r="G31" i="7"/>
  <c r="G32" i="7"/>
  <c r="G33" i="7"/>
  <c r="G34" i="7"/>
  <c r="G35" i="7"/>
  <c r="G36" i="7"/>
  <c r="G37" i="7"/>
  <c r="G38" i="7"/>
  <c r="G39" i="7"/>
  <c r="H30" i="7"/>
  <c r="H31" i="7"/>
  <c r="H32" i="7"/>
  <c r="H33" i="7"/>
  <c r="H34" i="7"/>
  <c r="H35" i="7"/>
  <c r="H36" i="7"/>
  <c r="H37" i="7"/>
  <c r="H38" i="7"/>
  <c r="I30" i="7"/>
  <c r="I31" i="7"/>
  <c r="I32" i="7"/>
  <c r="I33" i="7"/>
  <c r="I34" i="7"/>
  <c r="I35" i="7"/>
  <c r="I36" i="7"/>
  <c r="I37" i="7"/>
  <c r="J30" i="7"/>
  <c r="J31" i="7"/>
  <c r="J32" i="7"/>
  <c r="J33" i="7"/>
  <c r="J34" i="7"/>
  <c r="J35" i="7"/>
  <c r="J36" i="7"/>
  <c r="K30" i="7"/>
  <c r="K31" i="7"/>
  <c r="K32" i="7"/>
  <c r="K33" i="7"/>
  <c r="K34" i="7"/>
  <c r="K35" i="7"/>
  <c r="L30" i="7"/>
  <c r="L31" i="7"/>
  <c r="L32" i="7"/>
  <c r="L33" i="7"/>
  <c r="L34" i="7"/>
  <c r="M30" i="7"/>
  <c r="M31" i="7"/>
  <c r="M32" i="7"/>
  <c r="M33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E17" i="7"/>
  <c r="F17" i="7"/>
  <c r="G17" i="7"/>
  <c r="H17" i="7"/>
  <c r="I17" i="7"/>
  <c r="J17" i="7"/>
  <c r="E18" i="7"/>
  <c r="F18" i="7"/>
  <c r="G18" i="7"/>
  <c r="H18" i="7"/>
  <c r="I18" i="7"/>
  <c r="E19" i="7"/>
  <c r="F19" i="7"/>
  <c r="G19" i="7"/>
  <c r="H19" i="7"/>
  <c r="E20" i="7"/>
  <c r="F20" i="7"/>
  <c r="G20" i="7"/>
  <c r="E21" i="7"/>
  <c r="F21" i="7"/>
  <c r="E22" i="7"/>
  <c r="D12" i="7"/>
  <c r="D13" i="7"/>
  <c r="D14" i="7"/>
  <c r="D15" i="7"/>
  <c r="D16" i="7"/>
  <c r="D17" i="7"/>
  <c r="D18" i="7"/>
  <c r="D19" i="7"/>
  <c r="D20" i="7"/>
  <c r="D21" i="7"/>
  <c r="D22" i="7"/>
  <c r="D23" i="7"/>
  <c r="B35" i="8"/>
  <c r="C35" i="8"/>
  <c r="B36" i="8"/>
  <c r="C36" i="8"/>
  <c r="B37" i="8"/>
  <c r="D35" i="8"/>
  <c r="D13" i="8"/>
  <c r="L35" i="8"/>
  <c r="L36" i="8"/>
  <c r="M35" i="8"/>
  <c r="B21" i="8"/>
  <c r="C21" i="8"/>
  <c r="D21" i="8"/>
  <c r="B22" i="8"/>
  <c r="C22" i="8"/>
  <c r="D22" i="8"/>
  <c r="B23" i="8"/>
  <c r="C23" i="8"/>
  <c r="D23" i="8"/>
  <c r="B24" i="8"/>
  <c r="C24" i="8"/>
  <c r="B25" i="8"/>
  <c r="E21" i="8"/>
  <c r="E22" i="8"/>
  <c r="E11" i="8"/>
  <c r="E12" i="8"/>
  <c r="D11" i="8"/>
  <c r="F11" i="8"/>
  <c r="D12" i="8"/>
  <c r="C11" i="8"/>
  <c r="C12" i="8"/>
  <c r="C13" i="8"/>
  <c r="C14" i="8"/>
  <c r="K64" i="7"/>
  <c r="K62" i="7"/>
  <c r="K66" i="7"/>
  <c r="E43" i="7"/>
  <c r="F42" i="7"/>
  <c r="K67" i="7"/>
  <c r="K65" i="7"/>
  <c r="J66" i="7"/>
  <c r="K59" i="7"/>
  <c r="D47" i="7"/>
  <c r="D48" i="7"/>
  <c r="D50" i="7"/>
  <c r="K63" i="7"/>
  <c r="K60" i="7"/>
  <c r="F44" i="7"/>
  <c r="J64" i="7"/>
  <c r="J63" i="7"/>
  <c r="K61" i="7"/>
  <c r="J62" i="7"/>
  <c r="E47" i="7"/>
  <c r="E48" i="7"/>
  <c r="E50" i="7"/>
  <c r="F41" i="7"/>
  <c r="G40" i="7"/>
  <c r="H39" i="7"/>
  <c r="I38" i="7"/>
  <c r="J37" i="7"/>
  <c r="K36" i="7"/>
  <c r="L35" i="7"/>
  <c r="M34" i="7"/>
  <c r="G41" i="7"/>
  <c r="H40" i="7"/>
  <c r="I39" i="7"/>
  <c r="J38" i="7"/>
  <c r="K37" i="7"/>
  <c r="L36" i="7"/>
  <c r="M35" i="7"/>
  <c r="N34" i="7"/>
  <c r="J67" i="7"/>
  <c r="J60" i="7"/>
  <c r="J61" i="7"/>
  <c r="J65" i="7"/>
  <c r="I65" i="7"/>
  <c r="F43" i="7"/>
  <c r="G42" i="7"/>
  <c r="I67" i="7"/>
  <c r="I62" i="7"/>
  <c r="I64" i="7"/>
  <c r="I61" i="7"/>
  <c r="H62" i="7"/>
  <c r="I63" i="7"/>
  <c r="H64" i="7"/>
  <c r="H41" i="7"/>
  <c r="I40" i="7"/>
  <c r="J39" i="7"/>
  <c r="K38" i="7"/>
  <c r="L37" i="7"/>
  <c r="M36" i="7"/>
  <c r="N35" i="7"/>
  <c r="O34" i="7"/>
  <c r="F47" i="7"/>
  <c r="F48" i="7"/>
  <c r="F50" i="7"/>
  <c r="N33" i="7"/>
  <c r="G43" i="7"/>
  <c r="H42" i="7"/>
  <c r="G44" i="7"/>
  <c r="I66" i="7"/>
  <c r="H67" i="7"/>
  <c r="H65" i="7"/>
  <c r="G65" i="7"/>
  <c r="H66" i="7"/>
  <c r="G67" i="7"/>
  <c r="I41" i="7"/>
  <c r="J40" i="7"/>
  <c r="K39" i="7"/>
  <c r="L38" i="7"/>
  <c r="M37" i="7"/>
  <c r="N36" i="7"/>
  <c r="O35" i="7"/>
  <c r="P34" i="7"/>
  <c r="O32" i="7"/>
  <c r="G47" i="7"/>
  <c r="G48" i="7"/>
  <c r="G50" i="7"/>
  <c r="O33" i="7"/>
  <c r="H63" i="7"/>
  <c r="G64" i="7"/>
  <c r="P33" i="7"/>
  <c r="H43" i="7"/>
  <c r="I42" i="7"/>
  <c r="J41" i="7"/>
  <c r="K40" i="7"/>
  <c r="L39" i="7"/>
  <c r="M38" i="7"/>
  <c r="N37" i="7"/>
  <c r="O36" i="7"/>
  <c r="P35" i="7"/>
  <c r="Q34" i="7"/>
  <c r="H44" i="7"/>
  <c r="H47" i="7"/>
  <c r="H48" i="7"/>
  <c r="H50" i="7"/>
  <c r="G63" i="7"/>
  <c r="F64" i="7"/>
  <c r="F65" i="7"/>
  <c r="E65" i="7"/>
  <c r="G66" i="7"/>
  <c r="F67" i="7"/>
  <c r="P32" i="7"/>
  <c r="Q32" i="7"/>
  <c r="I44" i="7"/>
  <c r="I43" i="7"/>
  <c r="J42" i="7"/>
  <c r="K41" i="7"/>
  <c r="P31" i="7"/>
  <c r="Q31" i="7"/>
  <c r="Q33" i="7"/>
  <c r="F66" i="7"/>
  <c r="E67" i="7"/>
  <c r="E66" i="7"/>
  <c r="J43" i="7"/>
  <c r="K42" i="7"/>
  <c r="L41" i="7"/>
  <c r="J44" i="7"/>
  <c r="L40" i="7"/>
  <c r="M39" i="7"/>
  <c r="Q30" i="7"/>
  <c r="I47" i="7"/>
  <c r="I48" i="7"/>
  <c r="I50" i="7"/>
  <c r="D67" i="7"/>
  <c r="D66" i="7"/>
  <c r="C67" i="7"/>
  <c r="M40" i="7"/>
  <c r="N39" i="7"/>
  <c r="N38" i="7"/>
  <c r="O38" i="7"/>
  <c r="K44" i="7"/>
  <c r="K43" i="7"/>
  <c r="L42" i="7"/>
  <c r="M41" i="7"/>
  <c r="N40" i="7"/>
  <c r="O39" i="7"/>
  <c r="J47" i="7"/>
  <c r="J48" i="7"/>
  <c r="J50" i="7"/>
  <c r="P38" i="7"/>
  <c r="L44" i="7"/>
  <c r="L43" i="7"/>
  <c r="M42" i="7"/>
  <c r="N41" i="7"/>
  <c r="O40" i="7"/>
  <c r="P39" i="7"/>
  <c r="Q38" i="7"/>
  <c r="K47" i="7"/>
  <c r="K48" i="7"/>
  <c r="K50" i="7"/>
  <c r="O37" i="7"/>
  <c r="P37" i="7"/>
  <c r="M43" i="7"/>
  <c r="N42" i="7"/>
  <c r="O41" i="7"/>
  <c r="P40" i="7"/>
  <c r="Q39" i="7"/>
  <c r="M44" i="7"/>
  <c r="L47" i="7"/>
  <c r="L48" i="7"/>
  <c r="L50" i="7"/>
  <c r="Q37" i="7"/>
  <c r="P36" i="7"/>
  <c r="Q35" i="7"/>
  <c r="N43" i="7"/>
  <c r="O42" i="7"/>
  <c r="P41" i="7"/>
  <c r="Q40" i="7"/>
  <c r="N44" i="7"/>
  <c r="M47" i="7"/>
  <c r="M48" i="7"/>
  <c r="M50" i="7"/>
  <c r="Q36" i="7"/>
  <c r="O43" i="7"/>
  <c r="P42" i="7"/>
  <c r="Q41" i="7"/>
  <c r="O44" i="7"/>
  <c r="N47" i="7"/>
  <c r="N48" i="7"/>
  <c r="N50" i="7"/>
  <c r="P44" i="7"/>
  <c r="P43" i="7"/>
  <c r="Q42" i="7"/>
  <c r="O47" i="7"/>
  <c r="O48" i="7"/>
  <c r="O50" i="7"/>
  <c r="P47" i="7"/>
  <c r="P48" i="7"/>
  <c r="P50" i="7"/>
  <c r="Q43" i="7"/>
  <c r="Q44" i="7"/>
  <c r="Q47" i="7"/>
  <c r="Q48" i="7"/>
  <c r="Q50" i="7"/>
  <c r="D51" i="7"/>
  <c r="F13" i="8"/>
  <c r="G13" i="8"/>
  <c r="E14" i="12"/>
  <c r="D15" i="16"/>
  <c r="E15" i="16"/>
  <c r="F15" i="16"/>
  <c r="G15" i="16"/>
  <c r="G28" i="16"/>
  <c r="F29" i="16"/>
  <c r="F15" i="8"/>
  <c r="G15" i="8"/>
  <c r="N16" i="12"/>
  <c r="F16" i="12"/>
  <c r="G16" i="12"/>
  <c r="G30" i="12"/>
  <c r="E14" i="16"/>
  <c r="F14" i="16"/>
  <c r="G14" i="16"/>
  <c r="G27" i="16"/>
  <c r="E13" i="16"/>
  <c r="F16" i="8"/>
  <c r="G16" i="8"/>
  <c r="E38" i="8"/>
  <c r="F28" i="13"/>
  <c r="F12" i="8"/>
  <c r="G14" i="9"/>
  <c r="F15" i="12"/>
  <c r="G15" i="12"/>
  <c r="G29" i="12"/>
  <c r="N15" i="12"/>
  <c r="M16" i="12"/>
  <c r="E36" i="8"/>
  <c r="N14" i="12"/>
  <c r="F14" i="12"/>
  <c r="G14" i="12"/>
  <c r="G28" i="12"/>
  <c r="E16" i="13"/>
  <c r="F14" i="8"/>
  <c r="G14" i="8"/>
  <c r="G15" i="9"/>
  <c r="F29" i="12"/>
  <c r="F30" i="12"/>
  <c r="F28" i="16"/>
  <c r="F28" i="12"/>
  <c r="E35" i="8"/>
  <c r="N13" i="12"/>
  <c r="E28" i="13"/>
  <c r="E40" i="13"/>
  <c r="M15" i="12"/>
  <c r="L16" i="12"/>
  <c r="G11" i="8"/>
  <c r="G12" i="8"/>
  <c r="D33" i="9"/>
  <c r="D34" i="9"/>
  <c r="E37" i="8"/>
  <c r="D37" i="8"/>
  <c r="M14" i="12"/>
  <c r="L15" i="12"/>
  <c r="K16" i="12"/>
  <c r="F41" i="12"/>
  <c r="E30" i="12"/>
  <c r="O41" i="12"/>
  <c r="N36" i="8"/>
  <c r="F42" i="12"/>
  <c r="O42" i="12"/>
  <c r="G13" i="9"/>
  <c r="E29" i="16"/>
  <c r="F40" i="12"/>
  <c r="E29" i="12"/>
  <c r="D30" i="12"/>
  <c r="O40" i="12"/>
  <c r="N41" i="12"/>
  <c r="F16" i="13"/>
  <c r="F12" i="16"/>
  <c r="F13" i="16"/>
  <c r="G13" i="16"/>
  <c r="G26" i="16"/>
  <c r="F27" i="16"/>
  <c r="E28" i="16"/>
  <c r="D29" i="16"/>
  <c r="E42" i="12"/>
  <c r="D27" i="13"/>
  <c r="G12" i="16"/>
  <c r="G25" i="16"/>
  <c r="F26" i="16"/>
  <c r="E27" i="16"/>
  <c r="D28" i="16"/>
  <c r="C29" i="16"/>
  <c r="G11" i="16"/>
  <c r="G24" i="16"/>
  <c r="G16" i="13"/>
  <c r="G29" i="13"/>
  <c r="F29" i="13"/>
  <c r="E29" i="13"/>
  <c r="N35" i="8"/>
  <c r="M36" i="8"/>
  <c r="D36" i="8"/>
  <c r="E28" i="12"/>
  <c r="D29" i="12"/>
  <c r="C30" i="12"/>
  <c r="O39" i="12"/>
  <c r="N42" i="12"/>
  <c r="M42" i="12"/>
  <c r="D28" i="13"/>
  <c r="D40" i="13"/>
  <c r="E33" i="9"/>
  <c r="E34" i="9"/>
  <c r="G12" i="9"/>
  <c r="G11" i="9"/>
  <c r="N37" i="8"/>
  <c r="M37" i="8"/>
  <c r="D38" i="8"/>
  <c r="C38" i="8"/>
  <c r="E41" i="12"/>
  <c r="D42" i="12"/>
  <c r="H26" i="9"/>
  <c r="E27" i="12"/>
  <c r="F25" i="16"/>
  <c r="E26" i="16"/>
  <c r="D27" i="16"/>
  <c r="C28" i="16"/>
  <c r="B29" i="16"/>
  <c r="E41" i="13"/>
  <c r="D41" i="13"/>
  <c r="C41" i="13"/>
  <c r="D29" i="13"/>
  <c r="D28" i="12"/>
  <c r="C29" i="12"/>
  <c r="B30" i="12"/>
  <c r="D39" i="13"/>
  <c r="C40" i="13"/>
  <c r="H23" i="9"/>
  <c r="H27" i="9"/>
  <c r="H24" i="9"/>
  <c r="F33" i="9"/>
  <c r="F34" i="9"/>
  <c r="E40" i="12"/>
  <c r="D41" i="12"/>
  <c r="C42" i="12"/>
  <c r="C28" i="13"/>
  <c r="C37" i="8"/>
  <c r="N40" i="12"/>
  <c r="M41" i="12"/>
  <c r="L42" i="12"/>
  <c r="C29" i="13"/>
  <c r="L37" i="8"/>
  <c r="O38" i="12"/>
  <c r="N39" i="12"/>
  <c r="H29" i="9"/>
  <c r="H28" i="9"/>
  <c r="B41" i="13"/>
  <c r="D40" i="12"/>
  <c r="C41" i="12"/>
  <c r="B42" i="12"/>
  <c r="C44" i="12"/>
  <c r="M40" i="12"/>
  <c r="L41" i="12"/>
  <c r="K42" i="12"/>
  <c r="L44" i="12"/>
  <c r="B29" i="13"/>
  <c r="H25" i="9"/>
  <c r="B38" i="8"/>
  <c r="H33" i="9"/>
  <c r="H34" i="9"/>
</calcChain>
</file>

<file path=xl/comments1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<sst xmlns="http://schemas.openxmlformats.org/spreadsheetml/2006/main" count="160" uniqueCount="59">
  <si>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</si>
  <si>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</si>
  <si>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</si>
  <si>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</si>
  <si>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</si>
  <si>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</si>
  <si>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</si>
  <si>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</si>
  <si>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</si>
  <si>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</si>
  <si>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</si>
  <si>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</si>
  <si>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</si>
  <si>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</si>
  <si>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</si>
  <si>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</si>
  <si>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</si>
  <si>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</si>
  <si>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</si>
  <si>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</si>
  <si>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</si>
  <si>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</si>
  <si>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</si>
  <si>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</si>
  <si>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</si>
  <si>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</si>
  <si>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</si>
  <si>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</si>
  <si>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</si>
  <si>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</si>
  <si>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</si>
  <si>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</si>
  <si>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</si>
  <si>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</si>
  <si>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</si>
  <si>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</si>
  <si>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</si>
  <si>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</si>
  <si>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</si>
  <si>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</si>
  <si>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</si>
  <si>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</si>
  <si>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</si>
  <si>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</si>
  <si>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</si>
  <si>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 With Expiration t = 6</t>
  </si>
  <si>
    <t>Swaption Strike</t>
  </si>
  <si>
    <t>Swaption:  Expiration t = 3</t>
  </si>
  <si>
    <t>Caplet With Expiration t = 6</t>
  </si>
  <si>
    <t>10-Year Zero-Coupon Bond</t>
  </si>
  <si>
    <t>Bond Forward</t>
  </si>
  <si>
    <t>Forward Price</t>
  </si>
  <si>
    <t>Bond Future</t>
  </si>
  <si>
    <t>American Call Option</t>
  </si>
  <si>
    <t>Forward Swap</t>
  </si>
  <si>
    <t>Elementary Price</t>
  </si>
  <si>
    <t>Initial Value:</t>
  </si>
  <si>
    <t>Fixed Rate:</t>
  </si>
  <si>
    <t>Swaption (Wrong)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</si>
</sst>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%"/>
    <numFmt numFmtId="167" formatCode="0.0000000"/>
    <numFmt numFmtId="168" formatCode="0.00000"/>
  </numFmts>
  <fonts count="11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0" fontId="0" fillId="0" borderId="14" xfId="0" applyNumberFormat="1" applyBorder="1"/>
    <xf numFmtId="10" fontId="2" fillId="0" borderId="14" xfId="0" applyNumberFormat="1" applyFont="1" applyBorder="1"/>
    <xf numFmtId="10" fontId="0" fillId="0" borderId="6" xfId="0" applyNumberFormat="1" applyBorder="1"/>
    <xf numFmtId="164" fontId="0" fillId="0" borderId="14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3" fillId="0" borderId="0" xfId="0" applyNumberFormat="1" applyFont="1"/>
    <xf numFmtId="168" fontId="3" fillId="7" borderId="0" xfId="0" applyNumberFormat="1" applyFont="1" applyFill="1"/>
    <xf numFmtId="164" fontId="0" fillId="0" borderId="0" xfId="0" applyNumberFormat="1" applyFont="1" applyBorder="1"/>
    <xf numFmtId="165" fontId="0" fillId="0" borderId="0" xfId="0" applyNumberFormat="1" applyBorder="1"/>
    <xf numFmtId="1" fontId="0" fillId="0" borderId="0" xfId="0" applyNumberFormat="1"/>
    <xf numFmtId="0" fontId="0" fillId="0" borderId="0" xfId="0" applyFill="1" applyBorder="1"/>
    <xf numFmtId="0" fontId="0" fillId="0" borderId="0" xfId="0" applyNumberFormat="1"/>
    <xf numFmtId="168" fontId="0" fillId="0" borderId="0" xfId="0" applyNumberFormat="1" applyBorder="1"/>
    <xf numFmtId="1" fontId="2" fillId="0" borderId="0" xfId="0" applyNumberFormat="1" applyFont="1"/>
    <xf numFmtId="0" fontId="2" fillId="8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2" borderId="0" xfId="0" quotePrefix="1" applyFont="1" applyFill="1" applyBorder="1" applyAlignment="1">
      <alignment horizontal="center"/>
    </xf>
    <xf numFmtId="165" fontId="5" fillId="2" borderId="0" xfId="0" applyNumberFormat="1" applyFont="1" applyFill="1" applyBorder="1" applyAlignment="1">
      <alignment horizontal="center"/>
    </xf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topLeftCell="A81" workbookViewId="0">
      <selection activeCell="F92" sqref="F92"/>
    </sheetView>
  </sheetViews>
  <sheetFormatPr baseColWidth="10" defaultRowHeight="13" x14ac:dyDescent="0.15"/>
  <cols>
    <col min="3" max="3" width="13.3984375" bestFit="1" customWidth="1"/>
    <col min="4" max="4" width="13" bestFit="1" customWidth="1"/>
    <col min="8" max="8" width="12.59765625" bestFit="1" customWidth="1"/>
    <col min="9" max="9" width="13.796875" bestFit="1" customWidth="1"/>
    <col min="12" max="12" width="11.796875" bestFit="1" customWidth="1"/>
    <col min="13" max="13" width="13.3984375" bestFit="1" customWidth="1"/>
    <col min="14" max="14" width="13.796875" bestFit="1" customWidth="1"/>
  </cols>
  <sheetData>
    <row r="1" spans="1:13" x14ac:dyDescent="0.15">
      <c r="A1" s="122" t="s">
        <v>32</v>
      </c>
      <c r="B1" s="122"/>
      <c r="C1" s="113"/>
      <c r="D1" s="113"/>
      <c r="E1" s="113"/>
      <c r="F1" s="113"/>
      <c r="G1" s="113"/>
    </row>
    <row r="2" spans="1:13" x14ac:dyDescent="0.15">
      <c r="A2" s="113"/>
      <c r="B2" s="64">
        <v>0</v>
      </c>
      <c r="C2" s="64">
        <v>1</v>
      </c>
      <c r="D2" s="64">
        <v>2</v>
      </c>
      <c r="E2" s="64">
        <v>3</v>
      </c>
      <c r="F2" s="64">
        <v>4</v>
      </c>
      <c r="G2" s="64">
        <v>5</v>
      </c>
      <c r="H2" s="114">
        <f>G2+1</f>
        <v>6</v>
      </c>
      <c r="I2" s="114">
        <f>H2+1</f>
        <v>7</v>
      </c>
      <c r="J2" s="114">
        <f>I2+1</f>
        <v>8</v>
      </c>
      <c r="K2" s="114">
        <f>J2+1</f>
        <v>9</v>
      </c>
      <c r="L2" s="114">
        <f>K2+1</f>
        <v>10</v>
      </c>
      <c r="M2">
        <v>11</v>
      </c>
    </row>
    <row r="3" spans="1:13" x14ac:dyDescent="0.15">
      <c r="A3">
        <v>11</v>
      </c>
      <c r="L3" s="68" t="str">
        <f ca="1">IF($A3 &lt; L$2, 'ZCB+Options'!$B$4*OFFSET(L3,0,-1),IF($A3=L$2,'ZCB+Options'!$B$3*OFFSET(L3,1,-1),""))</f>
        <v/>
      </c>
      <c r="M3" s="68">
        <f ca="1">IF($A3 &lt; M$2, 'ZCB+Options'!$B$4*OFFSET(M3,0,-1),IF($A3=M$2,'ZCB+Options'!$B$3*OFFSET(M3,1,-1),""))</f>
        <v>0.14265583530550008</v>
      </c>
    </row>
    <row r="4" spans="1:13" x14ac:dyDescent="0.15">
      <c r="A4">
        <v>10</v>
      </c>
      <c r="G4" s="68" t="str">
        <f ca="1">IF($A4 &lt; G$2, 'ZCB+Options'!$B$4*OFFSET(G4,0,-1),IF($A4=G$2,'ZCB+Options'!$B$3*OFFSET(G4,1,-1),""))</f>
        <v/>
      </c>
      <c r="H4" s="68" t="str">
        <f ca="1">IF($A4 &lt; H$2, 'ZCB+Options'!$B$4*OFFSET(H4,0,-1),IF($A4=H$2,'ZCB+Options'!$B$3*OFFSET(H4,1,-1),""))</f>
        <v/>
      </c>
      <c r="I4" s="68" t="str">
        <f ca="1">IF($A4 &lt; I$2, 'ZCB+Options'!$B$4*OFFSET(I4,0,-1),IF($A4=I$2,'ZCB+Options'!$B$3*OFFSET(I4,1,-1),""))</f>
        <v/>
      </c>
      <c r="J4" s="68" t="str">
        <f ca="1">IF($A4 &lt; J$2, 'ZCB+Options'!$B$4*OFFSET(J4,0,-1),IF($A4=J$2,'ZCB+Options'!$B$3*OFFSET(J4,1,-1),""))</f>
        <v/>
      </c>
      <c r="K4" s="68" t="str">
        <f ca="1">IF($A4 &lt; K$2, 'ZCB+Options'!$B$4*OFFSET(K4,0,-1),IF($A4=K$2,'ZCB+Options'!$B$3*OFFSET(K4,1,-1),""))</f>
        <v/>
      </c>
      <c r="L4" s="68">
        <f ca="1">IF($A4 &lt; L$2, 'ZCB+Options'!$B$4*OFFSET(L4,0,-1),IF($A4=L$2,'ZCB+Options'!$B$3*OFFSET(L4,1,-1),""))</f>
        <v>0.12968712300500007</v>
      </c>
      <c r="M4" s="68">
        <f ca="1">IF($A4 &lt; M$2, 'ZCB+Options'!$B$4*OFFSET(M4,0,-1),IF($A4=M$2,'ZCB+Options'!$B$3*OFFSET(M4,1,-1),""))</f>
        <v>0.11671841070450006</v>
      </c>
    </row>
    <row r="5" spans="1:13" x14ac:dyDescent="0.15">
      <c r="A5">
        <v>9</v>
      </c>
      <c r="G5" s="68" t="str">
        <f ca="1">IF($A5 &lt; G$2, 'ZCB+Options'!$B$4*OFFSET(G5,0,-1),IF($A5=G$2,'ZCB+Options'!$B$3*OFFSET(G5,1,-1),""))</f>
        <v/>
      </c>
      <c r="H5" s="68" t="str">
        <f ca="1">IF($A5 &lt; H$2, 'ZCB+Options'!$B$4*OFFSET(H5,0,-1),IF($A5=H$2,'ZCB+Options'!$B$3*OFFSET(H5,1,-1),""))</f>
        <v/>
      </c>
      <c r="I5" s="68" t="str">
        <f ca="1">IF($A5 &lt; I$2, 'ZCB+Options'!$B$4*OFFSET(I5,0,-1),IF($A5=I$2,'ZCB+Options'!$B$3*OFFSET(I5,1,-1),""))</f>
        <v/>
      </c>
      <c r="J5" s="68" t="str">
        <f ca="1">IF($A5 &lt; J$2, 'ZCB+Options'!$B$4*OFFSET(J5,0,-1),IF($A5=J$2,'ZCB+Options'!$B$3*OFFSET(J5,1,-1),""))</f>
        <v/>
      </c>
      <c r="K5" s="68">
        <f ca="1">IF($A5 &lt; K$2, 'ZCB+Options'!$B$4*OFFSET(K5,0,-1),IF($A5=K$2,'ZCB+Options'!$B$3*OFFSET(K5,1,-1),""))</f>
        <v>0.11789738455000007</v>
      </c>
      <c r="L5" s="68">
        <f ca="1">IF($A5 &lt; L$2, 'ZCB+Options'!$B$4*OFFSET(L5,0,-1),IF($A5=L$2,'ZCB+Options'!$B$3*OFFSET(L5,1,-1),""))</f>
        <v>0.10610764609500006</v>
      </c>
      <c r="M5" s="68">
        <f ca="1">IF($A5 &lt; M$2, 'ZCB+Options'!$B$4*OFFSET(M5,0,-1),IF($A5=M$2,'ZCB+Options'!$B$3*OFFSET(M5,1,-1),""))</f>
        <v>9.5496881485500063E-2</v>
      </c>
    </row>
    <row r="6" spans="1:13" x14ac:dyDescent="0.15">
      <c r="A6">
        <v>8</v>
      </c>
      <c r="G6" s="68" t="str">
        <f ca="1">IF($A6 &lt; G$2, 'ZCB+Options'!$B$4*OFFSET(G6,0,-1),IF($A6=G$2,'ZCB+Options'!$B$3*OFFSET(G6,1,-1),""))</f>
        <v/>
      </c>
      <c r="H6" s="68" t="str">
        <f ca="1">IF($A6 &lt; H$2, 'ZCB+Options'!$B$4*OFFSET(H6,0,-1),IF($A6=H$2,'ZCB+Options'!$B$3*OFFSET(H6,1,-1),""))</f>
        <v/>
      </c>
      <c r="I6" s="68" t="str">
        <f ca="1">IF($A6 &lt; I$2, 'ZCB+Options'!$B$4*OFFSET(I6,0,-1),IF($A6=I$2,'ZCB+Options'!$B$3*OFFSET(I6,1,-1),""))</f>
        <v/>
      </c>
      <c r="J6" s="68">
        <f ca="1">IF($A6 &lt; J$2, 'ZCB+Options'!$B$4*OFFSET(J6,0,-1),IF($A6=J$2,'ZCB+Options'!$B$3*OFFSET(J6,1,-1),""))</f>
        <v>0.10717944050000006</v>
      </c>
      <c r="K6" s="68">
        <f ca="1">IF($A6 &lt; K$2, 'ZCB+Options'!$B$4*OFFSET(K6,0,-1),IF($A6=K$2,'ZCB+Options'!$B$3*OFFSET(K6,1,-1),""))</f>
        <v>9.6461496450000059E-2</v>
      </c>
      <c r="L6" s="68">
        <f ca="1">IF($A6 &lt; L$2, 'ZCB+Options'!$B$4*OFFSET(L6,0,-1),IF($A6=L$2,'ZCB+Options'!$B$3*OFFSET(L6,1,-1),""))</f>
        <v>8.6815346805000054E-2</v>
      </c>
      <c r="M6" s="68">
        <f ca="1">IF($A6 &lt; M$2, 'ZCB+Options'!$B$4*OFFSET(M6,0,-1),IF($A6=M$2,'ZCB+Options'!$B$3*OFFSET(M6,1,-1),""))</f>
        <v>7.8133812124500046E-2</v>
      </c>
    </row>
    <row r="7" spans="1:13" x14ac:dyDescent="0.15">
      <c r="A7">
        <v>7</v>
      </c>
      <c r="G7" s="68" t="str">
        <f ca="1">IF($A7 &lt; G$2, 'ZCB+Options'!$B$4*OFFSET(G7,0,-1),IF($A7=G$2,'ZCB+Options'!$B$3*OFFSET(G7,1,-1),""))</f>
        <v/>
      </c>
      <c r="H7" s="68" t="str">
        <f ca="1">IF($A7 &lt; H$2, 'ZCB+Options'!$B$4*OFFSET(H7,0,-1),IF($A7=H$2,'ZCB+Options'!$B$3*OFFSET(H7,1,-1),""))</f>
        <v/>
      </c>
      <c r="I7" s="68">
        <f ca="1">IF($A7 &lt; I$2, 'ZCB+Options'!$B$4*OFFSET(I7,0,-1),IF($A7=I$2,'ZCB+Options'!$B$3*OFFSET(I7,1,-1),""))</f>
        <v>9.7435855000000043E-2</v>
      </c>
      <c r="J7" s="68">
        <f ca="1">IF($A7 &lt; J$2, 'ZCB+Options'!$B$4*OFFSET(J7,0,-1),IF($A7=J$2,'ZCB+Options'!$B$3*OFFSET(J7,1,-1),""))</f>
        <v>8.7692269500000045E-2</v>
      </c>
      <c r="K7" s="68">
        <f ca="1">IF($A7 &lt; K$2, 'ZCB+Options'!$B$4*OFFSET(K7,0,-1),IF($A7=K$2,'ZCB+Options'!$B$3*OFFSET(K7,1,-1),""))</f>
        <v>7.8923042550000044E-2</v>
      </c>
      <c r="L7" s="68">
        <f ca="1">IF($A7 &lt; L$2, 'ZCB+Options'!$B$4*OFFSET(L7,0,-1),IF($A7=L$2,'ZCB+Options'!$B$3*OFFSET(L7,1,-1),""))</f>
        <v>7.1030738295000048E-2</v>
      </c>
      <c r="M7" s="68">
        <f ca="1">IF($A7 &lt; M$2, 'ZCB+Options'!$B$4*OFFSET(M7,0,-1),IF($A7=M$2,'ZCB+Options'!$B$3*OFFSET(M7,1,-1),""))</f>
        <v>6.392766446550005E-2</v>
      </c>
    </row>
    <row r="8" spans="1:13" x14ac:dyDescent="0.15">
      <c r="A8">
        <v>6</v>
      </c>
      <c r="G8" s="68" t="str">
        <f ca="1">IF($A8 &lt; G$2, 'ZCB+Options'!$B$4*OFFSET(G8,0,-1),IF($A8=G$2,'ZCB+Options'!$B$3*OFFSET(G8,1,-1),""))</f>
        <v/>
      </c>
      <c r="H8" s="68">
        <f ca="1">IF($A8 &lt; H$2, 'ZCB+Options'!$B$4*OFFSET(H8,0,-1),IF($A8=H$2,'ZCB+Options'!$B$3*OFFSET(H8,1,-1),""))</f>
        <v>8.8578050000000033E-2</v>
      </c>
      <c r="I8" s="68">
        <f ca="1">IF($A8 &lt; I$2, 'ZCB+Options'!$B$4*OFFSET(I8,0,-1),IF($A8=I$2,'ZCB+Options'!$B$3*OFFSET(I8,1,-1),""))</f>
        <v>7.9720245000000037E-2</v>
      </c>
      <c r="J8" s="68">
        <f ca="1">IF($A8 &lt; J$2, 'ZCB+Options'!$B$4*OFFSET(J8,0,-1),IF($A8=J$2,'ZCB+Options'!$B$3*OFFSET(J8,1,-1),""))</f>
        <v>7.1748220500000029E-2</v>
      </c>
      <c r="K8" s="68">
        <f ca="1">IF($A8 &lt; K$2, 'ZCB+Options'!$B$4*OFFSET(K8,0,-1),IF($A8=K$2,'ZCB+Options'!$B$3*OFFSET(K8,1,-1),""))</f>
        <v>6.4573398450000027E-2</v>
      </c>
      <c r="L8" s="68">
        <f ca="1">IF($A8 &lt; L$2, 'ZCB+Options'!$B$4*OFFSET(L8,0,-1),IF($A8=L$2,'ZCB+Options'!$B$3*OFFSET(L8,1,-1),""))</f>
        <v>5.8116058605000027E-2</v>
      </c>
      <c r="M8" s="68">
        <f ca="1">IF($A8 &lt; M$2, 'ZCB+Options'!$B$4*OFFSET(M8,0,-1),IF($A8=M$2,'ZCB+Options'!$B$3*OFFSET(M8,1,-1),""))</f>
        <v>5.2304452744500025E-2</v>
      </c>
    </row>
    <row r="9" spans="1:13" x14ac:dyDescent="0.15">
      <c r="A9" s="64">
        <v>5</v>
      </c>
      <c r="B9" s="67"/>
      <c r="C9" s="68" t="str">
        <f ca="1">IF($A9 &lt; 'ZCB+Options'!C$10, 'ZCB+Options'!$B$4*OFFSET(C9,0,-1),IF($A9='ZCB+Options'!C$10,'ZCB+Options'!$B$3*OFFSET(C9,1,-1),""))</f>
        <v/>
      </c>
      <c r="D9" s="68" t="str">
        <f ca="1">IF($A9 &lt; 'ZCB+Options'!D$10, 'ZCB+Options'!$B$4*OFFSET(D9,0,-1),IF($A9='ZCB+Options'!D$10,'ZCB+Options'!$B$3*OFFSET(D9,1,-1),""))</f>
        <v/>
      </c>
      <c r="E9" s="68" t="str">
        <f ca="1">IF($A9 &lt; 'ZCB+Options'!E$10, 'ZCB+Options'!$B$4*OFFSET(E9,0,-1),IF($A9='ZCB+Options'!E$10,'ZCB+Options'!$B$3*OFFSET(E9,1,-1),""))</f>
        <v/>
      </c>
      <c r="F9" s="68" t="str">
        <f ca="1">IF($A9 &lt; 'ZCB+Options'!F$10, 'ZCB+Options'!$B$4*OFFSET(F9,0,-1),IF($A9='ZCB+Options'!F$10,'ZCB+Options'!$B$3*OFFSET(F9,1,-1),""))</f>
        <v/>
      </c>
      <c r="G9" s="68">
        <f ca="1">IF($A9 &lt; G$2, 'ZCB+Options'!$B$4*OFFSET(G9,0,-1),IF($A9=G$2,'ZCB+Options'!$B$3*OFFSET(G9,1,-1),""))</f>
        <v>8.0525500000000028E-2</v>
      </c>
      <c r="H9" s="68">
        <f ca="1">IF($A9 &lt; H$2, 'ZCB+Options'!$B$4*OFFSET(H9,0,-1),IF($A9=H$2,'ZCB+Options'!$B$3*OFFSET(H9,1,-1),""))</f>
        <v>7.2472950000000022E-2</v>
      </c>
      <c r="I9" s="68">
        <f ca="1">IF($A9 &lt; I$2, 'ZCB+Options'!$B$4*OFFSET(I9,0,-1),IF($A9=I$2,'ZCB+Options'!$B$3*OFFSET(I9,1,-1),""))</f>
        <v>6.5225655000000021E-2</v>
      </c>
      <c r="J9" s="68">
        <f ca="1">IF($A9 &lt; J$2, 'ZCB+Options'!$B$4*OFFSET(J9,0,-1),IF($A9=J$2,'ZCB+Options'!$B$3*OFFSET(J9,1,-1),""))</f>
        <v>5.8703089500000021E-2</v>
      </c>
      <c r="K9" s="68">
        <f ca="1">IF($A9 &lt; K$2, 'ZCB+Options'!$B$4*OFFSET(K9,0,-1),IF($A9=K$2,'ZCB+Options'!$B$3*OFFSET(K9,1,-1),""))</f>
        <v>5.2832780550000021E-2</v>
      </c>
      <c r="L9" s="68">
        <f ca="1">IF($A9 &lt; L$2, 'ZCB+Options'!$B$4*OFFSET(L9,0,-1),IF($A9=L$2,'ZCB+Options'!$B$3*OFFSET(L9,1,-1),""))</f>
        <v>4.7549502495000021E-2</v>
      </c>
      <c r="M9" s="68">
        <f ca="1">IF($A9 &lt; M$2, 'ZCB+Options'!$B$4*OFFSET(M9,0,-1),IF($A9=M$2,'ZCB+Options'!$B$3*OFFSET(M9,1,-1),""))</f>
        <v>4.2794552245500023E-2</v>
      </c>
    </row>
    <row r="10" spans="1:13" x14ac:dyDescent="0.15">
      <c r="A10" s="64">
        <v>4</v>
      </c>
      <c r="B10" s="68"/>
      <c r="C10" s="68" t="str">
        <f ca="1">IF($A10 &lt; 'ZCB+Options'!C$10, 'ZCB+Options'!$B$4*OFFSET(C10,0,-1),IF($A10='ZCB+Options'!C$10,'ZCB+Options'!$B$3*OFFSET(C10,1,-1),""))</f>
        <v/>
      </c>
      <c r="D10" s="68" t="str">
        <f ca="1">IF($A10 &lt; 'ZCB+Options'!D$10, 'ZCB+Options'!$B$4*OFFSET(D10,0,-1),IF($A10='ZCB+Options'!D$10,'ZCB+Options'!$B$3*OFFSET(D10,1,-1),""))</f>
        <v/>
      </c>
      <c r="E10" s="68" t="str">
        <f ca="1">IF($A10 &lt; 'ZCB+Options'!E$10, 'ZCB+Options'!$B$4*OFFSET(E10,0,-1),IF($A10='ZCB+Options'!E$10,'ZCB+Options'!$B$3*OFFSET(E10,1,-1),""))</f>
        <v/>
      </c>
      <c r="F10" s="68">
        <f ca="1">IF($A10 &lt; 'ZCB+Options'!F$10, 'ZCB+Options'!$B$4*OFFSET(F10,0,-1),IF($A10='ZCB+Options'!F$10,'ZCB+Options'!$B$3*OFFSET(F10,1,-1),""))</f>
        <v>7.320500000000002E-2</v>
      </c>
      <c r="G10" s="68">
        <f ca="1">IF($A10 &lt; G$2, 'ZCB+Options'!$B$4*OFFSET(G10,0,-1),IF($A10=G$2,'ZCB+Options'!$B$3*OFFSET(G10,1,-1),""))</f>
        <v>6.5884500000000026E-2</v>
      </c>
      <c r="H10" s="68">
        <f ca="1">IF($A10 &lt; H$2, 'ZCB+Options'!$B$4*OFFSET(H10,0,-1),IF($A10=H$2,'ZCB+Options'!$B$3*OFFSET(H10,1,-1),""))</f>
        <v>5.9296050000000024E-2</v>
      </c>
      <c r="I10" s="68">
        <f ca="1">IF($A10 &lt; I$2, 'ZCB+Options'!$B$4*OFFSET(I10,0,-1),IF($A10=I$2,'ZCB+Options'!$B$3*OFFSET(I10,1,-1),""))</f>
        <v>5.3366445000000019E-2</v>
      </c>
      <c r="J10" s="68">
        <f ca="1">IF($A10 &lt; J$2, 'ZCB+Options'!$B$4*OFFSET(J10,0,-1),IF($A10=J$2,'ZCB+Options'!$B$3*OFFSET(J10,1,-1),""))</f>
        <v>4.8029800500000018E-2</v>
      </c>
      <c r="K10" s="68">
        <f ca="1">IF($A10 &lt; K$2, 'ZCB+Options'!$B$4*OFFSET(K10,0,-1),IF($A10=K$2,'ZCB+Options'!$B$3*OFFSET(K10,1,-1),""))</f>
        <v>4.3226820450000016E-2</v>
      </c>
      <c r="L10" s="68">
        <f ca="1">IF($A10 &lt; L$2, 'ZCB+Options'!$B$4*OFFSET(L10,0,-1),IF($A10=L$2,'ZCB+Options'!$B$3*OFFSET(L10,1,-1),""))</f>
        <v>3.8904138405000017E-2</v>
      </c>
      <c r="M10" s="68">
        <f ca="1">IF($A10 &lt; M$2, 'ZCB+Options'!$B$4*OFFSET(M10,0,-1),IF($A10=M$2,'ZCB+Options'!$B$3*OFFSET(M10,1,-1),""))</f>
        <v>3.5013724564500019E-2</v>
      </c>
    </row>
    <row r="11" spans="1:13" x14ac:dyDescent="0.15">
      <c r="A11" s="64">
        <v>3</v>
      </c>
      <c r="B11" s="68"/>
      <c r="C11" s="68" t="str">
        <f ca="1">IF($A11 &lt; 'ZCB+Options'!C$10, 'ZCB+Options'!$B$4*OFFSET(C11,0,-1),IF($A11='ZCB+Options'!C$10,'ZCB+Options'!$B$3*OFFSET(C11,1,-1),""))</f>
        <v/>
      </c>
      <c r="D11" s="68" t="str">
        <f ca="1">IF($A11 &lt; 'ZCB+Options'!D$10, 'ZCB+Options'!$B$4*OFFSET(D11,0,-1),IF($A11='ZCB+Options'!D$10,'ZCB+Options'!$B$3*OFFSET(D11,1,-1),""))</f>
        <v/>
      </c>
      <c r="E11" s="68">
        <f ca="1">IF($A11 &lt; 'ZCB+Options'!E$10, 'ZCB+Options'!$B$4*OFFSET(E11,0,-1),IF($A11='ZCB+Options'!E$10,'ZCB+Options'!$B$3*OFFSET(E11,1,-1),""))</f>
        <v>6.6550000000000012E-2</v>
      </c>
      <c r="F11" s="68">
        <f ca="1">IF($A11 &lt; 'ZCB+Options'!F$10, 'ZCB+Options'!$B$4*OFFSET(F11,0,-1),IF($A11='ZCB+Options'!F$10,'ZCB+Options'!$B$3*OFFSET(F11,1,-1),""))</f>
        <v>5.9895000000000011E-2</v>
      </c>
      <c r="G11" s="68">
        <f ca="1">IF($A11 &lt; G$2, 'ZCB+Options'!$B$4*OFFSET(G11,0,-1),IF($A11=G$2,'ZCB+Options'!$B$3*OFFSET(G11,1,-1),""))</f>
        <v>5.3905500000000009E-2</v>
      </c>
      <c r="H11" s="68">
        <f ca="1">IF($A11 &lt; H$2, 'ZCB+Options'!$B$4*OFFSET(H11,0,-1),IF($A11=H$2,'ZCB+Options'!$B$3*OFFSET(H11,1,-1),""))</f>
        <v>4.8514950000000008E-2</v>
      </c>
      <c r="I11" s="68">
        <f ca="1">IF($A11 &lt; I$2, 'ZCB+Options'!$B$4*OFFSET(I11,0,-1),IF($A11=I$2,'ZCB+Options'!$B$3*OFFSET(I11,1,-1),""))</f>
        <v>4.3663455000000011E-2</v>
      </c>
      <c r="J11" s="68">
        <f ca="1">IF($A11 &lt; J$2, 'ZCB+Options'!$B$4*OFFSET(J11,0,-1),IF($A11=J$2,'ZCB+Options'!$B$3*OFFSET(J11,1,-1),""))</f>
        <v>3.929710950000001E-2</v>
      </c>
      <c r="K11" s="68">
        <f ca="1">IF($A11 &lt; K$2, 'ZCB+Options'!$B$4*OFFSET(K11,0,-1),IF($A11=K$2,'ZCB+Options'!$B$3*OFFSET(K11,1,-1),""))</f>
        <v>3.5367398550000012E-2</v>
      </c>
      <c r="L11" s="68">
        <f ca="1">IF($A11 &lt; L$2, 'ZCB+Options'!$B$4*OFFSET(L11,0,-1),IF($A11=L$2,'ZCB+Options'!$B$3*OFFSET(L11,1,-1),""))</f>
        <v>3.1830658695000014E-2</v>
      </c>
      <c r="M11" s="68">
        <f ca="1">IF($A11 &lt; M$2, 'ZCB+Options'!$B$4*OFFSET(M11,0,-1),IF($A11=M$2,'ZCB+Options'!$B$3*OFFSET(M11,1,-1),""))</f>
        <v>2.8647592825500012E-2</v>
      </c>
    </row>
    <row r="12" spans="1:13" x14ac:dyDescent="0.15">
      <c r="A12" s="64">
        <v>2</v>
      </c>
      <c r="B12" s="68"/>
      <c r="C12" s="68" t="str">
        <f ca="1">IF($A12 &lt; 'ZCB+Options'!C$10, 'ZCB+Options'!$B$4*OFFSET(C12,0,-1),IF($A12='ZCB+Options'!C$10,'ZCB+Options'!$B$3*OFFSET(C12,1,-1),""))</f>
        <v/>
      </c>
      <c r="D12" s="68">
        <f ca="1">IF($A12 &lt; 'ZCB+Options'!D$10, 'ZCB+Options'!$B$4*OFFSET(D12,0,-1),IF($A12='ZCB+Options'!D$10,'ZCB+Options'!$B$3*OFFSET(D12,1,-1),""))</f>
        <v>6.0500000000000012E-2</v>
      </c>
      <c r="E12" s="68">
        <f ca="1">IF($A12 &lt; 'ZCB+Options'!E$10, 'ZCB+Options'!$B$4*OFFSET(E12,0,-1),IF($A12='ZCB+Options'!E$10,'ZCB+Options'!$B$3*OFFSET(E12,1,-1),""))</f>
        <v>5.4450000000000012E-2</v>
      </c>
      <c r="F12" s="68">
        <f ca="1">IF($A12 &lt; 'ZCB+Options'!F$10, 'ZCB+Options'!$B$4*OFFSET(F12,0,-1),IF($A12='ZCB+Options'!F$10,'ZCB+Options'!$B$3*OFFSET(F12,1,-1),""))</f>
        <v>4.9005000000000014E-2</v>
      </c>
      <c r="G12" s="68">
        <f ca="1">IF($A12 &lt; G$2, 'ZCB+Options'!$B$4*OFFSET(G12,0,-1),IF($A12=G$2,'ZCB+Options'!$B$3*OFFSET(G12,1,-1),""))</f>
        <v>4.4104500000000012E-2</v>
      </c>
      <c r="H12" s="68">
        <f ca="1">IF($A12 &lt; H$2, 'ZCB+Options'!$B$4*OFFSET(H12,0,-1),IF($A12=H$2,'ZCB+Options'!$B$3*OFFSET(H12,1,-1),""))</f>
        <v>3.9694050000000008E-2</v>
      </c>
      <c r="I12" s="68">
        <f ca="1">IF($A12 &lt; I$2, 'ZCB+Options'!$B$4*OFFSET(I12,0,-1),IF($A12=I$2,'ZCB+Options'!$B$3*OFFSET(I12,1,-1),""))</f>
        <v>3.5724645000000006E-2</v>
      </c>
      <c r="J12" s="68">
        <f ca="1">IF($A12 &lt; J$2, 'ZCB+Options'!$B$4*OFFSET(J12,0,-1),IF($A12=J$2,'ZCB+Options'!$B$3*OFFSET(J12,1,-1),""))</f>
        <v>3.2152180500000009E-2</v>
      </c>
      <c r="K12" s="68">
        <f ca="1">IF($A12 &lt; K$2, 'ZCB+Options'!$B$4*OFFSET(K12,0,-1),IF($A12=K$2,'ZCB+Options'!$B$3*OFFSET(K12,1,-1),""))</f>
        <v>2.893696245000001E-2</v>
      </c>
      <c r="L12" s="68">
        <f ca="1">IF($A12 &lt; L$2, 'ZCB+Options'!$B$4*OFFSET(L12,0,-1),IF($A12=L$2,'ZCB+Options'!$B$3*OFFSET(L12,1,-1),""))</f>
        <v>2.6043266205000009E-2</v>
      </c>
      <c r="M12" s="68">
        <f ca="1">IF($A12 &lt; M$2, 'ZCB+Options'!$B$4*OFFSET(M12,0,-1),IF($A12=M$2,'ZCB+Options'!$B$3*OFFSET(M12,1,-1),""))</f>
        <v>2.343893958450001E-2</v>
      </c>
    </row>
    <row r="13" spans="1:13" x14ac:dyDescent="0.15">
      <c r="A13" s="64">
        <v>1</v>
      </c>
      <c r="B13" s="68"/>
      <c r="C13" s="68">
        <f ca="1">IF($A13 &lt; 'ZCB+Options'!C$10, 'ZCB+Options'!$B$4*OFFSET(C13,0,-1),IF($A13='ZCB+Options'!C$10,'ZCB+Options'!$B$3*OFFSET(C13,1,-1),""))</f>
        <v>5.5000000000000007E-2</v>
      </c>
      <c r="D13" s="68">
        <f ca="1">IF($A13 &lt; 'ZCB+Options'!D$10, 'ZCB+Options'!$B$4*OFFSET(D13,0,-1),IF($A13='ZCB+Options'!D$10,'ZCB+Options'!$B$3*OFFSET(D13,1,-1),""))</f>
        <v>4.9500000000000009E-2</v>
      </c>
      <c r="E13" s="68">
        <f ca="1">IF($A13 &lt; 'ZCB+Options'!E$10, 'ZCB+Options'!$B$4*OFFSET(E13,0,-1),IF($A13='ZCB+Options'!E$10,'ZCB+Options'!$B$3*OFFSET(E13,1,-1),""))</f>
        <v>4.4550000000000006E-2</v>
      </c>
      <c r="F13" s="68">
        <f ca="1">IF($A13 &lt; 'ZCB+Options'!F$10, 'ZCB+Options'!$B$4*OFFSET(F13,0,-1),IF($A13='ZCB+Options'!F$10,'ZCB+Options'!$B$3*OFFSET(F13,1,-1),""))</f>
        <v>4.0095000000000006E-2</v>
      </c>
      <c r="G13" s="68">
        <f ca="1">IF($A13 &lt; G$2, 'ZCB+Options'!$B$4*OFFSET(G13,0,-1),IF($A13=G$2,'ZCB+Options'!$B$3*OFFSET(G13,1,-1),""))</f>
        <v>3.6085500000000006E-2</v>
      </c>
      <c r="H13" s="68">
        <f ca="1">IF($A13 &lt; H$2, 'ZCB+Options'!$B$4*OFFSET(H13,0,-1),IF($A13=H$2,'ZCB+Options'!$B$3*OFFSET(H13,1,-1),""))</f>
        <v>3.2476950000000004E-2</v>
      </c>
      <c r="I13" s="68">
        <f ca="1">IF($A13 &lt; I$2, 'ZCB+Options'!$B$4*OFFSET(I13,0,-1),IF($A13=I$2,'ZCB+Options'!$B$3*OFFSET(I13,1,-1),""))</f>
        <v>2.9229255000000006E-2</v>
      </c>
      <c r="J13" s="68">
        <f ca="1">IF($A13 &lt; J$2, 'ZCB+Options'!$B$4*OFFSET(J13,0,-1),IF($A13=J$2,'ZCB+Options'!$B$3*OFFSET(J13,1,-1),""))</f>
        <v>2.6306329500000006E-2</v>
      </c>
      <c r="K13" s="68">
        <f ca="1">IF($A13 &lt; K$2, 'ZCB+Options'!$B$4*OFFSET(K13,0,-1),IF($A13=K$2,'ZCB+Options'!$B$3*OFFSET(K13,1,-1),""))</f>
        <v>2.3675696550000007E-2</v>
      </c>
      <c r="L13" s="68">
        <f ca="1">IF($A13 &lt; L$2, 'ZCB+Options'!$B$4*OFFSET(L13,0,-1),IF($A13=L$2,'ZCB+Options'!$B$3*OFFSET(L13,1,-1),""))</f>
        <v>2.1308126895000008E-2</v>
      </c>
      <c r="M13" s="68">
        <f ca="1">IF($A13 &lt; M$2, 'ZCB+Options'!$B$4*OFFSET(M13,0,-1),IF($A13=M$2,'ZCB+Options'!$B$3*OFFSET(M13,1,-1),""))</f>
        <v>1.9177314205500007E-2</v>
      </c>
    </row>
    <row r="14" spans="1:13" x14ac:dyDescent="0.15">
      <c r="A14" s="64">
        <v>0</v>
      </c>
      <c r="B14" s="68">
        <f>'ZCB+Options'!$B$2</f>
        <v>0.05</v>
      </c>
      <c r="C14" s="67">
        <f ca="1">IF($A14 &lt; 'ZCB+Options'!C$10, 'ZCB+Options'!$B$4*OFFSET(C14,0,-1),IF($A14='ZCB+Options'!C$10,'ZCB+Options'!$B$3*OFFSET(C14,1,-1),""))</f>
        <v>4.5000000000000005E-2</v>
      </c>
      <c r="D14" s="68">
        <f ca="1">IF($A14 &lt; 'ZCB+Options'!D$10, 'ZCB+Options'!$B$4*OFFSET(D14,0,-1),IF($A14='ZCB+Options'!D$10,'ZCB+Options'!$B$3*OFFSET(D14,1,-1),""))</f>
        <v>4.0500000000000008E-2</v>
      </c>
      <c r="E14" s="68">
        <f ca="1">IF($A14 &lt; 'ZCB+Options'!E$10, 'ZCB+Options'!$B$4*OFFSET(E14,0,-1),IF($A14='ZCB+Options'!E$10,'ZCB+Options'!$B$3*OFFSET(E14,1,-1),""))</f>
        <v>3.645000000000001E-2</v>
      </c>
      <c r="F14" s="68">
        <f ca="1">IF($A14 &lt; 'ZCB+Options'!F$10, 'ZCB+Options'!$B$4*OFFSET(F14,0,-1),IF($A14='ZCB+Options'!F$10,'ZCB+Options'!$B$3*OFFSET(F14,1,-1),""))</f>
        <v>3.2805000000000008E-2</v>
      </c>
      <c r="G14" s="68">
        <f ca="1">IF($A14 &lt; G$2, 'ZCB+Options'!$B$4*OFFSET(G14,0,-1),IF($A14=G$2,'ZCB+Options'!$B$3*OFFSET(G14,1,-1),""))</f>
        <v>2.9524500000000009E-2</v>
      </c>
      <c r="H14" s="68">
        <f ca="1">IF($A14 &lt; H$2, 'ZCB+Options'!$B$4*OFFSET(H14,0,-1),IF($A14=H$2,'ZCB+Options'!$B$3*OFFSET(H14,1,-1),""))</f>
        <v>2.657205000000001E-2</v>
      </c>
      <c r="I14" s="68">
        <f ca="1">IF($A14 &lt; I$2, 'ZCB+Options'!$B$4*OFFSET(I14,0,-1),IF($A14=I$2,'ZCB+Options'!$B$3*OFFSET(I14,1,-1),""))</f>
        <v>2.3914845000000011E-2</v>
      </c>
      <c r="J14" s="68">
        <f ca="1">IF($A14 &lt; J$2, 'ZCB+Options'!$B$4*OFFSET(J14,0,-1),IF($A14=J$2,'ZCB+Options'!$B$3*OFFSET(J14,1,-1),""))</f>
        <v>2.1523360500000012E-2</v>
      </c>
      <c r="K14" s="68">
        <f ca="1">IF($A14 &lt; K$2, 'ZCB+Options'!$B$4*OFFSET(K14,0,-1),IF($A14=K$2,'ZCB+Options'!$B$3*OFFSET(K14,1,-1),""))</f>
        <v>1.937102445000001E-2</v>
      </c>
      <c r="L14" s="68">
        <f ca="1">IF($A14 &lt; L$2, 'ZCB+Options'!$B$4*OFFSET(L14,0,-1),IF($A14=L$2,'ZCB+Options'!$B$3*OFFSET(L14,1,-1),""))</f>
        <v>1.7433922005000008E-2</v>
      </c>
      <c r="M14" s="68">
        <f ca="1">IF($A14 &lt; M$2, 'ZCB+Options'!$B$4*OFFSET(M14,0,-1),IF($A14=M$2,'ZCB+Options'!$B$3*OFFSET(M14,1,-1),""))</f>
        <v>1.5690529804500006E-2</v>
      </c>
    </row>
    <row r="16" spans="1:13" x14ac:dyDescent="0.15">
      <c r="A16" s="120" t="s">
        <v>49</v>
      </c>
      <c r="B16" s="121"/>
      <c r="C16" s="121"/>
      <c r="D16" s="50"/>
      <c r="E16" s="50"/>
      <c r="F16" s="50"/>
      <c r="G16" s="50"/>
    </row>
    <row r="17" spans="1:15" x14ac:dyDescent="0.15">
      <c r="A17" s="48"/>
      <c r="B17" s="50">
        <v>0</v>
      </c>
      <c r="C17" s="50">
        <v>1</v>
      </c>
      <c r="D17" s="50">
        <v>2</v>
      </c>
      <c r="E17" s="50">
        <v>3</v>
      </c>
      <c r="F17" s="50">
        <v>4</v>
      </c>
      <c r="G17">
        <f t="shared" ref="G17:L17" si="0">F17+1</f>
        <v>5</v>
      </c>
      <c r="H17">
        <f t="shared" si="0"/>
        <v>6</v>
      </c>
      <c r="I17">
        <f t="shared" si="0"/>
        <v>7</v>
      </c>
      <c r="J17">
        <f t="shared" si="0"/>
        <v>8</v>
      </c>
      <c r="K17">
        <f t="shared" si="0"/>
        <v>9</v>
      </c>
      <c r="L17">
        <f t="shared" si="0"/>
        <v>10</v>
      </c>
    </row>
    <row r="18" spans="1:15" x14ac:dyDescent="0.15">
      <c r="A18">
        <v>10</v>
      </c>
      <c r="C18" s="49" t="str">
        <f>IF($A18 &lt;=C$17,('ZCB+Options'!$B$5*#REF! + 'ZCB+Options'!$B$6*D18)/(1+C4), "")</f>
        <v/>
      </c>
      <c r="D18" s="49" t="str">
        <f>IF($A18 &lt;=D$17,('ZCB+Options'!$B$5*#REF! + 'ZCB+Options'!$B$6*E18)/(1+D4), "")</f>
        <v/>
      </c>
      <c r="E18" s="49" t="str">
        <f>IF($A18 &lt;=E$17,('ZCB+Options'!$B$5*#REF! + 'ZCB+Options'!$B$6*F18)/(1+E4), "")</f>
        <v/>
      </c>
      <c r="F18" s="49" t="str">
        <f>IF($A18 &lt;=F$17,('ZCB+Options'!$B$5*#REF! + 'ZCB+Options'!$B$6*G18)/(1+F4), "")</f>
        <v/>
      </c>
      <c r="G18" s="49" t="str">
        <f>IF($A18 &lt;=G$17,('ZCB+Options'!$B$5*#REF! + 'ZCB+Options'!$B$6*H18)/(1+G4), "")</f>
        <v/>
      </c>
      <c r="H18" s="49" t="str">
        <f>IF($A18 &lt;=H$17,('ZCB+Options'!$B$5*#REF! + 'ZCB+Options'!$B$6*I18)/(1+H4), "")</f>
        <v/>
      </c>
      <c r="I18" s="49" t="str">
        <f>IF($A18 &lt;=I$17,('ZCB+Options'!$B$5*#REF! + 'ZCB+Options'!$B$6*J18)/(1+I4), "")</f>
        <v/>
      </c>
      <c r="J18" s="49" t="str">
        <f>IF($A18 &lt;=J$17,('ZCB+Options'!$B$5*#REF! + 'ZCB+Options'!$B$6*K18)/(1+J4), "")</f>
        <v/>
      </c>
      <c r="K18" s="49" t="str">
        <f>IF($A18 &lt;=K$17,('ZCB+Options'!$B$5*#REF! + 'ZCB+Options'!$B$6*L18)/(1+K4), "")</f>
        <v/>
      </c>
      <c r="L18" s="49">
        <v>100</v>
      </c>
    </row>
    <row r="19" spans="1:15" x14ac:dyDescent="0.15">
      <c r="A19">
        <v>9</v>
      </c>
      <c r="C19" s="49" t="str">
        <f>IF($A19 &lt;=C$17,('ZCB+Options'!$B$5*D18 + 'ZCB+Options'!$B$6*D19)/(1+C5), "")</f>
        <v/>
      </c>
      <c r="D19" s="49" t="str">
        <f>IF($A19 &lt;=D$17,('ZCB+Options'!$B$5*E18 + 'ZCB+Options'!$B$6*E19)/(1+D5), "")</f>
        <v/>
      </c>
      <c r="E19" s="49" t="str">
        <f>IF($A19 &lt;=E$17,('ZCB+Options'!$B$5*F18 + 'ZCB+Options'!$B$6*F19)/(1+E5), "")</f>
        <v/>
      </c>
      <c r="F19" s="49" t="str">
        <f>IF($A19 &lt;=F$17,('ZCB+Options'!$B$5*G18 + 'ZCB+Options'!$B$6*G19)/(1+F5), "")</f>
        <v/>
      </c>
      <c r="G19" s="49" t="str">
        <f>IF($A19 &lt;=G$17,('ZCB+Options'!$B$5*H18 + 'ZCB+Options'!$B$6*H19)/(1+G5), "")</f>
        <v/>
      </c>
      <c r="H19" s="49" t="str">
        <f>IF($A19 &lt;=H$17,('ZCB+Options'!$B$5*I18 + 'ZCB+Options'!$B$6*I19)/(1+H5), "")</f>
        <v/>
      </c>
      <c r="I19" s="49" t="str">
        <f>IF($A19 &lt;=I$17,('ZCB+Options'!$B$5*J18 + 'ZCB+Options'!$B$6*J19)/(1+I5), "")</f>
        <v/>
      </c>
      <c r="J19" s="49" t="str">
        <f>IF($A19 &lt;=J$17,('ZCB+Options'!$B$5*K18 + 'ZCB+Options'!$B$6*K19)/(1+J5), "")</f>
        <v/>
      </c>
      <c r="K19" s="49">
        <f ca="1">IF($A19 &lt;=K$17,('ZCB+Options'!$B$5*L18 + 'ZCB+Options'!$B$6*L19)/(1+K5), "")</f>
        <v>89.453648771397866</v>
      </c>
      <c r="L19" s="49">
        <v>100</v>
      </c>
    </row>
    <row r="20" spans="1:15" x14ac:dyDescent="0.15">
      <c r="A20">
        <v>8</v>
      </c>
      <c r="C20" s="49" t="str">
        <f>IF($A20 &lt;=C$17,('ZCB+Options'!$B$5*D19 + 'ZCB+Options'!$B$6*D20)/(1+C6), "")</f>
        <v/>
      </c>
      <c r="D20" s="49" t="str">
        <f>IF($A20 &lt;=D$17,('ZCB+Options'!$B$5*E19 + 'ZCB+Options'!$B$6*E20)/(1+D6), "")</f>
        <v/>
      </c>
      <c r="E20" s="49" t="str">
        <f>IF($A20 &lt;=E$17,('ZCB+Options'!$B$5*F19 + 'ZCB+Options'!$B$6*F20)/(1+E6), "")</f>
        <v/>
      </c>
      <c r="F20" s="49" t="str">
        <f>IF($A20 &lt;=F$17,('ZCB+Options'!$B$5*G19 + 'ZCB+Options'!$B$6*G20)/(1+F6), "")</f>
        <v/>
      </c>
      <c r="G20" s="49" t="str">
        <f>IF($A20 &lt;=G$17,('ZCB+Options'!$B$5*H19 + 'ZCB+Options'!$B$6*H20)/(1+G6), "")</f>
        <v/>
      </c>
      <c r="H20" s="49" t="str">
        <f>IF($A20 &lt;=H$17,('ZCB+Options'!$B$5*I19 + 'ZCB+Options'!$B$6*I20)/(1+H6), "")</f>
        <v/>
      </c>
      <c r="I20" s="49" t="str">
        <f>IF($A20 &lt;=I$17,('ZCB+Options'!$B$5*J19 + 'ZCB+Options'!$B$6*J20)/(1+I6), "")</f>
        <v/>
      </c>
      <c r="J20" s="49">
        <f ca="1">IF($A20 &lt;=J$17,('ZCB+Options'!$B$5*K19 + 'ZCB+Options'!$B$6*K20)/(1+J6), "")</f>
        <v>81.583939847428169</v>
      </c>
      <c r="K20" s="49">
        <f ca="1">IF($A20 &lt;=K$17,('ZCB+Options'!$B$5*L19 + 'ZCB+Options'!$B$6*L20)/(1+K6), "")</f>
        <v>91.202472976724465</v>
      </c>
      <c r="L20" s="49">
        <v>100</v>
      </c>
    </row>
    <row r="21" spans="1:15" x14ac:dyDescent="0.15">
      <c r="A21">
        <v>7</v>
      </c>
      <c r="C21" s="49" t="str">
        <f>IF($A21 &lt;=C$17,('ZCB+Options'!$B$5*D20 + 'ZCB+Options'!$B$6*D21)/(1+C7), "")</f>
        <v/>
      </c>
      <c r="D21" s="49" t="str">
        <f>IF($A21 &lt;=D$17,('ZCB+Options'!$B$5*E20 + 'ZCB+Options'!$B$6*E21)/(1+D7), "")</f>
        <v/>
      </c>
      <c r="E21" s="49" t="str">
        <f>IF($A21 &lt;=E$17,('ZCB+Options'!$B$5*F20 + 'ZCB+Options'!$B$6*F21)/(1+E7), "")</f>
        <v/>
      </c>
      <c r="F21" s="49" t="str">
        <f>IF($A21 &lt;=F$17,('ZCB+Options'!$B$5*G20 + 'ZCB+Options'!$B$6*G21)/(1+F7), "")</f>
        <v/>
      </c>
      <c r="G21" s="49" t="str">
        <f>IF($A21 &lt;=G$17,('ZCB+Options'!$B$5*H20 + 'ZCB+Options'!$B$6*H21)/(1+G7), "")</f>
        <v/>
      </c>
      <c r="H21" s="49" t="str">
        <f>IF($A21 &lt;=H$17,('ZCB+Options'!$B$5*I20 + 'ZCB+Options'!$B$6*I21)/(1+H7), "")</f>
        <v/>
      </c>
      <c r="I21" s="49">
        <f ca="1">IF($A21 &lt;=I$17,('ZCB+Options'!$B$5*J20 + 'ZCB+Options'!$B$6*J21)/(1+I7), "")</f>
        <v>75.683223860718243</v>
      </c>
      <c r="J21" s="49">
        <f ca="1">IF($A21 &lt;=J$17,('ZCB+Options'!$B$5*K20 + 'ZCB+Options'!$B$6*K21)/(1+J7), "")</f>
        <v>84.531027126059286</v>
      </c>
      <c r="K21" s="49">
        <f ca="1">IF($A21 &lt;=K$17,('ZCB+Options'!$B$5*L20 + 'ZCB+Options'!$B$6*L21)/(1+K7), "")</f>
        <v>92.685016499094502</v>
      </c>
      <c r="L21" s="49">
        <v>100</v>
      </c>
    </row>
    <row r="22" spans="1:15" x14ac:dyDescent="0.15">
      <c r="A22">
        <v>6</v>
      </c>
      <c r="C22" s="49" t="str">
        <f>IF($A22 &lt;=C$17,('ZCB+Options'!$B$5*D21 + 'ZCB+Options'!$B$6*D22)/(1+C8), "")</f>
        <v/>
      </c>
      <c r="D22" s="49" t="str">
        <f>IF($A22 &lt;=D$17,('ZCB+Options'!$B$5*E21 + 'ZCB+Options'!$B$6*E22)/(1+D8), "")</f>
        <v/>
      </c>
      <c r="E22" s="49" t="str">
        <f>IF($A22 &lt;=E$17,('ZCB+Options'!$B$5*F21 + 'ZCB+Options'!$B$6*F22)/(1+E8), "")</f>
        <v/>
      </c>
      <c r="F22" s="49" t="str">
        <f>IF($A22 &lt;=F$17,('ZCB+Options'!$B$5*G21 + 'ZCB+Options'!$B$6*G22)/(1+F8), "")</f>
        <v/>
      </c>
      <c r="G22" s="49" t="str">
        <f>IF($A22 &lt;=G$17,('ZCB+Options'!$B$5*H21 + 'ZCB+Options'!$B$6*H22)/(1+G8), "")</f>
        <v/>
      </c>
      <c r="H22" s="49">
        <f ca="1">IF($A22 &lt;=H$17,('ZCB+Options'!$B$5*I21 + 'ZCB+Options'!$B$6*I22)/(1+H8), "")</f>
        <v>71.260629251758132</v>
      </c>
      <c r="I22" s="49">
        <f ca="1">IF($A22 &lt;=I$17,('ZCB+Options'!$B$5*J21 + 'ZCB+Options'!$B$6*J22)/(1+I8), "")</f>
        <v>79.462289804585396</v>
      </c>
      <c r="J22" s="49">
        <f ca="1">IF($A22 &lt;=J$17,('ZCB+Options'!$B$5*K21 + 'ZCB+Options'!$B$6*K22)/(1+J8), "")</f>
        <v>87.063058906076606</v>
      </c>
      <c r="K22" s="49">
        <f ca="1">IF($A22 &lt;=K$17,('ZCB+Options'!$B$5*L21 + 'ZCB+Options'!$B$6*L22)/(1+K8), "")</f>
        <v>93.934340408654037</v>
      </c>
      <c r="L22" s="49">
        <v>100</v>
      </c>
    </row>
    <row r="23" spans="1:15" x14ac:dyDescent="0.15">
      <c r="A23" s="48">
        <v>5</v>
      </c>
      <c r="C23" s="49" t="str">
        <f>IF($A23 &lt;=C$17,('ZCB+Options'!$B$5*D22 + 'ZCB+Options'!$B$6*D23)/(1+C9), "")</f>
        <v/>
      </c>
      <c r="D23" s="49" t="str">
        <f>IF($A23 &lt;=D$17,('ZCB+Options'!$B$5*E22 + 'ZCB+Options'!$B$6*E23)/(1+D9), "")</f>
        <v/>
      </c>
      <c r="E23" s="49" t="str">
        <f>IF($A23 &lt;=E$17,('ZCB+Options'!$B$5*F22 + 'ZCB+Options'!$B$6*F23)/(1+E9), "")</f>
        <v/>
      </c>
      <c r="F23" s="49" t="str">
        <f>IF($A23 &lt;=F$17,('ZCB+Options'!$B$5*G22 + 'ZCB+Options'!$B$6*G23)/(1+F9), "")</f>
        <v/>
      </c>
      <c r="G23" s="49">
        <f ca="1">IF($A23 &lt;=G$17,('ZCB+Options'!$B$5*H22 + 'ZCB+Options'!$B$6*H23)/(1+G9), "")</f>
        <v>67.968561148156567</v>
      </c>
      <c r="H23" s="49">
        <f ca="1">IF($A23 &lt;=H$17,('ZCB+Options'!$B$5*I22 + 'ZCB+Options'!$B$6*I23)/(1+H9), "")</f>
        <v>75.622897786026769</v>
      </c>
      <c r="I23" s="49">
        <f ca="1">IF($A23 &lt;=I$17,('ZCB+Options'!$B$5*J22 + 'ZCB+Options'!$B$6*J23)/(1+I9), "")</f>
        <v>82.744734747671842</v>
      </c>
      <c r="J23" s="49">
        <f ca="1">IF($A23 &lt;=J$17,('ZCB+Options'!$B$5*K22 + 'ZCB+Options'!$B$6*K23)/(1+J9), "")</f>
        <v>89.220569632703416</v>
      </c>
      <c r="K23" s="49">
        <f ca="1">IF($A23 &lt;=K$17,('ZCB+Options'!$B$5*L22 + 'ZCB+Options'!$B$6*L23)/(1+K9), "")</f>
        <v>94.981845025531968</v>
      </c>
      <c r="L23" s="49">
        <v>100</v>
      </c>
    </row>
    <row r="24" spans="1:15" x14ac:dyDescent="0.15">
      <c r="A24" s="48">
        <v>4</v>
      </c>
      <c r="B24" s="49" t="str">
        <f>IF($A24 &lt;='ZCB+Options'!B$20,('ZCB+Options'!$B$5*#REF! + 'ZCB+Options'!$B$6*C24)/(1+B10), "")</f>
        <v/>
      </c>
      <c r="C24" s="49" t="str">
        <f>IF($A24 &lt;=C$17,('ZCB+Options'!$B$5*D23 + 'ZCB+Options'!$B$6*D24)/(1+C10), "")</f>
        <v/>
      </c>
      <c r="D24" s="49" t="str">
        <f>IF($A24 &lt;=D$17,('ZCB+Options'!$B$5*E23 + 'ZCB+Options'!$B$6*E24)/(1+D10), "")</f>
        <v/>
      </c>
      <c r="E24" s="49" t="str">
        <f>IF($A24 &lt;=E$17,('ZCB+Options'!$B$5*F23 + 'ZCB+Options'!$B$6*F24)/(1+E10), "")</f>
        <v/>
      </c>
      <c r="F24" s="49">
        <f ca="1">IF($A24 &lt;=F$17,('ZCB+Options'!$B$5*G23 + 'ZCB+Options'!$B$6*G24)/(1+F10), "")</f>
        <v>65.55598201203054</v>
      </c>
      <c r="G24" s="49">
        <f ca="1">IF($A24 &lt;=G$17,('ZCB+Options'!$B$5*H23 + 'ZCB+Options'!$B$6*H24)/(1+G10), "")</f>
        <v>72.741454202285908</v>
      </c>
      <c r="H24" s="49">
        <f ca="1">IF($A24 &lt;=H$17,('ZCB+Options'!$B$5*I23 + 'ZCB+Options'!$B$6*I24)/(1+H10), "")</f>
        <v>79.44507929732606</v>
      </c>
      <c r="I24" s="49">
        <f ca="1">IF($A24 &lt;=I$17,('ZCB+Options'!$B$5*J23 + 'ZCB+Options'!$B$6*J24)/(1+I10), "")</f>
        <v>85.566982635516666</v>
      </c>
      <c r="J24" s="49">
        <f ca="1">IF($A24 &lt;=J$17,('ZCB+Options'!$B$5*K23 + 'ZCB+Options'!$B$6*K24)/(1+J10), "")</f>
        <v>91.046206983598438</v>
      </c>
      <c r="K24" s="49">
        <f ca="1">IF($A24 &lt;=K$17,('ZCB+Options'!$B$5*L23 + 'ZCB+Options'!$B$6*L24)/(1+K10), "")</f>
        <v>95.856431257072757</v>
      </c>
      <c r="L24" s="49">
        <v>100</v>
      </c>
    </row>
    <row r="25" spans="1:15" x14ac:dyDescent="0.15">
      <c r="A25" s="48">
        <v>3</v>
      </c>
      <c r="B25" s="49" t="str">
        <f>IF($A25 &lt;='ZCB+Options'!B$20,('ZCB+Options'!$B$5*C24 + 'ZCB+Options'!$B$6*C25)/(1+B11), "")</f>
        <v/>
      </c>
      <c r="C25" s="49" t="str">
        <f>IF($A25 &lt;=C$17,('ZCB+Options'!$B$5*D24 + 'ZCB+Options'!$B$6*D25)/(1+C11), "")</f>
        <v/>
      </c>
      <c r="D25" s="49" t="str">
        <f>IF($A25 &lt;=D$17,('ZCB+Options'!$B$5*E24 + 'ZCB+Options'!$B$6*E25)/(1+D11), "")</f>
        <v/>
      </c>
      <c r="E25" s="49">
        <f ca="1">IF($A25 &lt;=E$17,('ZCB+Options'!$B$5*F24 + 'ZCB+Options'!$B$6*F25)/(1+E11), "")</f>
        <v>63.838111174377453</v>
      </c>
      <c r="F25" s="49">
        <f ca="1">IF($A25 &lt;=F$17,('ZCB+Options'!$B$5*G24 + 'ZCB+Options'!$B$6*G25)/(1+F11), "")</f>
        <v>70.617092934034005</v>
      </c>
      <c r="G25" s="49">
        <f ca="1">IF($A25 &lt;=G$17,('ZCB+Options'!$B$5*H24 + 'ZCB+Options'!$B$6*H25)/(1+G11), "")</f>
        <v>76.95195322835005</v>
      </c>
      <c r="H25" s="49">
        <f ca="1">IF($A25 &lt;=H$17,('ZCB+Options'!$B$5*I24 + 'ZCB+Options'!$B$6*I25)/(1+H11), "")</f>
        <v>82.755094188875688</v>
      </c>
      <c r="I25" s="49">
        <f ca="1">IF($A25 &lt;=I$17,('ZCB+Options'!$B$5*J24 + 'ZCB+Options'!$B$6*J25)/(1+I11), "")</f>
        <v>87.972924255871916</v>
      </c>
      <c r="J25" s="49">
        <f ca="1">IF($A25 &lt;=J$17,('ZCB+Options'!$B$5*K24 + 'ZCB+Options'!$B$6*K25)/(1+J11), "")</f>
        <v>92.58204516707471</v>
      </c>
      <c r="K25" s="49">
        <f ca="1">IF($A25 &lt;=K$17,('ZCB+Options'!$B$5*L24 + 'ZCB+Options'!$B$6*L25)/(1+K11), "")</f>
        <v>96.584072610405642</v>
      </c>
      <c r="L25" s="49">
        <v>100</v>
      </c>
    </row>
    <row r="26" spans="1:15" x14ac:dyDescent="0.15">
      <c r="A26" s="48">
        <v>2</v>
      </c>
      <c r="B26" s="49" t="str">
        <f>IF($A26 &lt;='ZCB+Options'!B$20,('ZCB+Options'!$B$5*C25 + 'ZCB+Options'!$B$6*C26)/(1+B12), "")</f>
        <v/>
      </c>
      <c r="C26" s="49" t="str">
        <f>IF($A26 &lt;=C$17,('ZCB+Options'!$B$5*D25 + 'ZCB+Options'!$B$6*D26)/(1+C12), "")</f>
        <v/>
      </c>
      <c r="D26" s="49">
        <f ca="1">IF($A26 &lt;=D$17,('ZCB+Options'!$B$5*E25 + 'ZCB+Options'!$B$6*E26)/(1+D12), "")</f>
        <v>62.67640230365749</v>
      </c>
      <c r="E26" s="49">
        <f ca="1">IF($A26 &lt;=E$17,('ZCB+Options'!$B$5*F25 + 'ZCB+Options'!$B$6*F26)/(1+E12), "")</f>
        <v>69.098538111680071</v>
      </c>
      <c r="F26" s="49">
        <f ca="1">IF($A26 &lt;=F$17,('ZCB+Options'!$B$5*G25 + 'ZCB+Options'!$B$6*G26)/(1+F12), "")</f>
        <v>75.104814089688105</v>
      </c>
      <c r="G26" s="49">
        <f ca="1">IF($A26 &lt;=G$17,('ZCB+Options'!$B$5*H25 + 'ZCB+Options'!$B$6*H26)/(1+G12), "")</f>
        <v>80.618697779956463</v>
      </c>
      <c r="H26" s="49">
        <f ca="1">IF($A26 &lt;=H$17,('ZCB+Options'!$B$5*I25 + 'ZCB+Options'!$B$6*I26)/(1+H12), "")</f>
        <v>85.593596083509425</v>
      </c>
      <c r="I26" s="49">
        <f ca="1">IF($A26 &lt;=I$17,('ZCB+Options'!$B$5*J25 + 'ZCB+Options'!$B$6*J26)/(1+I12), "")</f>
        <v>90.009380876384199</v>
      </c>
      <c r="J26" s="49">
        <f ca="1">IF($A26 &lt;=J$17,('ZCB+Options'!$B$5*K25 + 'ZCB+Options'!$B$6*K26)/(1+J12), "")</f>
        <v>93.867822942650918</v>
      </c>
      <c r="K26" s="49">
        <f ca="1">IF($A26 &lt;=K$17,('ZCB+Options'!$B$5*L25 + 'ZCB+Options'!$B$6*L26)/(1+K12), "")</f>
        <v>97.18768364768448</v>
      </c>
      <c r="L26" s="49">
        <v>100</v>
      </c>
    </row>
    <row r="27" spans="1:15" x14ac:dyDescent="0.15">
      <c r="A27" s="48">
        <v>1</v>
      </c>
      <c r="B27" s="49" t="str">
        <f>IF($A27 &lt;='ZCB+Options'!B$20,('ZCB+Options'!$B$5*C26 + 'ZCB+Options'!$B$6*C27)/(1+B13), "")</f>
        <v/>
      </c>
      <c r="C27" s="49">
        <f ca="1">IF($A27 &lt;=C$17,('ZCB+Options'!$B$5*D26 + 'ZCB+Options'!$B$6*D27)/(1+C13), "")</f>
        <v>61.965082423810998</v>
      </c>
      <c r="D27" s="49">
        <f ca="1">IF($A27 &lt;=D$17,('ZCB+Options'!$B$5*E26 + 'ZCB+Options'!$B$6*E27)/(1+D13), "")</f>
        <v>68.069921610583719</v>
      </c>
      <c r="E27" s="49">
        <f ca="1">IF($A27 &lt;=E$17,('ZCB+Options'!$B$5*F26 + 'ZCB+Options'!$B$6*F27)/(1+E13), "")</f>
        <v>73.780227348935156</v>
      </c>
      <c r="F27" s="49">
        <f ca="1">IF($A27 &lt;=F$17,('ZCB+Options'!$B$5*G26 + 'ZCB+Options'!$B$6*G27)/(1+F13), "")</f>
        <v>79.029458864972355</v>
      </c>
      <c r="G27" s="49">
        <f ca="1">IF($A27 &lt;=G$17,('ZCB+Options'!$B$5*H26 + 'ZCB+Options'!$B$6*H27)/(1+G13), "")</f>
        <v>83.777592256370355</v>
      </c>
      <c r="H27" s="49">
        <f ca="1">IF($A27 &lt;=H$17,('ZCB+Options'!$B$5*I26 + 'ZCB+Options'!$B$6*I27)/(1+H13), "")</f>
        <v>88.007901039965802</v>
      </c>
      <c r="I27" s="49">
        <f ca="1">IF($A27 &lt;=I$17,('ZCB+Options'!$B$5*J26 + 'ZCB+Options'!$B$6*J27)/(1+I13), "")</f>
        <v>91.722877606907218</v>
      </c>
      <c r="J27" s="49">
        <f ca="1">IF($A27 &lt;=J$17,('ZCB+Options'!$B$5*K26 + 'ZCB+Options'!$B$6*K27)/(1+J13), "")</f>
        <v>94.939915028975662</v>
      </c>
      <c r="K27" s="49">
        <f ca="1">IF($A27 &lt;=K$17,('ZCB+Options'!$B$5*L26 + 'ZCB+Options'!$B$6*L27)/(1+K13), "")</f>
        <v>97.687187785175325</v>
      </c>
      <c r="L27" s="49">
        <v>100</v>
      </c>
    </row>
    <row r="28" spans="1:15" x14ac:dyDescent="0.15">
      <c r="A28" s="48">
        <v>0</v>
      </c>
      <c r="B28" s="49">
        <f ca="1">IF($A28 &lt;='ZCB+Options'!B$20,('ZCB+Options'!$B$5*C27 + 'ZCB+Options'!$B$6*C28)/(1+B14), "")</f>
        <v>61.621958117541546</v>
      </c>
      <c r="C28" s="49">
        <f ca="1">IF($A28 &lt;=C$17,('ZCB+Options'!$B$5*D27 + 'ZCB+Options'!$B$6*D28)/(1+C14), "")</f>
        <v>67.441029623026253</v>
      </c>
      <c r="D28" s="49">
        <f ca="1">IF($A28 &lt;=D$17,('ZCB+Options'!$B$5*E27 + 'ZCB+Options'!$B$6*E28)/(1+D14), "")</f>
        <v>72.881830301541115</v>
      </c>
      <c r="E28" s="49">
        <f ca="1">IF($A28 &lt;=E$17,('ZCB+Options'!$B$5*F27 + 'ZCB+Options'!$B$6*F28)/(1+E14), "")</f>
        <v>77.886861508571897</v>
      </c>
      <c r="F28" s="49">
        <f ca="1">IF($A28 &lt;=F$17,('ZCB+Options'!$B$5*G27 + 'ZCB+Options'!$B$6*G28)/(1+F14), "")</f>
        <v>82.422216356146365</v>
      </c>
      <c r="G28" s="49">
        <f ca="1">IF($A28 &lt;=G$17,('ZCB+Options'!$B$5*H27 + 'ZCB+Options'!$B$6*H28)/(1+G14), "")</f>
        <v>86.474562071049121</v>
      </c>
      <c r="H28" s="49">
        <f ca="1">IF($A28 &lt;=H$17,('ZCB+Options'!$B$5*I27 + 'ZCB+Options'!$B$6*I28)/(1+H14), "")</f>
        <v>90.047459517865818</v>
      </c>
      <c r="I28" s="49">
        <f ca="1">IF($A28 &lt;=I$17,('ZCB+Options'!$B$5*J27 + 'ZCB+Options'!$B$6*J28)/(1+I14), "")</f>
        <v>93.15753262218783</v>
      </c>
      <c r="J28" s="49">
        <f ca="1">IF($A28 &lt;=J$17,('ZCB+Options'!$B$5*K27 + 'ZCB+Options'!$B$6*K28)/(1+J14), "")</f>
        <v>95.830846121884122</v>
      </c>
      <c r="K28" s="49">
        <f ca="1">IF($A28 &lt;=K$17,('ZCB+Options'!$B$5*L27 + 'ZCB+Options'!$B$6*L28)/(1+K14), "")</f>
        <v>98.099708154795579</v>
      </c>
      <c r="L28" s="49">
        <v>100</v>
      </c>
    </row>
    <row r="30" spans="1:15" x14ac:dyDescent="0.15">
      <c r="A30" s="120" t="s">
        <v>50</v>
      </c>
      <c r="B30" s="121"/>
      <c r="C30" s="121"/>
      <c r="G30" s="120" t="s">
        <v>39</v>
      </c>
      <c r="H30" s="121"/>
      <c r="I30" s="121"/>
    </row>
    <row r="31" spans="1:15" x14ac:dyDescent="0.15">
      <c r="A31" s="48"/>
      <c r="B31" s="50">
        <v>0</v>
      </c>
      <c r="C31" s="50">
        <v>1</v>
      </c>
      <c r="D31" s="50">
        <v>2</v>
      </c>
      <c r="E31" s="50">
        <v>3</v>
      </c>
      <c r="F31" s="50">
        <v>4</v>
      </c>
      <c r="G31" s="50"/>
      <c r="H31" s="50">
        <v>0</v>
      </c>
      <c r="I31" s="50">
        <v>1</v>
      </c>
      <c r="J31" s="50">
        <v>2</v>
      </c>
      <c r="K31" s="50">
        <v>3</v>
      </c>
      <c r="L31" s="50">
        <v>4</v>
      </c>
      <c r="N31" s="1" t="s">
        <v>51</v>
      </c>
      <c r="O31" s="2">
        <f ca="1">100*B36/H36</f>
        <v>74.88484493844841</v>
      </c>
    </row>
    <row r="32" spans="1:15" x14ac:dyDescent="0.15">
      <c r="A32">
        <v>4</v>
      </c>
      <c r="B32" s="5" t="str">
        <f t="shared" ref="B32:E32" si="1">IF($A32&lt;=B$31,(C31/2+C32/2)*1/1.05,"")</f>
        <v/>
      </c>
      <c r="C32" s="5" t="str">
        <f t="shared" si="1"/>
        <v/>
      </c>
      <c r="D32" s="5" t="str">
        <f t="shared" si="1"/>
        <v/>
      </c>
      <c r="E32" s="5" t="str">
        <f t="shared" si="1"/>
        <v/>
      </c>
      <c r="F32" s="5">
        <f ca="1">F24</f>
        <v>65.55598201203054</v>
      </c>
      <c r="G32">
        <v>4</v>
      </c>
      <c r="H32" s="5" t="str">
        <f t="shared" ref="H32:K36" si="2">IF($A32&lt;=H$31,(I31/2+I32/2)*1/(1+B10),"")</f>
        <v/>
      </c>
      <c r="I32" s="5" t="str">
        <f t="shared" si="2"/>
        <v/>
      </c>
      <c r="J32" s="5" t="str">
        <f t="shared" si="2"/>
        <v/>
      </c>
      <c r="K32" s="5" t="str">
        <f t="shared" si="2"/>
        <v/>
      </c>
      <c r="L32" s="5">
        <f>L24</f>
        <v>100</v>
      </c>
    </row>
    <row r="33" spans="1:12" x14ac:dyDescent="0.15">
      <c r="A33">
        <v>3</v>
      </c>
      <c r="B33" s="5" t="str">
        <f t="shared" ref="B33:E36" si="3">IF($A33&lt;=B$31,(C32/2+C33/2)*1/(1+B11),"")</f>
        <v/>
      </c>
      <c r="C33" s="5" t="str">
        <f t="shared" si="3"/>
        <v/>
      </c>
      <c r="D33" s="5" t="str">
        <f t="shared" si="3"/>
        <v/>
      </c>
      <c r="E33" s="5">
        <f t="shared" ca="1" si="3"/>
        <v>63.838111174377453</v>
      </c>
      <c r="F33" s="5">
        <f t="shared" ref="F33:F36" ca="1" si="4">F25</f>
        <v>70.617092934034005</v>
      </c>
      <c r="G33">
        <v>3</v>
      </c>
      <c r="H33" s="5" t="str">
        <f t="shared" si="2"/>
        <v/>
      </c>
      <c r="I33" s="5" t="str">
        <f t="shared" si="2"/>
        <v/>
      </c>
      <c r="J33" s="5" t="str">
        <f t="shared" si="2"/>
        <v/>
      </c>
      <c r="K33" s="5">
        <f t="shared" ca="1" si="2"/>
        <v>93.760255027893663</v>
      </c>
      <c r="L33" s="5">
        <f t="shared" ref="L33:L36" si="5">L25</f>
        <v>100</v>
      </c>
    </row>
    <row r="34" spans="1:12" x14ac:dyDescent="0.15">
      <c r="A34">
        <v>2</v>
      </c>
      <c r="B34" s="5" t="str">
        <f t="shared" si="3"/>
        <v/>
      </c>
      <c r="C34" s="5" t="str">
        <f t="shared" si="3"/>
        <v/>
      </c>
      <c r="D34" s="5">
        <f t="shared" ca="1" si="3"/>
        <v>62.67640230365749</v>
      </c>
      <c r="E34" s="5">
        <f t="shared" ca="1" si="3"/>
        <v>69.098538111680071</v>
      </c>
      <c r="F34" s="5">
        <f t="shared" ca="1" si="4"/>
        <v>75.104814089688105</v>
      </c>
      <c r="G34">
        <v>2</v>
      </c>
      <c r="H34" s="5" t="str">
        <f t="shared" si="2"/>
        <v/>
      </c>
      <c r="I34" s="5" t="str">
        <f t="shared" si="2"/>
        <v/>
      </c>
      <c r="J34" s="5">
        <f t="shared" ca="1" si="2"/>
        <v>88.918635333959557</v>
      </c>
      <c r="K34" s="5">
        <f t="shared" ca="1" si="2"/>
        <v>94.836170515434574</v>
      </c>
      <c r="L34" s="5">
        <f t="shared" si="5"/>
        <v>100</v>
      </c>
    </row>
    <row r="35" spans="1:12" x14ac:dyDescent="0.15">
      <c r="A35">
        <v>1</v>
      </c>
      <c r="B35" s="5" t="str">
        <f t="shared" si="3"/>
        <v/>
      </c>
      <c r="C35" s="5">
        <f t="shared" ca="1" si="3"/>
        <v>61.965082423810998</v>
      </c>
      <c r="D35" s="5">
        <f t="shared" ca="1" si="3"/>
        <v>68.069921610583719</v>
      </c>
      <c r="E35" s="5">
        <f t="shared" ca="1" si="3"/>
        <v>73.780227348935156</v>
      </c>
      <c r="F35" s="5">
        <f t="shared" ca="1" si="4"/>
        <v>79.029458864972355</v>
      </c>
      <c r="G35">
        <v>1</v>
      </c>
      <c r="H35" s="5" t="str">
        <f t="shared" si="2"/>
        <v/>
      </c>
      <c r="I35" s="5">
        <f t="shared" ca="1" si="2"/>
        <v>85.170639050908576</v>
      </c>
      <c r="J35" s="5">
        <f t="shared" ca="1" si="2"/>
        <v>90.79141306345754</v>
      </c>
      <c r="K35" s="5">
        <f t="shared" ca="1" si="2"/>
        <v>95.73500550476281</v>
      </c>
      <c r="L35" s="5">
        <f t="shared" si="5"/>
        <v>100</v>
      </c>
    </row>
    <row r="36" spans="1:12" x14ac:dyDescent="0.15">
      <c r="A36">
        <v>0</v>
      </c>
      <c r="B36" s="5">
        <f t="shared" ca="1" si="3"/>
        <v>61.621958117541546</v>
      </c>
      <c r="C36" s="5">
        <f t="shared" ca="1" si="3"/>
        <v>67.441029623026253</v>
      </c>
      <c r="D36" s="5">
        <f t="shared" ca="1" si="3"/>
        <v>72.881830301541115</v>
      </c>
      <c r="E36" s="5">
        <f t="shared" ca="1" si="3"/>
        <v>77.886861508571897</v>
      </c>
      <c r="F36" s="5">
        <f t="shared" ca="1" si="4"/>
        <v>82.422216356146365</v>
      </c>
      <c r="G36">
        <v>0</v>
      </c>
      <c r="H36" s="5">
        <f t="shared" ca="1" si="2"/>
        <v>82.288957356046751</v>
      </c>
      <c r="I36" s="5">
        <f t="shared" ca="1" si="2"/>
        <v>87.636171396789592</v>
      </c>
      <c r="J36" s="5">
        <f t="shared" ca="1" si="2"/>
        <v>92.368185155832705</v>
      </c>
      <c r="K36" s="5">
        <f t="shared" ca="1" si="2"/>
        <v>96.483187804525059</v>
      </c>
      <c r="L36" s="5">
        <f t="shared" si="5"/>
        <v>100</v>
      </c>
    </row>
    <row r="38" spans="1:12" x14ac:dyDescent="0.15">
      <c r="A38" s="120" t="s">
        <v>52</v>
      </c>
      <c r="B38" s="121"/>
      <c r="C38" s="121"/>
    </row>
    <row r="39" spans="1:12" x14ac:dyDescent="0.15">
      <c r="A39" s="48"/>
      <c r="B39" s="50">
        <v>0</v>
      </c>
      <c r="C39" s="50">
        <v>1</v>
      </c>
      <c r="D39" s="50">
        <v>2</v>
      </c>
      <c r="E39" s="50">
        <v>3</v>
      </c>
      <c r="F39" s="50">
        <v>4</v>
      </c>
    </row>
    <row r="40" spans="1:12" x14ac:dyDescent="0.15">
      <c r="A40">
        <v>4</v>
      </c>
      <c r="B40" s="5" t="str">
        <f t="shared" ref="B40:E40" si="6">IF($A40&lt;=B$31,(C39/2+C40/2)*1/1.05,"")</f>
        <v/>
      </c>
      <c r="C40" s="5" t="str">
        <f t="shared" si="6"/>
        <v/>
      </c>
      <c r="D40" s="5" t="str">
        <f t="shared" si="6"/>
        <v/>
      </c>
      <c r="E40" s="5" t="str">
        <f t="shared" si="6"/>
        <v/>
      </c>
      <c r="F40" s="5">
        <f ca="1">F32</f>
        <v>65.55598201203054</v>
      </c>
    </row>
    <row r="41" spans="1:12" x14ac:dyDescent="0.15">
      <c r="A41">
        <v>3</v>
      </c>
      <c r="B41" s="5" t="str">
        <f t="shared" ref="B41:D44" si="7">IF($A41&lt;=B$31,(C40/2+C41/2),"")</f>
        <v/>
      </c>
      <c r="C41" s="5" t="str">
        <f t="shared" si="7"/>
        <v/>
      </c>
      <c r="D41" s="5" t="str">
        <f t="shared" si="7"/>
        <v/>
      </c>
      <c r="E41" s="5">
        <f ca="1">IF($A41&lt;=E$31,(F40/2+F41/2),"")</f>
        <v>68.08653747303228</v>
      </c>
      <c r="F41" s="5">
        <f t="shared" ref="F41:F44" ca="1" si="8">F33</f>
        <v>70.617092934034005</v>
      </c>
    </row>
    <row r="42" spans="1:12" x14ac:dyDescent="0.15">
      <c r="A42">
        <v>2</v>
      </c>
      <c r="B42" s="5" t="str">
        <f t="shared" si="7"/>
        <v/>
      </c>
      <c r="C42" s="5" t="str">
        <f t="shared" si="7"/>
        <v/>
      </c>
      <c r="D42" s="5">
        <f t="shared" ca="1" si="7"/>
        <v>70.473745492446668</v>
      </c>
      <c r="E42" s="5">
        <f t="shared" ref="E42:E44" ca="1" si="9">IF($A42&lt;=E$31,(F41/2+F42/2),"")</f>
        <v>72.860953511861055</v>
      </c>
      <c r="F42" s="5">
        <f t="shared" ca="1" si="8"/>
        <v>75.104814089688105</v>
      </c>
    </row>
    <row r="43" spans="1:12" x14ac:dyDescent="0.15">
      <c r="A43">
        <v>1</v>
      </c>
      <c r="B43" s="5" t="str">
        <f t="shared" si="7"/>
        <v/>
      </c>
      <c r="C43" s="5">
        <f t="shared" ca="1" si="7"/>
        <v>72.71889524352116</v>
      </c>
      <c r="D43" s="5">
        <f t="shared" ca="1" si="7"/>
        <v>74.964044994595639</v>
      </c>
      <c r="E43" s="5">
        <f t="shared" ca="1" si="9"/>
        <v>77.067136477330223</v>
      </c>
      <c r="F43" s="5">
        <f t="shared" ca="1" si="8"/>
        <v>79.029458864972355</v>
      </c>
    </row>
    <row r="44" spans="1:12" x14ac:dyDescent="0.15">
      <c r="A44">
        <v>0</v>
      </c>
      <c r="B44" s="5">
        <f t="shared" ca="1" si="7"/>
        <v>74.82458063139569</v>
      </c>
      <c r="C44" s="5">
        <f t="shared" ca="1" si="7"/>
        <v>76.930266019270221</v>
      </c>
      <c r="D44" s="5">
        <f t="shared" ca="1" si="7"/>
        <v>78.896487043944788</v>
      </c>
      <c r="E44" s="5">
        <f t="shared" ca="1" si="9"/>
        <v>80.725837610559353</v>
      </c>
      <c r="F44" s="5">
        <f t="shared" ca="1" si="8"/>
        <v>82.422216356146365</v>
      </c>
    </row>
    <row r="46" spans="1:12" x14ac:dyDescent="0.15">
      <c r="A46" s="120" t="s">
        <v>53</v>
      </c>
      <c r="B46" s="121"/>
      <c r="C46" s="121"/>
    </row>
    <row r="47" spans="1:12" x14ac:dyDescent="0.15">
      <c r="A47" s="48"/>
      <c r="B47" s="50">
        <v>0</v>
      </c>
      <c r="C47" s="50">
        <v>1</v>
      </c>
      <c r="D47" s="50">
        <v>2</v>
      </c>
      <c r="E47" s="50">
        <v>3</v>
      </c>
      <c r="F47" s="50">
        <v>4</v>
      </c>
      <c r="G47" s="115">
        <v>5</v>
      </c>
      <c r="H47" s="115">
        <v>6</v>
      </c>
    </row>
    <row r="48" spans="1:12" x14ac:dyDescent="0.15">
      <c r="A48">
        <v>6</v>
      </c>
      <c r="H48" s="5">
        <f ca="1">MAX(H22-80,0)</f>
        <v>0</v>
      </c>
    </row>
    <row r="49" spans="1:13" x14ac:dyDescent="0.15">
      <c r="A49">
        <v>5</v>
      </c>
      <c r="B49" s="5" t="str">
        <f t="shared" ref="B49:G54" si="10">IF($A49&lt;=B$47,(C48*0.5+C49*0.5)/(1+B9),"")</f>
        <v/>
      </c>
      <c r="C49" s="5" t="str">
        <f t="shared" si="10"/>
        <v/>
      </c>
      <c r="D49" s="5" t="str">
        <f t="shared" si="10"/>
        <v/>
      </c>
      <c r="E49" s="5" t="str">
        <f t="shared" si="10"/>
        <v/>
      </c>
      <c r="F49" s="5" t="str">
        <f t="shared" si="10"/>
        <v/>
      </c>
      <c r="G49" s="5">
        <f t="shared" ca="1" si="10"/>
        <v>0</v>
      </c>
      <c r="H49" s="5">
        <f t="shared" ref="H49:H54" ca="1" si="11">MAX(H23-80,0)</f>
        <v>0</v>
      </c>
    </row>
    <row r="50" spans="1:13" x14ac:dyDescent="0.15">
      <c r="A50">
        <v>4</v>
      </c>
      <c r="B50" s="5" t="str">
        <f t="shared" si="10"/>
        <v/>
      </c>
      <c r="C50" s="5" t="str">
        <f t="shared" si="10"/>
        <v/>
      </c>
      <c r="D50" s="5" t="str">
        <f t="shared" si="10"/>
        <v/>
      </c>
      <c r="E50" s="5" t="str">
        <f t="shared" si="10"/>
        <v/>
      </c>
      <c r="F50" s="5">
        <f t="shared" ca="1" si="10"/>
        <v>0</v>
      </c>
      <c r="G50" s="5">
        <f t="shared" ca="1" si="10"/>
        <v>0</v>
      </c>
      <c r="H50" s="5">
        <f t="shared" ca="1" si="11"/>
        <v>0</v>
      </c>
    </row>
    <row r="51" spans="1:13" x14ac:dyDescent="0.15">
      <c r="A51">
        <v>3</v>
      </c>
      <c r="B51" s="5" t="str">
        <f t="shared" si="10"/>
        <v/>
      </c>
      <c r="C51" s="5" t="str">
        <f t="shared" si="10"/>
        <v/>
      </c>
      <c r="D51" s="5" t="str">
        <f t="shared" si="10"/>
        <v/>
      </c>
      <c r="E51" s="5">
        <f t="shared" ca="1" si="10"/>
        <v>0.28906847369166572</v>
      </c>
      <c r="F51" s="5">
        <f t="shared" ca="1" si="10"/>
        <v>0.61661196123169226</v>
      </c>
      <c r="G51" s="5">
        <f t="shared" ca="1" si="10"/>
        <v>1.3070878692993291</v>
      </c>
      <c r="H51" s="5">
        <f t="shared" ca="1" si="11"/>
        <v>2.7550941888756881</v>
      </c>
    </row>
    <row r="52" spans="1:13" x14ac:dyDescent="0.15">
      <c r="A52">
        <v>2</v>
      </c>
      <c r="B52" s="5" t="str">
        <f t="shared" si="10"/>
        <v/>
      </c>
      <c r="C52" s="5" t="str">
        <f t="shared" si="10"/>
        <v/>
      </c>
      <c r="D52" s="5">
        <f t="shared" ca="1" si="10"/>
        <v>0.83945525536807564</v>
      </c>
      <c r="E52" s="5">
        <f t="shared" ca="1" si="10"/>
        <v>1.4914161229440226</v>
      </c>
      <c r="F52" s="5">
        <f t="shared" ca="1" si="10"/>
        <v>2.5286355004449574</v>
      </c>
      <c r="G52" s="5">
        <f t="shared" ca="1" si="10"/>
        <v>3.9980146969891965</v>
      </c>
      <c r="H52" s="5">
        <f t="shared" ca="1" si="11"/>
        <v>5.5935960835094249</v>
      </c>
    </row>
    <row r="53" spans="1:13" x14ac:dyDescent="0.15">
      <c r="A53">
        <v>1</v>
      </c>
      <c r="B53" s="5" t="str">
        <f t="shared" si="10"/>
        <v/>
      </c>
      <c r="C53" s="5">
        <f t="shared" ca="1" si="10"/>
        <v>1.5566517549538208</v>
      </c>
      <c r="D53" s="5">
        <f t="shared" ca="1" si="10"/>
        <v>2.4450799475844862</v>
      </c>
      <c r="E53" s="5">
        <f t="shared" ca="1" si="10"/>
        <v>3.6408066870358144</v>
      </c>
      <c r="F53" s="5">
        <f t="shared" ca="1" si="10"/>
        <v>5.0773737494415636</v>
      </c>
      <c r="G53" s="5">
        <f t="shared" ca="1" si="10"/>
        <v>6.5638874028616492</v>
      </c>
      <c r="H53" s="5">
        <f t="shared" ca="1" si="11"/>
        <v>8.0079010399658017</v>
      </c>
    </row>
    <row r="54" spans="1:13" x14ac:dyDescent="0.15">
      <c r="A54">
        <v>0</v>
      </c>
      <c r="B54" s="5">
        <f t="shared" ca="1" si="10"/>
        <v>2.3572151638290477</v>
      </c>
      <c r="C54" s="5">
        <f t="shared" ca="1" si="10"/>
        <v>3.3935000890871803</v>
      </c>
      <c r="D54" s="5">
        <f t="shared" ca="1" si="10"/>
        <v>4.6473352386077202</v>
      </c>
      <c r="E54" s="5">
        <f t="shared" ca="1" si="10"/>
        <v>6.0302979445068514</v>
      </c>
      <c r="F54" s="5">
        <f t="shared" ca="1" si="10"/>
        <v>7.4228308597266901</v>
      </c>
      <c r="G54" s="5">
        <f t="shared" ca="1" si="10"/>
        <v>8.7687862492983992</v>
      </c>
      <c r="H54" s="5">
        <f t="shared" ca="1" si="11"/>
        <v>10.047459517865818</v>
      </c>
    </row>
    <row r="55" spans="1:13" x14ac:dyDescent="0.15">
      <c r="A55" s="50"/>
      <c r="B55" s="50"/>
      <c r="C55" s="50"/>
      <c r="D55" s="50"/>
      <c r="E55" s="50"/>
      <c r="F55" s="50"/>
      <c r="G55" s="50"/>
      <c r="H55" s="50"/>
    </row>
    <row r="56" spans="1:13" x14ac:dyDescent="0.15">
      <c r="I56" s="50"/>
    </row>
    <row r="57" spans="1:13" x14ac:dyDescent="0.15">
      <c r="A57" s="120" t="s">
        <v>55</v>
      </c>
      <c r="B57" s="120"/>
      <c r="C57" s="120"/>
      <c r="F57" s="50"/>
      <c r="G57" s="50"/>
      <c r="I57" s="50"/>
    </row>
    <row r="58" spans="1:13" x14ac:dyDescent="0.15">
      <c r="A58" s="48"/>
      <c r="B58" s="50">
        <v>0</v>
      </c>
      <c r="C58" s="50">
        <v>1</v>
      </c>
      <c r="D58" s="50">
        <v>2</v>
      </c>
      <c r="E58" s="50">
        <v>3</v>
      </c>
      <c r="F58" s="50">
        <v>4</v>
      </c>
      <c r="G58">
        <f t="shared" ref="G58:L58" si="12">F58+1</f>
        <v>5</v>
      </c>
      <c r="H58">
        <f t="shared" si="12"/>
        <v>6</v>
      </c>
      <c r="I58">
        <f t="shared" si="12"/>
        <v>7</v>
      </c>
      <c r="J58">
        <f t="shared" si="12"/>
        <v>8</v>
      </c>
      <c r="K58">
        <f t="shared" si="12"/>
        <v>9</v>
      </c>
      <c r="L58">
        <f t="shared" si="12"/>
        <v>10</v>
      </c>
      <c r="M58">
        <v>11</v>
      </c>
    </row>
    <row r="59" spans="1:13" x14ac:dyDescent="0.15">
      <c r="A59" s="50">
        <v>11</v>
      </c>
      <c r="B59" s="50"/>
      <c r="C59" s="50"/>
      <c r="D59" s="50"/>
      <c r="E59" s="50"/>
      <c r="F59" s="50"/>
      <c r="M59" s="117">
        <f ca="1">IF($A59=0,(L59/2)/(1+L3),IF($A59=M$58,(L60/2)/(1+L4),IF($A59&lt;M$58,(L59/2*1/(1+L3)+L60/2*1/(1+L4)),"")))</f>
        <v>2.0118789139417218E-4</v>
      </c>
    </row>
    <row r="60" spans="1:13" x14ac:dyDescent="0.15">
      <c r="A60">
        <v>10</v>
      </c>
      <c r="B60" s="116"/>
      <c r="C60" s="117" t="str">
        <f t="shared" ref="C60:L60" si="13">IF($A60=0,(B60/2)/(1+B4),IF($A60=C$58,(B61/2)/(1+B5),IF($A60&lt;C$58,(B60/2*1/(1+B4)+B61/2*1/(1+B5)),"")))</f>
        <v/>
      </c>
      <c r="D60" s="117" t="str">
        <f t="shared" si="13"/>
        <v/>
      </c>
      <c r="E60" s="117" t="str">
        <f t="shared" si="13"/>
        <v/>
      </c>
      <c r="F60" s="117" t="str">
        <f t="shared" si="13"/>
        <v/>
      </c>
      <c r="G60" s="117" t="str">
        <f t="shared" si="13"/>
        <v/>
      </c>
      <c r="H60" s="117" t="str">
        <f t="shared" si="13"/>
        <v/>
      </c>
      <c r="I60" s="117" t="str">
        <f t="shared" si="13"/>
        <v/>
      </c>
      <c r="J60" s="117" t="str">
        <f t="shared" si="13"/>
        <v/>
      </c>
      <c r="K60" s="117" t="str">
        <f t="shared" si="13"/>
        <v/>
      </c>
      <c r="L60" s="117">
        <f t="shared" ca="1" si="13"/>
        <v>4.5455874042504954E-4</v>
      </c>
      <c r="M60" s="117">
        <f ca="1">IF($A60=0,(L60/2)/(1+L4),IF($A60=M$58,(L61/2)/(1+L5),IF($A60&lt;M$58,(L60/2*1/(1+L4)+L61/2*1/(1+L5)),"")))</f>
        <v>2.4072396526281128E-3</v>
      </c>
    </row>
    <row r="61" spans="1:13" x14ac:dyDescent="0.15">
      <c r="A61">
        <v>9</v>
      </c>
      <c r="B61" s="58" t="str">
        <f t="shared" ref="B61:B69" si="14">IF($A61&lt;=B$58,(B5-$E$73+C60/2+C61/2)/(1+B5),"")</f>
        <v/>
      </c>
      <c r="C61" s="117" t="str">
        <f t="shared" ref="C61:K61" si="15">IF($A61=0,(B61/2)/(1+B5),IF($A61=C$58,(B62/2)/(1+B6),IF($A61&lt;C$58,(B61/2*1/(1+B5)+B62/2*1/(1+B6)),"")))</f>
        <v/>
      </c>
      <c r="D61" s="117" t="str">
        <f t="shared" si="15"/>
        <v/>
      </c>
      <c r="E61" s="117" t="str">
        <f t="shared" si="15"/>
        <v/>
      </c>
      <c r="F61" s="117" t="str">
        <f t="shared" si="15"/>
        <v/>
      </c>
      <c r="G61" s="117" t="str">
        <f t="shared" si="15"/>
        <v/>
      </c>
      <c r="H61" s="117" t="str">
        <f t="shared" si="15"/>
        <v/>
      </c>
      <c r="I61" s="117" t="str">
        <f t="shared" si="15"/>
        <v/>
      </c>
      <c r="J61" s="117" t="str">
        <f t="shared" si="15"/>
        <v/>
      </c>
      <c r="K61" s="117">
        <f t="shared" ca="1" si="15"/>
        <v>1.0163000540910105E-3</v>
      </c>
      <c r="L61" s="117">
        <f t="shared" ref="L61:M61" ca="1" si="16">IF($A61=0,(K61/2)/(1+K5),IF($A61=L$58,(K62/2)/(1+K6),IF($A61&lt;L$58,(K61/2*1/(1+K5)+K62/2*1/(1+K6)),"")))</f>
        <v>4.8802614415644069E-3</v>
      </c>
      <c r="M61" s="117">
        <f t="shared" ca="1" si="16"/>
        <v>1.2966931107345451E-2</v>
      </c>
    </row>
    <row r="62" spans="1:13" x14ac:dyDescent="0.15">
      <c r="A62">
        <v>8</v>
      </c>
      <c r="B62" s="58" t="str">
        <f t="shared" si="14"/>
        <v/>
      </c>
      <c r="C62" s="117" t="str">
        <f t="shared" ref="C62:K62" si="17">IF($A62=0,(B62/2)/(1+B6),IF($A62=C$58,(B63/2)/(1+B7),IF($A62&lt;C$58,(B62/2*1/(1+B6)+B63/2*1/(1+B7)),"")))</f>
        <v/>
      </c>
      <c r="D62" s="117" t="str">
        <f t="shared" si="17"/>
        <v/>
      </c>
      <c r="E62" s="117" t="str">
        <f t="shared" si="17"/>
        <v/>
      </c>
      <c r="F62" s="117" t="str">
        <f t="shared" si="17"/>
        <v/>
      </c>
      <c r="G62" s="117" t="str">
        <f t="shared" si="17"/>
        <v/>
      </c>
      <c r="H62" s="117" t="str">
        <f t="shared" si="17"/>
        <v/>
      </c>
      <c r="I62" s="117" t="str">
        <f t="shared" si="17"/>
        <v/>
      </c>
      <c r="J62" s="117">
        <f t="shared" ca="1" si="17"/>
        <v>2.2504530505372093E-3</v>
      </c>
      <c r="K62" s="117">
        <f t="shared" ca="1" si="17"/>
        <v>9.7052252130681357E-3</v>
      </c>
      <c r="L62" s="117">
        <f t="shared" ref="L62:M62" ca="1" si="18">IF($A62=0,(K62/2)/(1+K6),IF($A62=L$58,(K63/2)/(1+K7),IF($A62&lt;L$58,(K62/2*1/(1+K6)+K63/2*1/(1+K7)),"")))</f>
        <v>2.339017763694189E-2</v>
      </c>
      <c r="M62" s="117">
        <f t="shared" ca="1" si="18"/>
        <v>4.1557057735035097E-2</v>
      </c>
    </row>
    <row r="63" spans="1:13" x14ac:dyDescent="0.15">
      <c r="A63">
        <v>7</v>
      </c>
      <c r="B63" s="58" t="str">
        <f t="shared" si="14"/>
        <v/>
      </c>
      <c r="C63" s="117" t="str">
        <f t="shared" ref="C63:K63" si="19">IF($A63=0,(B63/2)/(1+B7),IF($A63=C$58,(B64/2)/(1+B8),IF($A63&lt;C$58,(B63/2*1/(1+B7)+B64/2*1/(1+B8)),"")))</f>
        <v/>
      </c>
      <c r="D63" s="117" t="str">
        <f t="shared" si="19"/>
        <v/>
      </c>
      <c r="E63" s="117" t="str">
        <f t="shared" si="19"/>
        <v/>
      </c>
      <c r="F63" s="117" t="str">
        <f t="shared" si="19"/>
        <v/>
      </c>
      <c r="G63" s="117" t="str">
        <f t="shared" si="19"/>
        <v/>
      </c>
      <c r="H63" s="117" t="str">
        <f t="shared" si="19"/>
        <v/>
      </c>
      <c r="I63" s="117">
        <f t="shared" ca="1" si="19"/>
        <v>4.9394557353073217E-3</v>
      </c>
      <c r="J63" s="117">
        <f t="shared" ca="1" si="19"/>
        <v>1.8901753451366955E-2</v>
      </c>
      <c r="K63" s="117">
        <f t="shared" ca="1" si="19"/>
        <v>4.0922417996198571E-2</v>
      </c>
      <c r="L63" s="117">
        <f t="shared" ref="L63:M63" ca="1" si="20">IF($A63=0,(K63/2)/(1+K7),IF($A63=L$58,(K64/2)/(1+K8),IF($A63&lt;L$58,(K63/2*1/(1+K7)+K64/2*1/(1+K8)),"")))</f>
        <v>6.5967307353106699E-2</v>
      </c>
      <c r="M63" s="117">
        <f t="shared" ca="1" si="20"/>
        <v>8.8134729022286376E-2</v>
      </c>
    </row>
    <row r="64" spans="1:13" x14ac:dyDescent="0.15">
      <c r="A64">
        <v>6</v>
      </c>
      <c r="B64" s="58" t="str">
        <f t="shared" si="14"/>
        <v/>
      </c>
      <c r="C64" s="117" t="str">
        <f t="shared" ref="C64:K64" si="21">IF($A64=0,(B64/2)/(1+B8),IF($A64=C$58,(B65/2)/(1+B9),IF($A64&lt;C$58,(B64/2*1/(1+B8)+B65/2*1/(1+B9)),"")))</f>
        <v/>
      </c>
      <c r="D64" s="117" t="str">
        <f t="shared" si="21"/>
        <v/>
      </c>
      <c r="E64" s="117" t="str">
        <f t="shared" si="21"/>
        <v/>
      </c>
      <c r="F64" s="117" t="str">
        <f t="shared" si="21"/>
        <v/>
      </c>
      <c r="G64" s="117" t="str">
        <f t="shared" si="21"/>
        <v/>
      </c>
      <c r="H64" s="117">
        <f t="shared" ca="1" si="21"/>
        <v>1.0753966184804321E-2</v>
      </c>
      <c r="I64" s="117">
        <f t="shared" ca="1" si="21"/>
        <v>3.5957492296704981E-2</v>
      </c>
      <c r="J64" s="117">
        <f t="shared" ca="1" si="21"/>
        <v>6.9092377177583167E-2</v>
      </c>
      <c r="K64" s="117">
        <f t="shared" ca="1" si="21"/>
        <v>0.10007593008653067</v>
      </c>
      <c r="L64" s="117">
        <f t="shared" ref="L64:M64" ca="1" si="22">IF($A64=0,(K64/2)/(1+K8),IF($A64=L$58,(K65/2)/(1+K9),IF($A64&lt;L$58,(K64/2*1/(1+K8)+K65/2*1/(1+K9)),"")))</f>
        <v>0.12134168240459414</v>
      </c>
      <c r="M64" s="117">
        <f t="shared" ca="1" si="22"/>
        <v>0.12999386240792715</v>
      </c>
    </row>
    <row r="65" spans="1:13" x14ac:dyDescent="0.15">
      <c r="A65" s="48">
        <v>5</v>
      </c>
      <c r="B65" s="58" t="str">
        <f t="shared" si="14"/>
        <v/>
      </c>
      <c r="C65" s="117" t="str">
        <f t="shared" ref="C65:K65" si="23">IF($A65=0,(B65/2)/(1+B9),IF($A65=C$58,(B66/2)/(1+B10),IF($A65&lt;C$58,(B65/2*1/(1+B9)+B66/2*1/(1+B10)),"")))</f>
        <v/>
      </c>
      <c r="D65" s="117" t="str">
        <f t="shared" si="23"/>
        <v/>
      </c>
      <c r="E65" s="117" t="str">
        <f t="shared" si="23"/>
        <v/>
      </c>
      <c r="F65" s="117" t="str">
        <f t="shared" si="23"/>
        <v/>
      </c>
      <c r="G65" s="117">
        <f t="shared" ca="1" si="23"/>
        <v>2.3239869377637563E-2</v>
      </c>
      <c r="H65" s="117">
        <f t="shared" ca="1" si="23"/>
        <v>6.6532010348420018E-2</v>
      </c>
      <c r="I65" s="117">
        <f t="shared" ca="1" si="23"/>
        <v>0.11172316071684492</v>
      </c>
      <c r="J65" s="117">
        <f t="shared" ca="1" si="23"/>
        <v>0.1436499958301071</v>
      </c>
      <c r="K65" s="117">
        <f t="shared" ca="1" si="23"/>
        <v>0.15653275627001564</v>
      </c>
      <c r="L65" s="117">
        <f t="shared" ref="L65:M65" ca="1" si="24">IF($A65=0,(K65/2)/(1+K9),IF($A65=L$58,(K66/2)/(1+K10),IF($A65&lt;L$58,(K65/2*1/(1+K9)+K66/2*1/(1+K10)),"")))</f>
        <v>0.152220071406128</v>
      </c>
      <c r="M65" s="117">
        <f t="shared" ca="1" si="24"/>
        <v>0.13617136889089737</v>
      </c>
    </row>
    <row r="66" spans="1:13" x14ac:dyDescent="0.15">
      <c r="A66" s="48">
        <v>4</v>
      </c>
      <c r="B66" s="58" t="str">
        <f t="shared" si="14"/>
        <v/>
      </c>
      <c r="C66" s="117" t="str">
        <f t="shared" ref="C66:K66" si="25">IF($A66=0,(B66/2)/(1+B10),IF($A66=C$58,(B67/2)/(1+B11),IF($A66&lt;C$58,(B66/2*1/(1+B10)+B67/2*1/(1+B11)),"")))</f>
        <v/>
      </c>
      <c r="D66" s="117" t="str">
        <f t="shared" si="25"/>
        <v/>
      </c>
      <c r="E66" s="117" t="str">
        <f t="shared" si="25"/>
        <v/>
      </c>
      <c r="F66" s="117">
        <f t="shared" ca="1" si="25"/>
        <v>4.9882288030855038E-2</v>
      </c>
      <c r="G66" s="117">
        <f t="shared" ca="1" si="25"/>
        <v>0.11890590542862689</v>
      </c>
      <c r="H66" s="117">
        <f t="shared" ca="1" si="25"/>
        <v>0.17098123846524971</v>
      </c>
      <c r="I66" s="117">
        <f t="shared" ca="1" si="25"/>
        <v>0.19215282963104782</v>
      </c>
      <c r="J66" s="117">
        <f t="shared" ca="1" si="25"/>
        <v>0.18590019469910463</v>
      </c>
      <c r="K66" s="117">
        <f t="shared" ca="1" si="25"/>
        <v>0.16249555798707366</v>
      </c>
      <c r="L66" s="117">
        <f t="shared" ref="L66:M66" ca="1" si="26">IF($A66=0,(K66/2)/(1+K10),IF($A66=L$58,(K67/2)/(1+K11),IF($A66&lt;L$58,(K66/2*1/(1+K10)+K67/2*1/(1+K11)),"")))</f>
        <v>0.13197418918665349</v>
      </c>
      <c r="M66" s="117">
        <f t="shared" ca="1" si="26"/>
        <v>0.10137546430913791</v>
      </c>
    </row>
    <row r="67" spans="1:13" x14ac:dyDescent="0.15">
      <c r="A67" s="48">
        <v>3</v>
      </c>
      <c r="B67" s="58" t="str">
        <f t="shared" si="14"/>
        <v/>
      </c>
      <c r="C67" s="117" t="str">
        <f t="shared" ref="C67:K67" si="27">IF($A67=0,(B67/2)/(1+B11),IF($A67=C$58,(B68/2)/(1+B12),IF($A67&lt;C$58,(B67/2*1/(1+B11)+B68/2*1/(1+B12)),"")))</f>
        <v/>
      </c>
      <c r="D67" s="117" t="str">
        <f t="shared" si="27"/>
        <v/>
      </c>
      <c r="E67" s="117">
        <f t="shared" ca="1" si="27"/>
        <v>0.1064039085986169</v>
      </c>
      <c r="F67" s="117">
        <f t="shared" ca="1" si="27"/>
        <v>0.20279190656052667</v>
      </c>
      <c r="G67" s="117">
        <f t="shared" ca="1" si="27"/>
        <v>0.24282656018412149</v>
      </c>
      <c r="H67" s="117">
        <f t="shared" ca="1" si="27"/>
        <v>0.23370917066872809</v>
      </c>
      <c r="I67" s="117">
        <f t="shared" ca="1" si="27"/>
        <v>0.19765164779760358</v>
      </c>
      <c r="J67" s="117">
        <f t="shared" ca="1" si="27"/>
        <v>0.15341114304740447</v>
      </c>
      <c r="K67" s="117">
        <f t="shared" ca="1" si="27"/>
        <v>0.11201219063522416</v>
      </c>
      <c r="L67" s="117">
        <f t="shared" ref="L67:M67" ca="1" si="28">IF($A67=0,(K67/2)/(1+K11),IF($A67=L$58,(K68/2)/(1+K12),IF($A67&lt;L$58,(K67/2*1/(1+K11)+K68/2*1/(1+K12)),"")))</f>
        <v>7.8128994123108142E-2</v>
      </c>
      <c r="M67" s="117">
        <f t="shared" ca="1" si="28"/>
        <v>5.2595662050873473E-2</v>
      </c>
    </row>
    <row r="68" spans="1:13" x14ac:dyDescent="0.15">
      <c r="A68" s="48">
        <v>2</v>
      </c>
      <c r="B68" s="58" t="str">
        <f t="shared" si="14"/>
        <v/>
      </c>
      <c r="C68" s="117" t="str">
        <f t="shared" ref="C68:K68" si="29">IF($A68=0,(B68/2)/(1+B12),IF($A68=C$58,(B69/2)/(1+B13),IF($A68&lt;C$58,(B68/2*1/(1+B12)+B69/2*1/(1+B13)),"")))</f>
        <v/>
      </c>
      <c r="D68" s="117">
        <f t="shared" ca="1" si="29"/>
        <v>0.22568269013766645</v>
      </c>
      <c r="E68" s="117">
        <f t="shared" ca="1" si="29"/>
        <v>0.32247109451722455</v>
      </c>
      <c r="F68" s="117">
        <f t="shared" ca="1" si="29"/>
        <v>0.30874425123655258</v>
      </c>
      <c r="G68" s="117">
        <f t="shared" ca="1" si="29"/>
        <v>0.24746524640355316</v>
      </c>
      <c r="H68" s="117">
        <f t="shared" ca="1" si="29"/>
        <v>0.17925145183745941</v>
      </c>
      <c r="I68" s="117">
        <f t="shared" ca="1" si="29"/>
        <v>0.12163522763804931</v>
      </c>
      <c r="J68" s="117">
        <f t="shared" ca="1" si="29"/>
        <v>7.8870776950537611E-2</v>
      </c>
      <c r="K68" s="117">
        <f t="shared" ca="1" si="29"/>
        <v>4.9463111894766022E-2</v>
      </c>
      <c r="L68" s="117">
        <f t="shared" ref="L68:M68" ca="1" si="30">IF($A68=0,(K68/2)/(1+K12),IF($A68=L$58,(K69/2)/(1+K13),IF($A68&lt;L$58,(K68/2*1/(1+K12)+K69/2*1/(1+K13)),"")))</f>
        <v>3.0240070132404023E-2</v>
      </c>
      <c r="M68" s="117">
        <f t="shared" ca="1" si="30"/>
        <v>1.812071645283627E-2</v>
      </c>
    </row>
    <row r="69" spans="1:13" x14ac:dyDescent="0.15">
      <c r="A69" s="48">
        <v>1</v>
      </c>
      <c r="B69" s="58" t="str">
        <f t="shared" si="14"/>
        <v/>
      </c>
      <c r="C69" s="117">
        <f t="shared" ref="C69:K69" si="31">IF($A69=0,(B69/2)/(1+B13),IF($A69=C$58,(B70/2)/(1+B14),IF($A69&lt;C$58,(B69/2*1/(1+B13)+B70/2*1/(1+B14)),"")))</f>
        <v>0.47619047619047616</v>
      </c>
      <c r="D69" s="117">
        <f t="shared" ca="1" si="31"/>
        <v>0.45352502324315747</v>
      </c>
      <c r="E69" s="117">
        <f t="shared" ca="1" si="31"/>
        <v>0.32555413118794496</v>
      </c>
      <c r="F69" s="117">
        <f t="shared" ca="1" si="31"/>
        <v>0.20865288021970707</v>
      </c>
      <c r="G69" s="117">
        <f t="shared" ca="1" si="31"/>
        <v>0.1258750126509024</v>
      </c>
      <c r="H69" s="117">
        <f t="shared" ca="1" si="31"/>
        <v>7.3163970795382546E-2</v>
      </c>
      <c r="I69" s="117">
        <f t="shared" ca="1" si="31"/>
        <v>4.1479811245140726E-2</v>
      </c>
      <c r="J69" s="117">
        <f t="shared" ca="1" si="31"/>
        <v>2.310453697143329E-2</v>
      </c>
      <c r="K69" s="117">
        <f t="shared" ca="1" si="31"/>
        <v>1.2701857669922257E-2</v>
      </c>
      <c r="L69" s="117">
        <f t="shared" ref="L69:M69" ca="1" si="32">IF($A69=0,(K69/2)/(1+K13),IF($A69=L$58,(K70/2)/(1+K14),IF($A69&lt;L$58,(K69/2*1/(1+K13)+K70/2*1/(1+K14)),"")))</f>
        <v>6.9131562638004565E-3</v>
      </c>
      <c r="M69" s="117">
        <f t="shared" ca="1" si="32"/>
        <v>3.7329424500608141E-3</v>
      </c>
    </row>
    <row r="70" spans="1:13" x14ac:dyDescent="0.15">
      <c r="A70" s="48">
        <v>0</v>
      </c>
      <c r="B70" s="57">
        <v>1</v>
      </c>
      <c r="C70" s="117">
        <f t="shared" ref="C70:K70" si="33">IF($A70=0,(B70/2)/(1+B14),IF($A70=C$58,(B72/2)/(1+B15),IF($A70&lt;C$58,(B70/2*1/(1+B14)+B72/2*1/(1+B15)),"")))</f>
        <v>0.47619047619047616</v>
      </c>
      <c r="D70" s="117">
        <f t="shared" ca="1" si="33"/>
        <v>0.22784233310549101</v>
      </c>
      <c r="E70" s="117">
        <f t="shared" ca="1" si="33"/>
        <v>0.10948694526933735</v>
      </c>
      <c r="F70" s="117">
        <f t="shared" ca="1" si="33"/>
        <v>5.2818247512826155E-2</v>
      </c>
      <c r="G70" s="117">
        <f t="shared" ca="1" si="33"/>
        <v>2.5570290380481385E-2</v>
      </c>
      <c r="H70" s="117">
        <f t="shared" ca="1" si="33"/>
        <v>1.2418495325017221E-2</v>
      </c>
      <c r="I70" s="117">
        <f t="shared" ca="1" si="33"/>
        <v>6.0485259290944176E-3</v>
      </c>
      <c r="J70" s="117">
        <f t="shared" ca="1" si="33"/>
        <v>2.9536274225491956E-3</v>
      </c>
      <c r="K70" s="117">
        <f t="shared" ca="1" si="33"/>
        <v>1.4456974440131736E-3</v>
      </c>
      <c r="L70" s="117">
        <f t="shared" ref="L70:M70" ca="1" si="34">IF($A70=0,(K70/2)/(1+K14),IF($A70=L$58,(K72/2)/(1+K15),IF($A70&lt;L$58,(K70/2*1/(1+K14)+K72/2*1/(1+K15)),"")))</f>
        <v>7.0911248668913129E-4</v>
      </c>
      <c r="M70" s="117">
        <f t="shared" ca="1" si="34"/>
        <v>3.4848085529314921E-4</v>
      </c>
    </row>
    <row r="71" spans="1:13" x14ac:dyDescent="0.15">
      <c r="A71" s="50"/>
      <c r="B71" s="5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</row>
    <row r="73" spans="1:13" x14ac:dyDescent="0.15">
      <c r="A73" s="120" t="s">
        <v>54</v>
      </c>
      <c r="B73" s="120"/>
      <c r="C73" s="120"/>
      <c r="D73" s="52" t="s">
        <v>57</v>
      </c>
      <c r="E73" s="67">
        <v>4.4999999999999998E-2</v>
      </c>
    </row>
    <row r="74" spans="1:13" x14ac:dyDescent="0.15">
      <c r="B74" s="50">
        <v>0</v>
      </c>
      <c r="C74" s="50">
        <v>1</v>
      </c>
      <c r="D74" s="50">
        <v>2</v>
      </c>
      <c r="E74" s="50">
        <v>3</v>
      </c>
      <c r="F74" s="50">
        <v>4</v>
      </c>
      <c r="G74">
        <f t="shared" ref="G74:L74" si="35">F74+1</f>
        <v>5</v>
      </c>
      <c r="H74">
        <f t="shared" si="35"/>
        <v>6</v>
      </c>
      <c r="I74">
        <f t="shared" si="35"/>
        <v>7</v>
      </c>
      <c r="J74">
        <f t="shared" si="35"/>
        <v>8</v>
      </c>
      <c r="K74">
        <f t="shared" si="35"/>
        <v>9</v>
      </c>
      <c r="L74">
        <f t="shared" si="35"/>
        <v>10</v>
      </c>
      <c r="M74">
        <v>11</v>
      </c>
    </row>
    <row r="75" spans="1:13" x14ac:dyDescent="0.15">
      <c r="A75">
        <v>11</v>
      </c>
      <c r="B75" t="str">
        <f t="shared" ref="B75:L75" si="36">IF($A75&lt;=B$74,-1*($E$73-B3)/(1+B3)*B59,"")</f>
        <v/>
      </c>
      <c r="C75" t="str">
        <f t="shared" si="36"/>
        <v/>
      </c>
      <c r="D75" t="str">
        <f t="shared" si="36"/>
        <v/>
      </c>
      <c r="E75" t="str">
        <f t="shared" si="36"/>
        <v/>
      </c>
      <c r="F75" t="str">
        <f t="shared" si="36"/>
        <v/>
      </c>
      <c r="G75" t="str">
        <f t="shared" si="36"/>
        <v/>
      </c>
      <c r="H75" t="str">
        <f t="shared" si="36"/>
        <v/>
      </c>
      <c r="I75" t="str">
        <f t="shared" si="36"/>
        <v/>
      </c>
      <c r="J75" t="str">
        <f t="shared" si="36"/>
        <v/>
      </c>
      <c r="K75" t="str">
        <f t="shared" si="36"/>
        <v/>
      </c>
      <c r="L75" t="str">
        <f t="shared" si="36"/>
        <v/>
      </c>
      <c r="M75">
        <f ca="1">IF($A75&lt;=M$74,-1*($E$73-M3)/(1+M3)*M59,"")</f>
        <v>1.7194303814321532E-5</v>
      </c>
    </row>
    <row r="76" spans="1:13" x14ac:dyDescent="0.15">
      <c r="A76">
        <v>10</v>
      </c>
      <c r="B76" t="str">
        <f t="shared" ref="B76:M76" si="37">IF($A76&lt;=B$74,-1*($E$73-B4)/(1+B4)*B60,"")</f>
        <v/>
      </c>
      <c r="C76" t="str">
        <f t="shared" si="37"/>
        <v/>
      </c>
      <c r="D76" t="str">
        <f t="shared" si="37"/>
        <v/>
      </c>
      <c r="E76" t="str">
        <f t="shared" si="37"/>
        <v/>
      </c>
      <c r="F76" t="str">
        <f t="shared" si="37"/>
        <v/>
      </c>
      <c r="G76" t="str">
        <f t="shared" si="37"/>
        <v/>
      </c>
      <c r="H76" t="str">
        <f t="shared" si="37"/>
        <v/>
      </c>
      <c r="I76" t="str">
        <f t="shared" si="37"/>
        <v/>
      </c>
      <c r="J76" t="str">
        <f t="shared" si="37"/>
        <v/>
      </c>
      <c r="K76" t="str">
        <f t="shared" si="37"/>
        <v/>
      </c>
      <c r="L76">
        <f t="shared" ca="1" si="37"/>
        <v>3.4076047411229711E-5</v>
      </c>
      <c r="M76">
        <f t="shared" ca="1" si="37"/>
        <v>1.5459886791194404E-4</v>
      </c>
    </row>
    <row r="77" spans="1:13" x14ac:dyDescent="0.15">
      <c r="A77">
        <v>9</v>
      </c>
      <c r="B77" t="str">
        <f t="shared" ref="B77:M77" si="38">IF($A77&lt;=B$74,-1*($E$73-B5)/(1+B5)*B61,"")</f>
        <v/>
      </c>
      <c r="C77" t="str">
        <f t="shared" si="38"/>
        <v/>
      </c>
      <c r="D77" t="str">
        <f t="shared" si="38"/>
        <v/>
      </c>
      <c r="E77" t="str">
        <f t="shared" si="38"/>
        <v/>
      </c>
      <c r="F77" t="str">
        <f t="shared" si="38"/>
        <v/>
      </c>
      <c r="G77" t="str">
        <f t="shared" si="38"/>
        <v/>
      </c>
      <c r="H77" t="str">
        <f t="shared" si="38"/>
        <v/>
      </c>
      <c r="I77" t="str">
        <f t="shared" si="38"/>
        <v/>
      </c>
      <c r="J77" t="str">
        <f t="shared" si="38"/>
        <v/>
      </c>
      <c r="K77">
        <f t="shared" ca="1" si="38"/>
        <v>6.6272286602657004E-5</v>
      </c>
      <c r="L77">
        <f t="shared" ca="1" si="38"/>
        <v>2.6961326058547045E-4</v>
      </c>
      <c r="M77">
        <f t="shared" ca="1" si="38"/>
        <v>5.9771012991873505E-4</v>
      </c>
    </row>
    <row r="78" spans="1:13" x14ac:dyDescent="0.15">
      <c r="A78">
        <v>8</v>
      </c>
      <c r="B78" t="str">
        <f t="shared" ref="B78:M78" si="39">IF($A78&lt;=B$74,-1*($E$73-B6)/(1+B6)*B62,"")</f>
        <v/>
      </c>
      <c r="C78" t="str">
        <f t="shared" si="39"/>
        <v/>
      </c>
      <c r="D78" t="str">
        <f t="shared" si="39"/>
        <v/>
      </c>
      <c r="E78" t="str">
        <f t="shared" si="39"/>
        <v/>
      </c>
      <c r="F78" t="str">
        <f t="shared" si="39"/>
        <v/>
      </c>
      <c r="G78" t="str">
        <f t="shared" si="39"/>
        <v/>
      </c>
      <c r="H78" t="str">
        <f t="shared" si="39"/>
        <v/>
      </c>
      <c r="I78" t="str">
        <f t="shared" si="39"/>
        <v/>
      </c>
      <c r="J78">
        <f t="shared" ca="1" si="39"/>
        <v>1.2638593748699766E-4</v>
      </c>
      <c r="K78">
        <f t="shared" ca="1" si="39"/>
        <v>4.5550656768687743E-4</v>
      </c>
      <c r="L78">
        <f t="shared" ca="1" si="39"/>
        <v>8.9993980356883007E-4</v>
      </c>
      <c r="M78">
        <f t="shared" ca="1" si="39"/>
        <v>1.2771547723991134E-3</v>
      </c>
    </row>
    <row r="79" spans="1:13" x14ac:dyDescent="0.15">
      <c r="A79">
        <v>7</v>
      </c>
      <c r="B79" t="str">
        <f t="shared" ref="B79:M79" si="40">IF($A79&lt;=B$74,-1*($E$73-B7)/(1+B7)*B63,"")</f>
        <v/>
      </c>
      <c r="C79" t="str">
        <f t="shared" si="40"/>
        <v/>
      </c>
      <c r="D79" t="str">
        <f t="shared" si="40"/>
        <v/>
      </c>
      <c r="E79" t="str">
        <f t="shared" si="40"/>
        <v/>
      </c>
      <c r="F79" t="str">
        <f t="shared" si="40"/>
        <v/>
      </c>
      <c r="G79" t="str">
        <f t="shared" si="40"/>
        <v/>
      </c>
      <c r="H79" t="str">
        <f t="shared" si="40"/>
        <v/>
      </c>
      <c r="I79">
        <f t="shared" ca="1" si="40"/>
        <v>2.3600885968455378E-4</v>
      </c>
      <c r="J79">
        <f t="shared" ca="1" si="40"/>
        <v>7.4189986910476436E-4</v>
      </c>
      <c r="K79">
        <f t="shared" ca="1" si="40"/>
        <v>1.2866653803712774E-3</v>
      </c>
      <c r="L79">
        <f t="shared" ca="1" si="40"/>
        <v>1.6032945202564121E-3</v>
      </c>
      <c r="M79">
        <f t="shared" ca="1" si="40"/>
        <v>1.5679492454307735E-3</v>
      </c>
    </row>
    <row r="80" spans="1:13" x14ac:dyDescent="0.15">
      <c r="A80">
        <v>6</v>
      </c>
      <c r="B80" t="str">
        <f t="shared" ref="B80:M80" si="41">IF($A80&lt;=B$74,-1*($E$73-B8)/(1+B8)*B64,"")</f>
        <v/>
      </c>
      <c r="C80" t="str">
        <f t="shared" si="41"/>
        <v/>
      </c>
      <c r="D80" t="str">
        <f t="shared" si="41"/>
        <v/>
      </c>
      <c r="E80" t="str">
        <f t="shared" si="41"/>
        <v/>
      </c>
      <c r="F80" t="str">
        <f t="shared" si="41"/>
        <v/>
      </c>
      <c r="G80" t="str">
        <f t="shared" si="41"/>
        <v/>
      </c>
      <c r="H80">
        <f t="shared" ca="1" si="41"/>
        <v>4.3050369801201884E-4</v>
      </c>
      <c r="I80">
        <f t="shared" ca="1" si="41"/>
        <v>1.156274458970815E-3</v>
      </c>
      <c r="J80">
        <f t="shared" ca="1" si="41"/>
        <v>1.7243771477903418E-3</v>
      </c>
      <c r="K80">
        <f t="shared" ca="1" si="41"/>
        <v>1.840010334364945E-3</v>
      </c>
      <c r="L80">
        <f t="shared" ca="1" si="41"/>
        <v>1.504111580865896E-3</v>
      </c>
      <c r="M80">
        <f t="shared" ca="1" si="41"/>
        <v>9.0233774318570689E-4</v>
      </c>
    </row>
    <row r="81" spans="1:13" x14ac:dyDescent="0.15">
      <c r="A81" s="48">
        <v>5</v>
      </c>
      <c r="B81" t="str">
        <f t="shared" ref="B81:M81" si="42">IF($A81&lt;=B$74,-1*($E$73-B9)/(1+B9)*B65,"")</f>
        <v/>
      </c>
      <c r="C81" t="str">
        <f t="shared" si="42"/>
        <v/>
      </c>
      <c r="D81" t="str">
        <f t="shared" si="42"/>
        <v/>
      </c>
      <c r="E81" t="str">
        <f t="shared" si="42"/>
        <v/>
      </c>
      <c r="F81" t="str">
        <f t="shared" si="42"/>
        <v/>
      </c>
      <c r="G81">
        <f t="shared" ca="1" si="42"/>
        <v>7.6408005139653253E-4</v>
      </c>
      <c r="H81">
        <f t="shared" ca="1" si="42"/>
        <v>1.7043139350989011E-3</v>
      </c>
      <c r="I81">
        <f t="shared" ca="1" si="42"/>
        <v>2.1213102534302559E-3</v>
      </c>
      <c r="J81">
        <f t="shared" ca="1" si="42"/>
        <v>1.8593019790508389E-3</v>
      </c>
      <c r="K81">
        <f t="shared" ca="1" si="42"/>
        <v>1.1645597965796286E-3</v>
      </c>
      <c r="L81">
        <f t="shared" ca="1" si="42"/>
        <v>3.7046979728851262E-4</v>
      </c>
      <c r="M81">
        <f t="shared" ca="1" si="42"/>
        <v>-2.8799425457385285E-4</v>
      </c>
    </row>
    <row r="82" spans="1:13" x14ac:dyDescent="0.15">
      <c r="A82" s="48">
        <v>4</v>
      </c>
      <c r="B82" t="str">
        <f t="shared" ref="B82:M82" si="43">IF($A82&lt;=B$74,-1*($E$73-B10)/(1+B10)*B66,"")</f>
        <v/>
      </c>
      <c r="C82" t="str">
        <f t="shared" si="43"/>
        <v/>
      </c>
      <c r="D82" t="str">
        <f t="shared" si="43"/>
        <v/>
      </c>
      <c r="E82" t="str">
        <f t="shared" si="43"/>
        <v/>
      </c>
      <c r="F82">
        <f t="shared" ca="1" si="43"/>
        <v>1.3109610315925359E-3</v>
      </c>
      <c r="G82">
        <f t="shared" ca="1" si="43"/>
        <v>2.3297931266700674E-3</v>
      </c>
      <c r="H82">
        <f t="shared" ca="1" si="43"/>
        <v>2.3075289803649677E-3</v>
      </c>
      <c r="I82">
        <f t="shared" ca="1" si="43"/>
        <v>1.5261888095386747E-3</v>
      </c>
      <c r="J82">
        <f t="shared" ca="1" si="43"/>
        <v>5.3742794582819521E-4</v>
      </c>
      <c r="K82">
        <f t="shared" ca="1" si="43"/>
        <v>-2.7619477829780848E-4</v>
      </c>
      <c r="L82">
        <f t="shared" ca="1" si="43"/>
        <v>-7.7437018648255967E-4</v>
      </c>
      <c r="M82">
        <f t="shared" ca="1" si="43"/>
        <v>-9.781158307042917E-4</v>
      </c>
    </row>
    <row r="83" spans="1:13" x14ac:dyDescent="0.15">
      <c r="A83" s="48">
        <v>3</v>
      </c>
      <c r="B83" t="str">
        <f t="shared" ref="B83:M83" si="44">IF($A83&lt;=B$74,-1*($E$73-B11)/(1+B11)*B67,"")</f>
        <v/>
      </c>
      <c r="C83" t="str">
        <f t="shared" si="44"/>
        <v/>
      </c>
      <c r="D83" t="str">
        <f t="shared" si="44"/>
        <v/>
      </c>
      <c r="E83">
        <f t="shared" ca="1" si="44"/>
        <v>2.1499266141298537E-3</v>
      </c>
      <c r="F83">
        <f t="shared" ca="1" si="44"/>
        <v>2.8498912139589745E-3</v>
      </c>
      <c r="G83">
        <f t="shared" ca="1" si="44"/>
        <v>2.0518840937064058E-3</v>
      </c>
      <c r="H83">
        <f t="shared" ca="1" si="44"/>
        <v>7.834662247229266E-4</v>
      </c>
      <c r="I83">
        <f t="shared" ca="1" si="44"/>
        <v>-2.5311830201589806E-4</v>
      </c>
      <c r="J83">
        <f t="shared" ca="1" si="44"/>
        <v>-8.4180639230304916E-4</v>
      </c>
      <c r="K83">
        <f t="shared" ca="1" si="44"/>
        <v>-1.0421119995101232E-3</v>
      </c>
      <c r="L83">
        <f t="shared" ca="1" si="44"/>
        <v>-9.9716690985403723E-4</v>
      </c>
      <c r="M83">
        <f t="shared" ca="1" si="44"/>
        <v>-8.3611305510942048E-4</v>
      </c>
    </row>
    <row r="84" spans="1:13" x14ac:dyDescent="0.15">
      <c r="A84" s="48">
        <v>2</v>
      </c>
      <c r="B84" t="str">
        <f t="shared" ref="B84:M84" si="45">IF($A84&lt;=B$74,-1*($E$73-B12)/(1+B12)*B68,"")</f>
        <v/>
      </c>
      <c r="C84" t="str">
        <f t="shared" si="45"/>
        <v/>
      </c>
      <c r="D84">
        <f t="shared" ca="1" si="45"/>
        <v>3.298521166557127E-3</v>
      </c>
      <c r="E84">
        <f t="shared" ca="1" si="45"/>
        <v>2.8899917902107984E-3</v>
      </c>
      <c r="F84">
        <f t="shared" ca="1" si="45"/>
        <v>1.1787557983063931E-3</v>
      </c>
      <c r="G84">
        <f t="shared" ca="1" si="45"/>
        <v>-2.1224420367346231E-4</v>
      </c>
      <c r="H84">
        <f t="shared" ca="1" si="45"/>
        <v>-9.1478761552686192E-4</v>
      </c>
      <c r="I84">
        <f t="shared" ca="1" si="45"/>
        <v>-1.0892952314065269E-3</v>
      </c>
      <c r="J84">
        <f t="shared" ca="1" si="45"/>
        <v>-9.8175203737339454E-4</v>
      </c>
      <c r="K84">
        <f t="shared" ca="1" si="45"/>
        <v>-7.7218318779571189E-4</v>
      </c>
      <c r="L84">
        <f t="shared" ca="1" si="45"/>
        <v>-5.5870252095936376E-4</v>
      </c>
      <c r="M84">
        <f t="shared" ca="1" si="45"/>
        <v>-3.8175395433983218E-4</v>
      </c>
    </row>
    <row r="85" spans="1:13" x14ac:dyDescent="0.15">
      <c r="A85" s="48">
        <v>1</v>
      </c>
      <c r="B85" t="str">
        <f t="shared" ref="B85:M85" si="46">IF($A85&lt;=B$74,-1*($E$73-B13)/(1+B13)*B69,"")</f>
        <v/>
      </c>
      <c r="C85">
        <f t="shared" ca="1" si="46"/>
        <v>4.5136538027533328E-3</v>
      </c>
      <c r="D85">
        <f t="shared" ca="1" si="46"/>
        <v>1.9446046732674734E-3</v>
      </c>
      <c r="E85">
        <f t="shared" ca="1" si="46"/>
        <v>-1.4025116943619035E-4</v>
      </c>
      <c r="F85">
        <f t="shared" ca="1" si="46"/>
        <v>-9.8398932547282859E-4</v>
      </c>
      <c r="G85">
        <f t="shared" ca="1" si="46"/>
        <v>-1.0830310821611424E-3</v>
      </c>
      <c r="H85">
        <f t="shared" ca="1" si="46"/>
        <v>-8.8741551515422691E-4</v>
      </c>
      <c r="I85">
        <f t="shared" ca="1" si="46"/>
        <v>-6.3558971202703194E-4</v>
      </c>
      <c r="J85">
        <f t="shared" ca="1" si="46"/>
        <v>-4.2083790071669976E-4</v>
      </c>
      <c r="K85">
        <f t="shared" ca="1" si="46"/>
        <v>-2.6459382424041201E-4</v>
      </c>
      <c r="L85">
        <f t="shared" ca="1" si="46"/>
        <v>-1.6036846926396285E-4</v>
      </c>
      <c r="M85">
        <f t="shared" ca="1" si="46"/>
        <v>-9.4580794365518059E-5</v>
      </c>
    </row>
    <row r="86" spans="1:13" x14ac:dyDescent="0.15">
      <c r="A86" s="48">
        <v>0</v>
      </c>
      <c r="B86">
        <f t="shared" ref="B86:M86" si="47">IF($A86&lt;=B$74,-1*($E$73-B14)/(1+B14)*B70,"")</f>
        <v>4.7619047619047658E-3</v>
      </c>
      <c r="C86">
        <f t="shared" ca="1" si="47"/>
        <v>3.1619475524753833E-18</v>
      </c>
      <c r="D86">
        <f t="shared" ca="1" si="47"/>
        <v>-9.8538250742403392E-4</v>
      </c>
      <c r="E86">
        <f t="shared" ca="1" si="47"/>
        <v>-9.0319203246932587E-4</v>
      </c>
      <c r="F86">
        <f t="shared" ca="1" si="47"/>
        <v>-6.2365938237994058E-4</v>
      </c>
      <c r="G86">
        <f t="shared" ca="1" si="47"/>
        <v>-3.8436484880460781E-4</v>
      </c>
      <c r="H86">
        <f t="shared" ca="1" si="47"/>
        <v>-2.229238667901108E-4</v>
      </c>
      <c r="I86">
        <f t="shared" ca="1" si="47"/>
        <v>-1.245553840334005E-4</v>
      </c>
      <c r="J86">
        <f t="shared" ca="1" si="47"/>
        <v>-6.7880235438337385E-5</v>
      </c>
      <c r="K86">
        <f t="shared" ca="1" si="47"/>
        <v>-3.6347653167110875E-5</v>
      </c>
      <c r="L86">
        <f t="shared" ca="1" si="47"/>
        <v>-1.9212500873550513E-5</v>
      </c>
      <c r="M86">
        <f t="shared" ca="1" si="47"/>
        <v>-1.0056005192726225E-5</v>
      </c>
    </row>
    <row r="88" spans="1:13" x14ac:dyDescent="0.15">
      <c r="C88">
        <f ca="1">SUM(C75:L86)</f>
        <v>3.3374242062163773E-2</v>
      </c>
      <c r="D88" s="1" t="s">
        <v>56</v>
      </c>
      <c r="E88" s="118">
        <f ca="1">C88*1000000</f>
        <v>33374.242062163772</v>
      </c>
    </row>
    <row r="91" spans="1:13" x14ac:dyDescent="0.15">
      <c r="A91" s="119" t="s">
        <v>58</v>
      </c>
      <c r="B91" s="119"/>
      <c r="C91" s="119"/>
      <c r="D91" s="52"/>
      <c r="E91" s="67"/>
    </row>
    <row r="92" spans="1:13" x14ac:dyDescent="0.15">
      <c r="B92" s="50">
        <v>0</v>
      </c>
      <c r="C92" s="50">
        <v>1</v>
      </c>
      <c r="D92" s="50">
        <v>2</v>
      </c>
      <c r="E92" s="50">
        <v>3</v>
      </c>
      <c r="F92" s="50">
        <v>4</v>
      </c>
      <c r="G92">
        <f t="shared" ref="G92:L92" si="48">F92+1</f>
        <v>5</v>
      </c>
      <c r="H92">
        <f t="shared" si="48"/>
        <v>6</v>
      </c>
      <c r="I92">
        <f t="shared" si="48"/>
        <v>7</v>
      </c>
      <c r="J92">
        <f t="shared" si="48"/>
        <v>8</v>
      </c>
      <c r="K92">
        <f t="shared" si="48"/>
        <v>9</v>
      </c>
      <c r="L92">
        <f t="shared" si="48"/>
        <v>10</v>
      </c>
    </row>
    <row r="93" spans="1:13" x14ac:dyDescent="0.15">
      <c r="A93">
        <v>10</v>
      </c>
      <c r="C93" t="str">
        <f>IF($A93&lt;=C$74,($E$73-C34)/(1+C34)*#REF!,"")</f>
        <v/>
      </c>
      <c r="D93" t="str">
        <f>IF($A93&lt;=D$74,($E$73-D34)/(1+D34)*#REF!,"")</f>
        <v/>
      </c>
      <c r="E93" t="str">
        <f>IF($A93&lt;=E$74,($E$73-E34)/(1+E34)*#REF!,"")</f>
        <v/>
      </c>
      <c r="F93" t="str">
        <f>IF($A93&lt;=F$74,($E$73-F34)/(1+F34)*#REF!,"")</f>
        <v/>
      </c>
      <c r="G93" t="str">
        <f>IF($A93&lt;=G$74,($E$73-G34)/(1+G34)*#REF!,"")</f>
        <v/>
      </c>
      <c r="H93" t="str">
        <f t="shared" ref="H93:K103" si="49">H76</f>
        <v/>
      </c>
      <c r="I93" t="str">
        <f t="shared" si="49"/>
        <v/>
      </c>
      <c r="J93" t="str">
        <f t="shared" si="49"/>
        <v/>
      </c>
      <c r="K93" t="str">
        <f t="shared" si="49"/>
        <v/>
      </c>
      <c r="L93">
        <f ca="1">L76</f>
        <v>3.4076047411229711E-5</v>
      </c>
    </row>
    <row r="94" spans="1:13" x14ac:dyDescent="0.15">
      <c r="A94">
        <v>9</v>
      </c>
      <c r="B94" t="str">
        <f t="shared" ref="B94:F103" si="50">IF($A94&lt;=B$92,1/(1+B5)*(1/2*C93+1/2*C94),"")</f>
        <v/>
      </c>
      <c r="C94" t="str">
        <f t="shared" si="50"/>
        <v/>
      </c>
      <c r="D94" t="str">
        <f t="shared" si="50"/>
        <v/>
      </c>
      <c r="E94" t="str">
        <f t="shared" si="50"/>
        <v/>
      </c>
      <c r="F94" t="str">
        <f t="shared" si="50"/>
        <v/>
      </c>
      <c r="H94" t="str">
        <f t="shared" si="49"/>
        <v/>
      </c>
      <c r="I94" t="str">
        <f t="shared" si="49"/>
        <v/>
      </c>
      <c r="J94" t="str">
        <f t="shared" si="49"/>
        <v/>
      </c>
      <c r="K94">
        <f t="shared" ca="1" si="49"/>
        <v>6.6272286602657004E-5</v>
      </c>
      <c r="L94">
        <f t="shared" ref="L94:L103" ca="1" si="51">L77</f>
        <v>2.6961326058547045E-4</v>
      </c>
    </row>
    <row r="95" spans="1:13" x14ac:dyDescent="0.15">
      <c r="A95">
        <v>8</v>
      </c>
      <c r="B95" t="str">
        <f t="shared" si="50"/>
        <v/>
      </c>
      <c r="C95" t="str">
        <f t="shared" si="50"/>
        <v/>
      </c>
      <c r="D95" t="str">
        <f t="shared" si="50"/>
        <v/>
      </c>
      <c r="E95" t="str">
        <f t="shared" si="50"/>
        <v/>
      </c>
      <c r="F95" t="str">
        <f t="shared" si="50"/>
        <v/>
      </c>
      <c r="H95" t="str">
        <f t="shared" si="49"/>
        <v/>
      </c>
      <c r="I95" t="str">
        <f t="shared" si="49"/>
        <v/>
      </c>
      <c r="J95">
        <f t="shared" ca="1" si="49"/>
        <v>1.2638593748699766E-4</v>
      </c>
      <c r="K95">
        <f t="shared" ca="1" si="49"/>
        <v>4.5550656768687743E-4</v>
      </c>
      <c r="L95">
        <f t="shared" ca="1" si="51"/>
        <v>8.9993980356883007E-4</v>
      </c>
    </row>
    <row r="96" spans="1:13" x14ac:dyDescent="0.15">
      <c r="A96">
        <v>7</v>
      </c>
      <c r="B96" t="str">
        <f t="shared" si="50"/>
        <v/>
      </c>
      <c r="C96" t="str">
        <f t="shared" si="50"/>
        <v/>
      </c>
      <c r="D96" t="str">
        <f t="shared" si="50"/>
        <v/>
      </c>
      <c r="E96" t="str">
        <f t="shared" si="50"/>
        <v/>
      </c>
      <c r="F96" t="str">
        <f t="shared" si="50"/>
        <v/>
      </c>
      <c r="H96" t="str">
        <f t="shared" si="49"/>
        <v/>
      </c>
      <c r="I96">
        <f t="shared" ca="1" si="49"/>
        <v>2.3600885968455378E-4</v>
      </c>
      <c r="J96">
        <f t="shared" ca="1" si="49"/>
        <v>7.4189986910476436E-4</v>
      </c>
      <c r="K96">
        <f t="shared" ca="1" si="49"/>
        <v>1.2866653803712774E-3</v>
      </c>
      <c r="L96">
        <f t="shared" ca="1" si="51"/>
        <v>1.6032945202564121E-3</v>
      </c>
    </row>
    <row r="97" spans="1:12" x14ac:dyDescent="0.15">
      <c r="A97">
        <v>6</v>
      </c>
      <c r="B97" t="str">
        <f t="shared" si="50"/>
        <v/>
      </c>
      <c r="C97" t="str">
        <f t="shared" si="50"/>
        <v/>
      </c>
      <c r="D97" t="str">
        <f t="shared" si="50"/>
        <v/>
      </c>
      <c r="E97" t="str">
        <f t="shared" si="50"/>
        <v/>
      </c>
      <c r="F97" t="str">
        <f t="shared" si="50"/>
        <v/>
      </c>
      <c r="H97">
        <f t="shared" ca="1" si="49"/>
        <v>4.3050369801201884E-4</v>
      </c>
      <c r="I97">
        <f t="shared" ca="1" si="49"/>
        <v>1.156274458970815E-3</v>
      </c>
      <c r="J97">
        <f t="shared" ca="1" si="49"/>
        <v>1.7243771477903418E-3</v>
      </c>
      <c r="K97">
        <f t="shared" ca="1" si="49"/>
        <v>1.840010334364945E-3</v>
      </c>
      <c r="L97">
        <f t="shared" ca="1" si="51"/>
        <v>1.504111580865896E-3</v>
      </c>
    </row>
    <row r="98" spans="1:12" x14ac:dyDescent="0.15">
      <c r="A98" s="48">
        <v>5</v>
      </c>
      <c r="B98" t="str">
        <f t="shared" si="50"/>
        <v/>
      </c>
      <c r="C98" t="str">
        <f t="shared" si="50"/>
        <v/>
      </c>
      <c r="D98" t="str">
        <f t="shared" si="50"/>
        <v/>
      </c>
      <c r="E98" t="str">
        <f t="shared" si="50"/>
        <v/>
      </c>
      <c r="F98" t="str">
        <f t="shared" si="50"/>
        <v/>
      </c>
      <c r="G98">
        <f ca="1">MAX(G81,0)</f>
        <v>7.6408005139653253E-4</v>
      </c>
      <c r="H98">
        <f t="shared" ca="1" si="49"/>
        <v>1.7043139350989011E-3</v>
      </c>
      <c r="I98">
        <f t="shared" ca="1" si="49"/>
        <v>2.1213102534302559E-3</v>
      </c>
      <c r="J98">
        <f t="shared" ca="1" si="49"/>
        <v>1.8593019790508389E-3</v>
      </c>
      <c r="K98">
        <f t="shared" ca="1" si="49"/>
        <v>1.1645597965796286E-3</v>
      </c>
      <c r="L98">
        <f t="shared" ca="1" si="51"/>
        <v>3.7046979728851262E-4</v>
      </c>
    </row>
    <row r="99" spans="1:12" x14ac:dyDescent="0.15">
      <c r="A99" s="48">
        <v>4</v>
      </c>
      <c r="B99" t="str">
        <f t="shared" si="50"/>
        <v/>
      </c>
      <c r="C99" t="str">
        <f t="shared" si="50"/>
        <v/>
      </c>
      <c r="D99" t="str">
        <f t="shared" si="50"/>
        <v/>
      </c>
      <c r="E99" t="str">
        <f t="shared" si="50"/>
        <v/>
      </c>
      <c r="F99">
        <f t="shared" ca="1" si="50"/>
        <v>1.441417612695897E-3</v>
      </c>
      <c r="G99">
        <f t="shared" ref="G99:G103" ca="1" si="52">MAX(G82,0)</f>
        <v>2.3297931266700674E-3</v>
      </c>
      <c r="H99">
        <f t="shared" ca="1" si="49"/>
        <v>2.3075289803649677E-3</v>
      </c>
      <c r="I99">
        <f t="shared" ca="1" si="49"/>
        <v>1.5261888095386747E-3</v>
      </c>
      <c r="J99">
        <f t="shared" ca="1" si="49"/>
        <v>5.3742794582819521E-4</v>
      </c>
      <c r="K99">
        <f t="shared" ca="1" si="49"/>
        <v>-2.7619477829780848E-4</v>
      </c>
      <c r="L99">
        <f t="shared" ca="1" si="51"/>
        <v>-7.7437018648255967E-4</v>
      </c>
    </row>
    <row r="100" spans="1:12" x14ac:dyDescent="0.15">
      <c r="A100" s="48">
        <v>3</v>
      </c>
      <c r="B100" t="str">
        <f t="shared" si="50"/>
        <v/>
      </c>
      <c r="C100" t="str">
        <f t="shared" si="50"/>
        <v/>
      </c>
      <c r="D100" t="str">
        <f t="shared" si="50"/>
        <v/>
      </c>
      <c r="E100">
        <f t="shared" ca="1" si="50"/>
        <v>1.6447664167471418E-3</v>
      </c>
      <c r="F100">
        <f t="shared" ca="1" si="50"/>
        <v>2.0670336308674314E-3</v>
      </c>
      <c r="G100">
        <f t="shared" ca="1" si="52"/>
        <v>2.0518840937064058E-3</v>
      </c>
      <c r="H100">
        <f t="shared" ca="1" si="49"/>
        <v>7.834662247229266E-4</v>
      </c>
      <c r="I100">
        <f t="shared" ca="1" si="49"/>
        <v>-2.5311830201589806E-4</v>
      </c>
      <c r="J100">
        <f t="shared" ca="1" si="49"/>
        <v>-8.4180639230304916E-4</v>
      </c>
      <c r="K100">
        <f t="shared" ca="1" si="49"/>
        <v>-1.0421119995101232E-3</v>
      </c>
      <c r="L100">
        <f t="shared" ca="1" si="51"/>
        <v>-9.9716690985403723E-4</v>
      </c>
    </row>
    <row r="101" spans="1:12" x14ac:dyDescent="0.15">
      <c r="A101" s="48">
        <v>2</v>
      </c>
      <c r="B101" t="str">
        <f t="shared" si="50"/>
        <v/>
      </c>
      <c r="C101" t="str">
        <f t="shared" si="50"/>
        <v/>
      </c>
      <c r="D101">
        <f t="shared" ca="1" si="50"/>
        <v>1.4562328671842049E-3</v>
      </c>
      <c r="E101">
        <f t="shared" ca="1" si="50"/>
        <v>1.4439034945505564E-3</v>
      </c>
      <c r="F101">
        <f t="shared" ca="1" si="50"/>
        <v>9.7801444879023732E-4</v>
      </c>
      <c r="G101">
        <f t="shared" ca="1" si="52"/>
        <v>0</v>
      </c>
      <c r="H101">
        <f t="shared" ca="1" si="49"/>
        <v>-9.1478761552686192E-4</v>
      </c>
      <c r="I101">
        <f t="shared" ca="1" si="49"/>
        <v>-1.0892952314065269E-3</v>
      </c>
      <c r="J101">
        <f t="shared" ca="1" si="49"/>
        <v>-9.8175203737339454E-4</v>
      </c>
      <c r="K101">
        <f t="shared" ca="1" si="49"/>
        <v>-7.7218318779571189E-4</v>
      </c>
      <c r="L101">
        <f t="shared" ca="1" si="51"/>
        <v>-5.5870252095936376E-4</v>
      </c>
    </row>
    <row r="102" spans="1:12" x14ac:dyDescent="0.15">
      <c r="A102" s="48">
        <v>1</v>
      </c>
      <c r="B102" t="str">
        <f t="shared" si="50"/>
        <v/>
      </c>
      <c r="C102">
        <f t="shared" ca="1" si="50"/>
        <v>1.1218809624902756E-3</v>
      </c>
      <c r="D102">
        <f t="shared" ca="1" si="50"/>
        <v>9.109359636702768E-4</v>
      </c>
      <c r="E102">
        <f t="shared" ca="1" si="50"/>
        <v>4.6815109319335466E-4</v>
      </c>
      <c r="F102">
        <f t="shared" ca="1" si="50"/>
        <v>0</v>
      </c>
      <c r="G102">
        <f t="shared" ca="1" si="52"/>
        <v>0</v>
      </c>
      <c r="H102">
        <f t="shared" ca="1" si="49"/>
        <v>-8.8741551515422691E-4</v>
      </c>
      <c r="I102">
        <f t="shared" ca="1" si="49"/>
        <v>-6.3558971202703194E-4</v>
      </c>
      <c r="J102">
        <f t="shared" ca="1" si="49"/>
        <v>-4.2083790071669976E-4</v>
      </c>
      <c r="K102">
        <f t="shared" ca="1" si="49"/>
        <v>-2.6459382424041201E-4</v>
      </c>
      <c r="L102">
        <f t="shared" ca="1" si="51"/>
        <v>-1.6036846926396285E-4</v>
      </c>
    </row>
    <row r="103" spans="1:12" x14ac:dyDescent="0.15">
      <c r="A103" s="48">
        <v>0</v>
      </c>
      <c r="B103">
        <f t="shared" ca="1" si="50"/>
        <v>7.9303523814785006E-4</v>
      </c>
      <c r="C103">
        <f t="shared" ca="1" si="50"/>
        <v>5.434930376202095E-4</v>
      </c>
      <c r="D103">
        <f t="shared" ca="1" si="50"/>
        <v>2.2496448495596091E-4</v>
      </c>
      <c r="E103">
        <f t="shared" ca="1" si="50"/>
        <v>0</v>
      </c>
      <c r="F103">
        <f t="shared" ca="1" si="50"/>
        <v>0</v>
      </c>
      <c r="G103">
        <f t="shared" ca="1" si="52"/>
        <v>0</v>
      </c>
      <c r="H103">
        <f t="shared" ca="1" si="49"/>
        <v>-2.229238667901108E-4</v>
      </c>
      <c r="I103">
        <f t="shared" ca="1" si="49"/>
        <v>-1.245553840334005E-4</v>
      </c>
      <c r="J103">
        <f t="shared" ca="1" si="49"/>
        <v>-6.7880235438337385E-5</v>
      </c>
      <c r="K103">
        <f t="shared" ca="1" si="49"/>
        <v>-3.6347653167110875E-5</v>
      </c>
      <c r="L103">
        <f t="shared" ca="1" si="51"/>
        <v>-1.9212500873550513E-5</v>
      </c>
    </row>
  </sheetData>
  <mergeCells count="9">
    <mergeCell ref="A91:C91"/>
    <mergeCell ref="G30:I30"/>
    <mergeCell ref="A57:C57"/>
    <mergeCell ref="A73:C73"/>
    <mergeCell ref="A1:B1"/>
    <mergeCell ref="A16:C16"/>
    <mergeCell ref="A30:C30"/>
    <mergeCell ref="A38:C38"/>
    <mergeCell ref="A46:C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Q40"/>
  <sheetViews>
    <sheetView showGridLines="0" workbookViewId="0">
      <selection activeCell="B3" sqref="B3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7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11" ht="14" thickBot="1" x14ac:dyDescent="0.2">
      <c r="A1" s="125" t="s">
        <v>35</v>
      </c>
      <c r="B1" s="124"/>
      <c r="E1" s="1"/>
    </row>
    <row r="2" spans="1:11" x14ac:dyDescent="0.15">
      <c r="A2" s="25" t="s">
        <v>2</v>
      </c>
      <c r="B2" s="38">
        <v>0.05</v>
      </c>
    </row>
    <row r="3" spans="1:11" x14ac:dyDescent="0.15">
      <c r="A3" s="26" t="s">
        <v>3</v>
      </c>
      <c r="B3" s="34">
        <v>1.1000000000000001</v>
      </c>
    </row>
    <row r="4" spans="1:11" x14ac:dyDescent="0.15">
      <c r="A4" s="26" t="s">
        <v>4</v>
      </c>
      <c r="B4" s="35">
        <v>0.9</v>
      </c>
    </row>
    <row r="5" spans="1:11" x14ac:dyDescent="0.15">
      <c r="A5" s="26" t="s">
        <v>5</v>
      </c>
      <c r="B5" s="36">
        <v>0.5</v>
      </c>
      <c r="F5" s="1"/>
    </row>
    <row r="6" spans="1:11" ht="14" thickBot="1" x14ac:dyDescent="0.2">
      <c r="A6" s="27" t="s">
        <v>6</v>
      </c>
      <c r="B6" s="37">
        <f>1-B5</f>
        <v>0.5</v>
      </c>
    </row>
    <row r="7" spans="1:11" x14ac:dyDescent="0.15">
      <c r="C7" s="7"/>
      <c r="D7" s="7"/>
      <c r="E7" s="7"/>
      <c r="F7" s="7"/>
      <c r="G7" s="7"/>
      <c r="H7" s="7"/>
      <c r="I7" s="7"/>
      <c r="J7" s="7"/>
      <c r="K7" s="7"/>
    </row>
    <row r="8" spans="1:11" ht="14" thickBot="1" x14ac:dyDescent="0.2">
      <c r="A8" s="10"/>
      <c r="B8" s="10"/>
      <c r="C8" s="10"/>
      <c r="D8" s="10"/>
      <c r="E8" s="10"/>
      <c r="F8" s="10"/>
      <c r="G8" s="10"/>
    </row>
    <row r="9" spans="1:11" ht="14" thickBot="1" x14ac:dyDescent="0.2">
      <c r="A9" s="126" t="s">
        <v>32</v>
      </c>
      <c r="B9" s="127"/>
      <c r="C9" s="61"/>
      <c r="D9" s="61"/>
      <c r="E9" s="61"/>
      <c r="F9" s="61"/>
      <c r="G9" s="62"/>
    </row>
    <row r="10" spans="1:11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5">
        <v>5</v>
      </c>
    </row>
    <row r="11" spans="1:11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9">
        <f t="shared" ca="1" si="0"/>
        <v>8.0525500000000028E-2</v>
      </c>
      <c r="H11" s="7"/>
      <c r="I11" s="7"/>
      <c r="J11" s="7"/>
      <c r="K11" s="7"/>
    </row>
    <row r="12" spans="1:11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7.320500000000002E-2</v>
      </c>
      <c r="G12" s="69">
        <f t="shared" ca="1" si="0"/>
        <v>6.5884500000000026E-2</v>
      </c>
      <c r="H12" s="7"/>
      <c r="I12" s="7"/>
      <c r="J12" s="7"/>
      <c r="K12" s="7"/>
    </row>
    <row r="13" spans="1:11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6.6550000000000012E-2</v>
      </c>
      <c r="F13" s="68">
        <f t="shared" ca="1" si="0"/>
        <v>5.9895000000000011E-2</v>
      </c>
      <c r="G13" s="69">
        <f t="shared" ca="1" si="0"/>
        <v>5.3905500000000009E-2</v>
      </c>
      <c r="H13" s="7"/>
      <c r="I13" s="7"/>
      <c r="J13" s="7"/>
      <c r="K13" s="7"/>
    </row>
    <row r="14" spans="1:11" x14ac:dyDescent="0.15">
      <c r="A14" s="66">
        <v>2</v>
      </c>
      <c r="B14" s="68"/>
      <c r="C14" s="68" t="str">
        <f t="shared" ca="1" si="0"/>
        <v/>
      </c>
      <c r="D14" s="68">
        <f t="shared" ca="1" si="0"/>
        <v>6.0500000000000012E-2</v>
      </c>
      <c r="E14" s="68">
        <f t="shared" ca="1" si="0"/>
        <v>5.4450000000000012E-2</v>
      </c>
      <c r="F14" s="68">
        <f t="shared" ca="1" si="0"/>
        <v>4.9005000000000014E-2</v>
      </c>
      <c r="G14" s="69">
        <f t="shared" ca="1" si="0"/>
        <v>4.4104500000000012E-2</v>
      </c>
      <c r="H14" s="7"/>
      <c r="I14" s="7"/>
      <c r="J14" s="7"/>
      <c r="K14" s="7"/>
    </row>
    <row r="15" spans="1:11" x14ac:dyDescent="0.15">
      <c r="A15" s="66">
        <v>1</v>
      </c>
      <c r="B15" s="68"/>
      <c r="C15" s="68">
        <f t="shared" ca="1" si="0"/>
        <v>5.5000000000000007E-2</v>
      </c>
      <c r="D15" s="68">
        <f t="shared" ca="1" si="0"/>
        <v>4.9500000000000009E-2</v>
      </c>
      <c r="E15" s="68">
        <f t="shared" ca="1" si="0"/>
        <v>4.4550000000000006E-2</v>
      </c>
      <c r="F15" s="68">
        <f t="shared" ca="1" si="0"/>
        <v>4.0095000000000006E-2</v>
      </c>
      <c r="G15" s="69">
        <f t="shared" ca="1" si="0"/>
        <v>3.6085500000000006E-2</v>
      </c>
      <c r="H15" s="7"/>
      <c r="I15" s="7"/>
      <c r="J15" s="7"/>
      <c r="K15" s="7"/>
    </row>
    <row r="16" spans="1:11" ht="14" thickBot="1" x14ac:dyDescent="0.2">
      <c r="A16" s="70">
        <v>0</v>
      </c>
      <c r="B16" s="71">
        <f>$B$2</f>
        <v>0.05</v>
      </c>
      <c r="C16" s="72">
        <f t="shared" ca="1" si="0"/>
        <v>4.5000000000000005E-2</v>
      </c>
      <c r="D16" s="71">
        <f t="shared" ca="1" si="0"/>
        <v>4.0500000000000008E-2</v>
      </c>
      <c r="E16" s="71">
        <f t="shared" ca="1" si="0"/>
        <v>3.645000000000001E-2</v>
      </c>
      <c r="F16" s="71">
        <f t="shared" ca="1" si="0"/>
        <v>3.2805000000000008E-2</v>
      </c>
      <c r="G16" s="73">
        <f t="shared" ca="1" si="0"/>
        <v>2.9524500000000009E-2</v>
      </c>
      <c r="H16" s="7"/>
      <c r="I16" s="7"/>
      <c r="J16" s="7"/>
      <c r="K16" s="7"/>
    </row>
    <row r="17" spans="1:17" x14ac:dyDescent="0.15">
      <c r="C17" s="7"/>
      <c r="D17" s="7"/>
      <c r="E17" s="7"/>
      <c r="F17" s="7"/>
      <c r="G17" s="7"/>
      <c r="H17" s="7"/>
      <c r="I17" s="7"/>
      <c r="J17" s="7"/>
      <c r="K17" s="7"/>
    </row>
    <row r="18" spans="1:17" ht="14" thickBot="1" x14ac:dyDescent="0.2">
      <c r="A18" s="1"/>
      <c r="J18" s="1"/>
    </row>
    <row r="19" spans="1:17" ht="14" thickBot="1" x14ac:dyDescent="0.2">
      <c r="A19" s="128" t="s">
        <v>39</v>
      </c>
      <c r="B19" s="129"/>
      <c r="C19" s="13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  <c r="Q19" t="s">
        <v>7</v>
      </c>
    </row>
    <row r="20" spans="1:17" x14ac:dyDescent="0.15">
      <c r="A20" s="48"/>
      <c r="B20" s="50">
        <v>0</v>
      </c>
      <c r="C20" s="50">
        <v>1</v>
      </c>
      <c r="D20" s="50">
        <v>2</v>
      </c>
      <c r="E20" s="50">
        <v>3</v>
      </c>
      <c r="F20" s="50">
        <v>4</v>
      </c>
      <c r="G20" s="50"/>
      <c r="H20" s="50"/>
      <c r="I20" s="50"/>
      <c r="J20" s="50"/>
      <c r="K20" s="50"/>
      <c r="P20" s="24"/>
    </row>
    <row r="21" spans="1:17" x14ac:dyDescent="0.15">
      <c r="A21" s="48">
        <v>5</v>
      </c>
      <c r="B21" s="49" t="str">
        <f t="shared" ref="B21:E26" si="1">IF($A21 &lt;=B$20,($B$5*C20 + $B$6*C21)/(1+B11), "")</f>
        <v/>
      </c>
      <c r="C21" s="49" t="str">
        <f t="shared" si="1"/>
        <v/>
      </c>
      <c r="D21" s="49" t="str">
        <f t="shared" si="1"/>
        <v/>
      </c>
      <c r="E21" s="49" t="str">
        <f t="shared" si="1"/>
        <v/>
      </c>
      <c r="F21" s="49"/>
      <c r="G21" s="57"/>
      <c r="H21" s="57"/>
      <c r="I21" s="57"/>
      <c r="J21" s="50"/>
      <c r="K21" s="50"/>
      <c r="P21" s="24"/>
    </row>
    <row r="22" spans="1:17" x14ac:dyDescent="0.15">
      <c r="A22" s="48">
        <v>4</v>
      </c>
      <c r="B22" s="49" t="str">
        <f t="shared" si="1"/>
        <v/>
      </c>
      <c r="C22" s="49" t="str">
        <f t="shared" si="1"/>
        <v/>
      </c>
      <c r="D22" s="49" t="str">
        <f t="shared" si="1"/>
        <v/>
      </c>
      <c r="E22" s="49" t="str">
        <f t="shared" si="1"/>
        <v/>
      </c>
      <c r="F22" s="49">
        <v>100</v>
      </c>
      <c r="G22" s="57"/>
      <c r="H22" s="57"/>
      <c r="I22" s="57"/>
      <c r="J22" s="50"/>
      <c r="K22" s="50"/>
      <c r="P22" s="24"/>
    </row>
    <row r="23" spans="1:17" x14ac:dyDescent="0.15">
      <c r="A23" s="48">
        <v>3</v>
      </c>
      <c r="B23" s="49" t="str">
        <f t="shared" si="1"/>
        <v/>
      </c>
      <c r="C23" s="49" t="str">
        <f t="shared" si="1"/>
        <v/>
      </c>
      <c r="D23" s="49" t="str">
        <f t="shared" si="1"/>
        <v/>
      </c>
      <c r="E23" s="49">
        <f t="shared" ca="1" si="1"/>
        <v>93.760255027893663</v>
      </c>
      <c r="F23" s="49">
        <v>100</v>
      </c>
      <c r="G23" s="57"/>
      <c r="H23" s="57"/>
      <c r="I23" s="57"/>
      <c r="J23" s="50"/>
      <c r="K23" s="50"/>
      <c r="P23" s="24"/>
    </row>
    <row r="24" spans="1:17" x14ac:dyDescent="0.15">
      <c r="A24" s="48">
        <v>2</v>
      </c>
      <c r="B24" s="49" t="str">
        <f t="shared" si="1"/>
        <v/>
      </c>
      <c r="C24" s="49" t="str">
        <f t="shared" si="1"/>
        <v/>
      </c>
      <c r="D24" s="49">
        <f t="shared" ca="1" si="1"/>
        <v>88.918635333959557</v>
      </c>
      <c r="E24" s="49">
        <f t="shared" ca="1" si="1"/>
        <v>94.836170515434574</v>
      </c>
      <c r="F24" s="49">
        <v>100</v>
      </c>
      <c r="G24" s="57"/>
      <c r="H24" s="57"/>
      <c r="I24" s="57"/>
      <c r="J24" s="50"/>
      <c r="K24" s="50"/>
      <c r="P24" s="24"/>
    </row>
    <row r="25" spans="1:17" x14ac:dyDescent="0.15">
      <c r="A25" s="48">
        <v>1</v>
      </c>
      <c r="B25" s="49" t="str">
        <f t="shared" si="1"/>
        <v/>
      </c>
      <c r="C25" s="49">
        <f t="shared" ca="1" si="1"/>
        <v>85.170639050908576</v>
      </c>
      <c r="D25" s="49">
        <f t="shared" ca="1" si="1"/>
        <v>90.79141306345754</v>
      </c>
      <c r="E25" s="49">
        <f t="shared" ca="1" si="1"/>
        <v>95.73500550476281</v>
      </c>
      <c r="F25" s="49">
        <v>100</v>
      </c>
      <c r="G25" s="57"/>
      <c r="H25" s="57"/>
      <c r="I25" s="57"/>
      <c r="J25" s="50"/>
      <c r="K25" s="50"/>
      <c r="P25" s="24"/>
    </row>
    <row r="26" spans="1:17" x14ac:dyDescent="0.15">
      <c r="A26" s="48">
        <v>0</v>
      </c>
      <c r="B26" s="49">
        <f t="shared" ca="1" si="1"/>
        <v>82.288957356046751</v>
      </c>
      <c r="C26" s="49">
        <f t="shared" ca="1" si="1"/>
        <v>87.636171396789592</v>
      </c>
      <c r="D26" s="49">
        <f t="shared" ca="1" si="1"/>
        <v>92.368185155832705</v>
      </c>
      <c r="E26" s="23">
        <f t="shared" ca="1" si="1"/>
        <v>96.483187804525059</v>
      </c>
      <c r="F26" s="49">
        <v>100</v>
      </c>
      <c r="G26" s="57" t="s">
        <v>7</v>
      </c>
      <c r="H26" s="57"/>
      <c r="I26" s="57"/>
      <c r="J26" s="50"/>
      <c r="K26" s="50"/>
      <c r="P26" s="24"/>
    </row>
    <row r="27" spans="1:17" x14ac:dyDescent="0.15">
      <c r="A27" s="48"/>
      <c r="B27" s="57"/>
      <c r="C27" s="57"/>
      <c r="D27" s="57"/>
      <c r="E27" s="57"/>
      <c r="F27" s="57"/>
      <c r="G27" s="57"/>
      <c r="H27" s="57"/>
      <c r="I27" s="57"/>
      <c r="J27" s="50"/>
      <c r="K27" s="50"/>
      <c r="P27" s="24"/>
    </row>
    <row r="28" spans="1:17" ht="14" thickBot="1" x14ac:dyDescent="0.2">
      <c r="A28" s="48"/>
      <c r="B28" s="50"/>
      <c r="C28" s="5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24"/>
    </row>
    <row r="29" spans="1:17" ht="14" thickBot="1" x14ac:dyDescent="0.2">
      <c r="A29" s="123" t="s">
        <v>1</v>
      </c>
      <c r="B29" s="124"/>
      <c r="C29" s="57"/>
      <c r="D29" s="50"/>
      <c r="E29" s="50"/>
      <c r="F29" s="50"/>
      <c r="G29" s="50"/>
      <c r="H29" s="50"/>
      <c r="I29" s="50"/>
      <c r="J29" s="50"/>
      <c r="K29" s="123" t="s">
        <v>0</v>
      </c>
      <c r="L29" s="124"/>
      <c r="M29" s="50"/>
      <c r="N29" s="50"/>
      <c r="O29" s="50"/>
      <c r="P29" s="24"/>
    </row>
    <row r="30" spans="1:17" x14ac:dyDescent="0.15">
      <c r="A30" s="28" t="s">
        <v>33</v>
      </c>
      <c r="B30" s="31">
        <v>3</v>
      </c>
      <c r="C30" s="50"/>
      <c r="D30" s="50"/>
      <c r="E30" s="50"/>
      <c r="F30" s="50"/>
      <c r="G30" s="50"/>
      <c r="H30" s="50"/>
      <c r="I30" s="50"/>
      <c r="J30" s="50"/>
      <c r="K30" s="28" t="s">
        <v>33</v>
      </c>
      <c r="L30" s="31">
        <v>2</v>
      </c>
      <c r="M30" s="50"/>
      <c r="N30" s="50"/>
      <c r="O30" s="50"/>
      <c r="P30" s="24"/>
    </row>
    <row r="31" spans="1:17" x14ac:dyDescent="0.15">
      <c r="A31" s="29" t="s">
        <v>34</v>
      </c>
      <c r="B31" s="32">
        <v>88</v>
      </c>
      <c r="C31" s="50"/>
      <c r="D31" s="50"/>
      <c r="E31" s="50"/>
      <c r="F31" s="50"/>
      <c r="G31" s="50"/>
      <c r="H31" s="50"/>
      <c r="I31" s="50"/>
      <c r="J31" s="50"/>
      <c r="K31" s="29" t="s">
        <v>34</v>
      </c>
      <c r="L31" s="32">
        <v>84</v>
      </c>
      <c r="M31" s="50"/>
      <c r="N31" s="50"/>
      <c r="O31" s="50"/>
      <c r="P31" s="24"/>
    </row>
    <row r="32" spans="1:17" ht="14" thickBot="1" x14ac:dyDescent="0.2">
      <c r="A32" s="30" t="s">
        <v>8</v>
      </c>
      <c r="B32" s="33">
        <v>-1</v>
      </c>
      <c r="C32" s="50"/>
      <c r="D32" s="59"/>
      <c r="E32" s="50"/>
      <c r="F32" s="50"/>
      <c r="G32" s="50"/>
      <c r="H32" s="50"/>
      <c r="I32" s="50"/>
      <c r="J32" s="50"/>
      <c r="K32" s="30" t="s">
        <v>8</v>
      </c>
      <c r="L32" s="33">
        <v>1</v>
      </c>
      <c r="M32" s="50"/>
      <c r="N32" s="50"/>
      <c r="O32" s="50"/>
      <c r="P32" s="24"/>
    </row>
    <row r="33" spans="1:16" x14ac:dyDescent="0.15">
      <c r="A33" s="4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24"/>
    </row>
    <row r="34" spans="1:16" x14ac:dyDescent="0.15">
      <c r="A34" s="48"/>
      <c r="B34" s="50">
        <v>0</v>
      </c>
      <c r="C34" s="50">
        <v>1</v>
      </c>
      <c r="D34" s="50">
        <v>2</v>
      </c>
      <c r="E34" s="50">
        <v>3</v>
      </c>
      <c r="F34" s="50"/>
      <c r="G34" s="50"/>
      <c r="H34" s="50"/>
      <c r="I34" s="50"/>
      <c r="J34" s="50"/>
      <c r="K34" s="58"/>
      <c r="L34" s="58">
        <v>0</v>
      </c>
      <c r="M34" s="58">
        <v>1</v>
      </c>
      <c r="N34" s="58">
        <v>2</v>
      </c>
      <c r="O34" s="50"/>
      <c r="P34" s="24"/>
    </row>
    <row r="35" spans="1:16" x14ac:dyDescent="0.15">
      <c r="A35" s="48">
        <v>3</v>
      </c>
      <c r="B35" s="49" t="str">
        <f t="shared" ref="B35:D38" si="2">IF($A35 &lt;=B$34, MAX($B$32*(B23-$B$31), ( $B$5*C34 + $B$6*C35   )/(1+B13 )),"")</f>
        <v/>
      </c>
      <c r="C35" s="49" t="str">
        <f t="shared" si="2"/>
        <v/>
      </c>
      <c r="D35" s="49" t="str">
        <f t="shared" si="2"/>
        <v/>
      </c>
      <c r="E35" s="49">
        <f ca="1">MAX(0, $B$32*(E23-$B$31))</f>
        <v>0</v>
      </c>
      <c r="F35" s="50"/>
      <c r="G35" s="50"/>
      <c r="H35" s="50"/>
      <c r="I35" s="50"/>
      <c r="J35" s="50"/>
      <c r="K35" s="58">
        <v>2</v>
      </c>
      <c r="L35" s="49" t="str">
        <f t="shared" ref="L35:M37" si="3">IF($A24 &lt;= L$34, ($B$5*M34 + $B$6*M35  )/(1+B14),"")</f>
        <v/>
      </c>
      <c r="M35" s="49" t="str">
        <f t="shared" si="3"/>
        <v/>
      </c>
      <c r="N35" s="49">
        <f ca="1">MAX(0,$L$32*(D24-$L$31))</f>
        <v>4.918635333959557</v>
      </c>
      <c r="O35" s="50"/>
      <c r="P35" s="24"/>
    </row>
    <row r="36" spans="1:16" x14ac:dyDescent="0.15">
      <c r="A36" s="48">
        <v>2</v>
      </c>
      <c r="B36" s="49" t="str">
        <f t="shared" si="2"/>
        <v/>
      </c>
      <c r="C36" s="49" t="str">
        <f t="shared" si="2"/>
        <v/>
      </c>
      <c r="D36" s="49">
        <f t="shared" ca="1" si="2"/>
        <v>0</v>
      </c>
      <c r="E36" s="49">
        <f ca="1">MAX(0, $B$32*(E24-$B$31))</f>
        <v>0</v>
      </c>
      <c r="F36" s="50"/>
      <c r="G36" s="50"/>
      <c r="H36" s="50"/>
      <c r="I36" s="50"/>
      <c r="J36" s="50"/>
      <c r="K36" s="58">
        <v>1</v>
      </c>
      <c r="L36" s="49" t="str">
        <f t="shared" si="3"/>
        <v/>
      </c>
      <c r="M36" s="49">
        <f t="shared" ca="1" si="3"/>
        <v>5.5497859703398564</v>
      </c>
      <c r="N36" s="49">
        <f ca="1">MAX(0,$L$32*(D25-$L$31))</f>
        <v>6.79141306345754</v>
      </c>
      <c r="O36" s="50"/>
      <c r="P36" s="24"/>
    </row>
    <row r="37" spans="1:16" x14ac:dyDescent="0.15">
      <c r="A37" s="48">
        <v>1</v>
      </c>
      <c r="B37" s="49" t="str">
        <f t="shared" si="2"/>
        <v/>
      </c>
      <c r="C37" s="49">
        <f t="shared" ca="1" si="2"/>
        <v>2.8293609490914235</v>
      </c>
      <c r="D37" s="49">
        <f t="shared" ca="1" si="2"/>
        <v>0</v>
      </c>
      <c r="E37" s="49">
        <f ca="1">MAX(0, $B$32*(E25-$B$31))</f>
        <v>0</v>
      </c>
      <c r="F37" s="50"/>
      <c r="G37" s="50"/>
      <c r="H37" s="50"/>
      <c r="I37" s="50"/>
      <c r="J37" s="50"/>
      <c r="K37" s="58">
        <v>0</v>
      </c>
      <c r="L37" s="49">
        <f t="shared" ca="1" si="3"/>
        <v>6.096753451196296</v>
      </c>
      <c r="M37" s="23">
        <f t="shared" ca="1" si="3"/>
        <v>7.2533962771723663</v>
      </c>
      <c r="N37" s="49">
        <f ca="1">MAX(0,$L$32*(D26-$L$31))</f>
        <v>8.3681851558327054</v>
      </c>
      <c r="O37" s="50"/>
      <c r="P37" s="24"/>
    </row>
    <row r="38" spans="1:16" ht="14" thickBot="1" x14ac:dyDescent="0.2">
      <c r="A38" s="53">
        <v>0</v>
      </c>
      <c r="B38" s="55">
        <f t="shared" ca="1" si="2"/>
        <v>5.7110426439532489</v>
      </c>
      <c r="C38" s="55">
        <f t="shared" ca="1" si="2"/>
        <v>0.36382860321040766</v>
      </c>
      <c r="D38" s="54">
        <f t="shared" ca="1" si="2"/>
        <v>0</v>
      </c>
      <c r="E38" s="55">
        <f ca="1">MAX(0, $B$32*(E26-$B$31))</f>
        <v>0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60"/>
    </row>
    <row r="39" spans="1:16" x14ac:dyDescent="0.15">
      <c r="B39" s="5"/>
      <c r="C39" s="5"/>
      <c r="D39" s="2"/>
      <c r="E39" s="5"/>
    </row>
    <row r="40" spans="1:16" x14ac:dyDescent="0.15">
      <c r="B40" s="5"/>
      <c r="C40" s="5"/>
      <c r="D40" s="2"/>
      <c r="E40" s="5"/>
    </row>
  </sheetData>
  <mergeCells count="5">
    <mergeCell ref="K29:L29"/>
    <mergeCell ref="A1:B1"/>
    <mergeCell ref="A9:B9"/>
    <mergeCell ref="A19:C19"/>
    <mergeCell ref="A29:B29"/>
  </mergeCells>
  <phoneticPr fontId="4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Q51"/>
  <sheetViews>
    <sheetView showGridLines="0" workbookViewId="0">
      <selection activeCell="B4" sqref="B4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7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16" ht="14" thickBot="1" x14ac:dyDescent="0.2">
      <c r="A1" s="125" t="s">
        <v>35</v>
      </c>
      <c r="B1" s="124"/>
      <c r="E1" s="1"/>
    </row>
    <row r="2" spans="1:16" x14ac:dyDescent="0.15">
      <c r="A2" s="25" t="s">
        <v>2</v>
      </c>
      <c r="B2" s="38">
        <v>0.06</v>
      </c>
    </row>
    <row r="3" spans="1:16" x14ac:dyDescent="0.15">
      <c r="A3" s="26" t="s">
        <v>3</v>
      </c>
      <c r="B3" s="34">
        <v>1.1000000000000001</v>
      </c>
    </row>
    <row r="4" spans="1:16" x14ac:dyDescent="0.15">
      <c r="A4" s="26" t="s">
        <v>4</v>
      </c>
      <c r="B4" s="35">
        <v>0.9</v>
      </c>
    </row>
    <row r="5" spans="1:16" x14ac:dyDescent="0.15">
      <c r="A5" s="26" t="s">
        <v>5</v>
      </c>
      <c r="B5" s="36">
        <v>0.5</v>
      </c>
      <c r="F5" s="1"/>
    </row>
    <row r="6" spans="1:16" ht="14" thickBot="1" x14ac:dyDescent="0.2">
      <c r="A6" s="27" t="s">
        <v>6</v>
      </c>
      <c r="B6" s="37">
        <f>1-B5</f>
        <v>0.5</v>
      </c>
    </row>
    <row r="7" spans="1:16" x14ac:dyDescent="0.15">
      <c r="C7" s="7"/>
      <c r="D7" s="7"/>
      <c r="E7" s="7"/>
      <c r="F7" s="7"/>
      <c r="G7" s="7"/>
      <c r="H7" s="7"/>
      <c r="I7" s="7"/>
      <c r="J7" s="7"/>
      <c r="K7" s="7"/>
    </row>
    <row r="8" spans="1:16" ht="14" thickBot="1" x14ac:dyDescent="0.2">
      <c r="A8" s="10"/>
      <c r="B8" s="10"/>
      <c r="C8" s="10"/>
      <c r="D8" s="10"/>
      <c r="E8" s="10"/>
      <c r="F8" s="10"/>
      <c r="G8" s="10"/>
    </row>
    <row r="9" spans="1:16" ht="14" thickBot="1" x14ac:dyDescent="0.2">
      <c r="A9" s="126" t="s">
        <v>32</v>
      </c>
      <c r="B9" s="127"/>
      <c r="C9" s="61"/>
      <c r="D9" s="61"/>
      <c r="E9" s="61"/>
      <c r="F9" s="61"/>
      <c r="G9" s="61"/>
      <c r="H9" s="47"/>
      <c r="J9" s="128" t="s">
        <v>39</v>
      </c>
      <c r="K9" s="135"/>
      <c r="L9" s="136"/>
      <c r="M9" s="46"/>
      <c r="N9" s="46"/>
      <c r="O9" s="46"/>
      <c r="P9" s="47"/>
    </row>
    <row r="10" spans="1:16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  <c r="J10" s="48"/>
      <c r="K10" s="50">
        <v>0</v>
      </c>
      <c r="L10" s="50">
        <v>1</v>
      </c>
      <c r="M10" s="50">
        <v>2</v>
      </c>
      <c r="N10" s="50">
        <v>3</v>
      </c>
      <c r="O10" s="50">
        <v>4</v>
      </c>
      <c r="P10" s="24"/>
    </row>
    <row r="11" spans="1:16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9.6630600000000025E-2</v>
      </c>
      <c r="H11" s="69"/>
      <c r="I11" s="7"/>
      <c r="J11" s="48">
        <v>5</v>
      </c>
      <c r="K11" s="49" t="str">
        <f t="shared" ref="K11:N16" si="1">IF($J11 &lt;=K$10,($B$5*L10 + $B$6*L11)/(1+B11), "")</f>
        <v/>
      </c>
      <c r="L11" s="49" t="str">
        <f t="shared" si="1"/>
        <v/>
      </c>
      <c r="M11" s="49" t="str">
        <f t="shared" si="1"/>
        <v/>
      </c>
      <c r="N11" s="49" t="str">
        <f t="shared" si="1"/>
        <v/>
      </c>
      <c r="O11" s="49"/>
      <c r="P11" s="104"/>
    </row>
    <row r="12" spans="1:16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8.7846000000000021E-2</v>
      </c>
      <c r="G12" s="68">
        <f t="shared" ca="1" si="0"/>
        <v>7.9061400000000018E-2</v>
      </c>
      <c r="H12" s="69"/>
      <c r="I12" s="7"/>
      <c r="J12" s="48">
        <v>4</v>
      </c>
      <c r="K12" s="49" t="str">
        <f t="shared" si="1"/>
        <v/>
      </c>
      <c r="L12" s="49" t="str">
        <f t="shared" si="1"/>
        <v/>
      </c>
      <c r="M12" s="49" t="str">
        <f t="shared" si="1"/>
        <v/>
      </c>
      <c r="N12" s="49" t="str">
        <f t="shared" si="1"/>
        <v/>
      </c>
      <c r="O12" s="49">
        <v>100</v>
      </c>
      <c r="P12" s="104"/>
    </row>
    <row r="13" spans="1:16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7.9860000000000014E-2</v>
      </c>
      <c r="F13" s="68">
        <f t="shared" ca="1" si="0"/>
        <v>7.1874000000000021E-2</v>
      </c>
      <c r="G13" s="68">
        <f t="shared" ca="1" si="0"/>
        <v>6.4686600000000025E-2</v>
      </c>
      <c r="H13" s="69"/>
      <c r="I13" s="7"/>
      <c r="J13" s="48">
        <v>3</v>
      </c>
      <c r="K13" s="49" t="str">
        <f t="shared" si="1"/>
        <v/>
      </c>
      <c r="L13" s="49" t="str">
        <f t="shared" si="1"/>
        <v/>
      </c>
      <c r="M13" s="49" t="str">
        <f t="shared" si="1"/>
        <v/>
      </c>
      <c r="N13" s="49">
        <f t="shared" ca="1" si="1"/>
        <v>92.604596892189718</v>
      </c>
      <c r="O13" s="49">
        <v>100</v>
      </c>
      <c r="P13" s="104"/>
    </row>
    <row r="14" spans="1:16" x14ac:dyDescent="0.15">
      <c r="A14" s="66">
        <v>2</v>
      </c>
      <c r="B14" s="68"/>
      <c r="C14" s="68" t="str">
        <f t="shared" ca="1" si="0"/>
        <v/>
      </c>
      <c r="D14" s="68">
        <f t="shared" ca="1" si="0"/>
        <v>7.2600000000000012E-2</v>
      </c>
      <c r="E14" s="68">
        <f t="shared" ca="1" si="0"/>
        <v>6.5340000000000009E-2</v>
      </c>
      <c r="F14" s="68">
        <f t="shared" ca="1" si="0"/>
        <v>5.8806000000000011E-2</v>
      </c>
      <c r="G14" s="68">
        <f t="shared" ca="1" si="0"/>
        <v>5.2925400000000011E-2</v>
      </c>
      <c r="H14" s="69"/>
      <c r="I14" s="7"/>
      <c r="J14" s="48">
        <v>2</v>
      </c>
      <c r="K14" s="49" t="str">
        <f t="shared" si="1"/>
        <v/>
      </c>
      <c r="L14" s="49" t="str">
        <f t="shared" si="1"/>
        <v/>
      </c>
      <c r="M14" s="49">
        <f t="shared" ca="1" si="1"/>
        <v>86.924922458735921</v>
      </c>
      <c r="N14" s="49">
        <f t="shared" ca="1" si="1"/>
        <v>93.866746766290575</v>
      </c>
      <c r="O14" s="49">
        <v>100</v>
      </c>
      <c r="P14" s="104"/>
    </row>
    <row r="15" spans="1:16" x14ac:dyDescent="0.15">
      <c r="A15" s="66">
        <v>1</v>
      </c>
      <c r="B15" s="68"/>
      <c r="C15" s="68">
        <f t="shared" ca="1" si="0"/>
        <v>6.6000000000000003E-2</v>
      </c>
      <c r="D15" s="68">
        <f t="shared" ca="1" si="0"/>
        <v>5.9400000000000001E-2</v>
      </c>
      <c r="E15" s="68">
        <f t="shared" ca="1" si="0"/>
        <v>5.3460000000000001E-2</v>
      </c>
      <c r="F15" s="68">
        <f t="shared" ca="1" si="0"/>
        <v>4.8114000000000004E-2</v>
      </c>
      <c r="G15" s="68">
        <f t="shared" ca="1" si="0"/>
        <v>4.3302600000000004E-2</v>
      </c>
      <c r="H15" s="69"/>
      <c r="I15" s="7"/>
      <c r="J15" s="48">
        <v>1</v>
      </c>
      <c r="K15" s="49" t="str">
        <f t="shared" si="1"/>
        <v/>
      </c>
      <c r="L15" s="49">
        <f t="shared" ca="1" si="1"/>
        <v>82.564825328942192</v>
      </c>
      <c r="M15" s="49">
        <f t="shared" ca="1" si="1"/>
        <v>89.103285142568851</v>
      </c>
      <c r="N15" s="49">
        <f t="shared" ca="1" si="1"/>
        <v>94.925293793784292</v>
      </c>
      <c r="O15" s="49">
        <v>100</v>
      </c>
      <c r="P15" s="104"/>
    </row>
    <row r="16" spans="1:16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  <c r="J16" s="48">
        <v>0</v>
      </c>
      <c r="K16" s="49">
        <f t="shared" ca="1" si="1"/>
        <v>79.234810235599497</v>
      </c>
      <c r="L16" s="49">
        <f t="shared" ca="1" si="1"/>
        <v>85.412972370528763</v>
      </c>
      <c r="M16" s="49">
        <f t="shared" ca="1" si="1"/>
        <v>90.947260614505794</v>
      </c>
      <c r="N16" s="23">
        <f t="shared" ca="1" si="1"/>
        <v>95.809301166957283</v>
      </c>
      <c r="O16" s="49">
        <v>100</v>
      </c>
      <c r="P16" s="104" t="s">
        <v>7</v>
      </c>
    </row>
    <row r="17" spans="1:17" ht="14" thickBot="1" x14ac:dyDescent="0.2">
      <c r="A17" s="53"/>
      <c r="B17" s="56"/>
      <c r="C17" s="71"/>
      <c r="D17" s="71"/>
      <c r="E17" s="71"/>
      <c r="F17" s="71"/>
      <c r="G17" s="71"/>
      <c r="H17" s="73"/>
      <c r="I17" s="7"/>
      <c r="J17" s="53"/>
      <c r="K17" s="74"/>
      <c r="L17" s="74"/>
      <c r="M17" s="74"/>
      <c r="N17" s="74"/>
      <c r="O17" s="74"/>
      <c r="P17" s="105"/>
    </row>
    <row r="18" spans="1:17" x14ac:dyDescent="0.15">
      <c r="A18" s="1"/>
      <c r="H18" s="7"/>
      <c r="I18" s="7"/>
      <c r="J18" s="7"/>
      <c r="K18" s="7"/>
    </row>
    <row r="19" spans="1:17" x14ac:dyDescent="0.15">
      <c r="B19" s="5"/>
      <c r="C19" s="5"/>
      <c r="D19" s="2"/>
      <c r="E19" s="5"/>
    </row>
    <row r="20" spans="1:17" ht="14" thickBot="1" x14ac:dyDescent="0.2">
      <c r="B20" s="5"/>
      <c r="C20" s="5"/>
      <c r="D20" s="2"/>
      <c r="E20" s="5"/>
    </row>
    <row r="21" spans="1:17" ht="14" thickBot="1" x14ac:dyDescent="0.2">
      <c r="A21" s="128" t="s">
        <v>38</v>
      </c>
      <c r="B21" s="129"/>
      <c r="C21" s="130"/>
      <c r="D21" s="44"/>
      <c r="E21" s="45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  <c r="Q21" s="50"/>
    </row>
    <row r="22" spans="1:17" x14ac:dyDescent="0.15">
      <c r="A22" s="48"/>
      <c r="B22" s="49"/>
      <c r="C22" s="49"/>
      <c r="D22" s="2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24"/>
      <c r="Q22" s="50"/>
    </row>
    <row r="23" spans="1:17" x14ac:dyDescent="0.15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50">
        <v>6</v>
      </c>
      <c r="I23" s="50"/>
      <c r="J23" s="50"/>
      <c r="K23" s="50"/>
      <c r="L23" s="50"/>
      <c r="M23" s="50"/>
      <c r="N23" s="50"/>
      <c r="O23" s="50"/>
      <c r="P23" s="24"/>
      <c r="Q23" s="50"/>
    </row>
    <row r="24" spans="1:17" x14ac:dyDescent="0.15">
      <c r="A24" s="48">
        <v>6</v>
      </c>
      <c r="B24" s="22" t="str">
        <f t="shared" ref="B24:G30" si="2">IF($A24 &lt;=B$23, 100*$B$34  + ( $B$5 *C23   +   $B$6*C24  )/(1+B10),"")</f>
        <v/>
      </c>
      <c r="C24" s="22" t="str">
        <f t="shared" si="2"/>
        <v/>
      </c>
      <c r="D24" s="22" t="str">
        <f t="shared" si="2"/>
        <v/>
      </c>
      <c r="E24" s="22" t="str">
        <f t="shared" si="2"/>
        <v/>
      </c>
      <c r="F24" s="22" t="str">
        <f t="shared" si="2"/>
        <v/>
      </c>
      <c r="G24" s="22" t="str">
        <f t="shared" si="2"/>
        <v/>
      </c>
      <c r="H24" s="49">
        <v>110</v>
      </c>
      <c r="I24" s="50"/>
      <c r="J24" s="50"/>
      <c r="K24" s="50"/>
      <c r="L24" s="50"/>
      <c r="M24" s="50"/>
      <c r="N24" s="50"/>
      <c r="O24" s="50"/>
      <c r="P24" s="24"/>
      <c r="Q24" s="50"/>
    </row>
    <row r="25" spans="1:17" x14ac:dyDescent="0.15">
      <c r="A25" s="48">
        <v>5</v>
      </c>
      <c r="B25" s="22" t="str">
        <f t="shared" si="2"/>
        <v/>
      </c>
      <c r="C25" s="22" t="str">
        <f t="shared" si="2"/>
        <v/>
      </c>
      <c r="D25" s="22" t="str">
        <f t="shared" si="2"/>
        <v/>
      </c>
      <c r="E25" s="22" t="str">
        <f t="shared" si="2"/>
        <v/>
      </c>
      <c r="F25" s="22" t="str">
        <f t="shared" si="2"/>
        <v/>
      </c>
      <c r="G25" s="22">
        <f t="shared" ca="1" si="2"/>
        <v>110.30725022628403</v>
      </c>
      <c r="H25" s="49">
        <v>110</v>
      </c>
      <c r="I25" s="50"/>
      <c r="J25" s="50"/>
      <c r="K25" s="50"/>
      <c r="L25" s="50"/>
      <c r="M25" s="50"/>
      <c r="N25" s="50"/>
      <c r="O25" s="50"/>
      <c r="P25" s="24"/>
      <c r="Q25" s="50"/>
    </row>
    <row r="26" spans="1:17" x14ac:dyDescent="0.15">
      <c r="A26" s="48">
        <v>4</v>
      </c>
      <c r="B26" s="22" t="str">
        <f t="shared" si="2"/>
        <v/>
      </c>
      <c r="C26" s="22" t="str">
        <f t="shared" si="2"/>
        <v/>
      </c>
      <c r="D26" s="22" t="str">
        <f t="shared" si="2"/>
        <v/>
      </c>
      <c r="E26" s="22" t="str">
        <f t="shared" si="2"/>
        <v/>
      </c>
      <c r="F26" s="22">
        <f t="shared" ca="1" si="2"/>
        <v>112.15034843008573</v>
      </c>
      <c r="G26" s="22">
        <f t="shared" ca="1" si="2"/>
        <v>111.94044565026606</v>
      </c>
      <c r="H26" s="49">
        <v>110</v>
      </c>
      <c r="I26" s="50"/>
      <c r="J26" s="50"/>
      <c r="K26" s="50"/>
      <c r="L26" s="50"/>
      <c r="M26" s="50"/>
      <c r="N26" s="50"/>
      <c r="O26" s="50"/>
      <c r="P26" s="24"/>
      <c r="Q26" s="50"/>
    </row>
    <row r="27" spans="1:17" x14ac:dyDescent="0.15">
      <c r="A27" s="48">
        <v>3</v>
      </c>
      <c r="B27" s="22" t="str">
        <f t="shared" si="2"/>
        <v/>
      </c>
      <c r="C27" s="22" t="str">
        <f t="shared" si="2"/>
        <v/>
      </c>
      <c r="D27" s="22" t="str">
        <f t="shared" si="2"/>
        <v/>
      </c>
      <c r="E27" s="22">
        <f t="shared" ca="1" si="2"/>
        <v>115.21118810303824</v>
      </c>
      <c r="F27" s="22">
        <f t="shared" ca="1" si="2"/>
        <v>115.07635873980804</v>
      </c>
      <c r="G27" s="22">
        <f t="shared" ca="1" si="2"/>
        <v>113.31678824547994</v>
      </c>
      <c r="H27" s="49">
        <v>110</v>
      </c>
      <c r="I27" s="50"/>
      <c r="J27" s="50"/>
      <c r="K27" s="50"/>
      <c r="L27" s="50"/>
      <c r="M27" s="50"/>
      <c r="N27" s="50"/>
      <c r="O27" s="50"/>
      <c r="P27" s="24"/>
      <c r="Q27" s="50"/>
    </row>
    <row r="28" spans="1:17" x14ac:dyDescent="0.15">
      <c r="A28" s="48">
        <v>2</v>
      </c>
      <c r="B28" s="22" t="str">
        <f t="shared" si="2"/>
        <v/>
      </c>
      <c r="C28" s="22" t="str">
        <f t="shared" si="2"/>
        <v/>
      </c>
      <c r="D28" s="22">
        <f t="shared" ca="1" si="2"/>
        <v>119.26678581512436</v>
      </c>
      <c r="E28" s="22">
        <f t="shared" ca="1" si="2"/>
        <v>119.18792082756656</v>
      </c>
      <c r="F28" s="22">
        <f t="shared" ca="1" si="2"/>
        <v>117.56816040907147</v>
      </c>
      <c r="G28" s="22">
        <f t="shared" ca="1" si="2"/>
        <v>114.47083905469468</v>
      </c>
      <c r="H28" s="49">
        <v>110</v>
      </c>
      <c r="I28" s="50"/>
      <c r="J28" s="50"/>
      <c r="K28" s="50"/>
      <c r="L28" s="50"/>
      <c r="M28" s="50"/>
      <c r="N28" s="50"/>
      <c r="O28" s="50"/>
      <c r="P28" s="24"/>
      <c r="Q28" s="50"/>
    </row>
    <row r="29" spans="1:17" x14ac:dyDescent="0.15">
      <c r="A29" s="48">
        <v>1</v>
      </c>
      <c r="B29" s="22" t="str">
        <f t="shared" si="2"/>
        <v/>
      </c>
      <c r="C29" s="22">
        <f t="shared" ca="1" si="2"/>
        <v>124.15728392202536</v>
      </c>
      <c r="D29" s="22">
        <f t="shared" ca="1" si="2"/>
        <v>124.1165435066337</v>
      </c>
      <c r="E29" s="22">
        <f t="shared" ca="1" si="2"/>
        <v>122.6022115542889</v>
      </c>
      <c r="F29" s="22">
        <f t="shared" ca="1" si="2"/>
        <v>119.67569115889091</v>
      </c>
      <c r="G29" s="22">
        <f t="shared" ca="1" si="2"/>
        <v>115.4344156719249</v>
      </c>
      <c r="H29" s="49">
        <v>110</v>
      </c>
      <c r="I29" s="50"/>
      <c r="J29" s="50"/>
      <c r="K29" s="50"/>
      <c r="L29" s="50"/>
      <c r="M29" s="50"/>
      <c r="N29" s="50"/>
      <c r="O29" s="50"/>
      <c r="P29" s="24"/>
      <c r="Q29" s="50"/>
    </row>
    <row r="30" spans="1:17" x14ac:dyDescent="0.15">
      <c r="A30" s="48">
        <v>0</v>
      </c>
      <c r="B30" s="22">
        <f t="shared" ca="1" si="2"/>
        <v>129.76528241078722</v>
      </c>
      <c r="C30" s="22">
        <f t="shared" ca="1" si="2"/>
        <v>129.74511478884355</v>
      </c>
      <c r="D30" s="22">
        <f t="shared" ca="1" si="2"/>
        <v>128.30615846824853</v>
      </c>
      <c r="E30" s="22">
        <f t="shared" ca="1" si="2"/>
        <v>125.50946398532191</v>
      </c>
      <c r="F30" s="22">
        <f t="shared" ca="1" si="2"/>
        <v>121.44800472118891</v>
      </c>
      <c r="G30" s="51">
        <f t="shared" ca="1" si="2"/>
        <v>116.23611807816158</v>
      </c>
      <c r="H30" s="49">
        <v>110</v>
      </c>
      <c r="I30" s="50"/>
      <c r="J30" s="50"/>
      <c r="K30" s="50"/>
      <c r="L30" s="50"/>
      <c r="M30" s="50"/>
      <c r="N30" s="50"/>
      <c r="O30" s="50"/>
      <c r="P30" s="24"/>
      <c r="Q30" s="50"/>
    </row>
    <row r="31" spans="1:17" x14ac:dyDescent="0.15">
      <c r="A31" s="48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24"/>
      <c r="Q31" s="50"/>
    </row>
    <row r="32" spans="1:17" ht="14" thickBot="1" x14ac:dyDescent="0.2">
      <c r="A32" s="48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24"/>
      <c r="Q32" s="50"/>
    </row>
    <row r="33" spans="1:16" ht="14" thickBot="1" x14ac:dyDescent="0.2">
      <c r="A33" s="131" t="s">
        <v>9</v>
      </c>
      <c r="B33" s="132"/>
      <c r="C33" s="52"/>
      <c r="D33" s="50"/>
      <c r="E33" s="50"/>
      <c r="F33" s="50"/>
      <c r="G33" s="50"/>
      <c r="H33" s="50"/>
      <c r="I33" s="50"/>
      <c r="J33" s="131" t="s">
        <v>11</v>
      </c>
      <c r="K33" s="132"/>
      <c r="L33" s="52"/>
      <c r="M33" s="50"/>
      <c r="N33" s="50"/>
      <c r="O33" s="50"/>
      <c r="P33" s="24"/>
    </row>
    <row r="34" spans="1:16" x14ac:dyDescent="0.15">
      <c r="A34" s="42" t="s">
        <v>10</v>
      </c>
      <c r="B34" s="43">
        <v>0.1</v>
      </c>
      <c r="C34" s="50"/>
      <c r="D34" s="50"/>
      <c r="E34" s="50"/>
      <c r="F34" s="50"/>
      <c r="G34" s="50"/>
      <c r="H34" s="50"/>
      <c r="I34" s="50"/>
      <c r="J34" s="42" t="s">
        <v>12</v>
      </c>
      <c r="K34" s="43">
        <v>0.1</v>
      </c>
      <c r="L34" s="50"/>
      <c r="M34" s="50"/>
      <c r="N34" s="50"/>
      <c r="O34" s="50"/>
      <c r="P34" s="24"/>
    </row>
    <row r="35" spans="1:16" ht="14" thickBot="1" x14ac:dyDescent="0.2">
      <c r="A35" s="40" t="s">
        <v>37</v>
      </c>
      <c r="B35" s="41">
        <v>4</v>
      </c>
      <c r="C35" s="50"/>
      <c r="D35" s="50"/>
      <c r="E35" s="50"/>
      <c r="F35" s="50"/>
      <c r="G35" s="50"/>
      <c r="H35" s="50"/>
      <c r="I35" s="50"/>
      <c r="J35" s="40" t="s">
        <v>37</v>
      </c>
      <c r="K35" s="41">
        <v>4</v>
      </c>
      <c r="L35" s="50"/>
      <c r="M35" s="50"/>
      <c r="N35" s="50"/>
      <c r="O35" s="50"/>
      <c r="P35" s="24"/>
    </row>
    <row r="36" spans="1:16" x14ac:dyDescent="0.15">
      <c r="A36" s="48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24"/>
    </row>
    <row r="37" spans="1:16" x14ac:dyDescent="0.15">
      <c r="A37" s="48"/>
      <c r="B37" s="50">
        <v>0</v>
      </c>
      <c r="C37" s="50">
        <v>1</v>
      </c>
      <c r="D37" s="50">
        <v>2</v>
      </c>
      <c r="E37" s="50">
        <v>3</v>
      </c>
      <c r="F37" s="50">
        <v>4</v>
      </c>
      <c r="G37" s="50"/>
      <c r="H37" s="50"/>
      <c r="I37" s="50"/>
      <c r="J37" s="50"/>
      <c r="K37" s="50">
        <v>0</v>
      </c>
      <c r="L37" s="50">
        <v>1</v>
      </c>
      <c r="M37" s="50">
        <v>2</v>
      </c>
      <c r="N37" s="50">
        <v>3</v>
      </c>
      <c r="O37" s="50">
        <v>4</v>
      </c>
      <c r="P37" s="24"/>
    </row>
    <row r="38" spans="1:16" x14ac:dyDescent="0.15">
      <c r="A38" s="48">
        <v>4</v>
      </c>
      <c r="B38" s="22" t="str">
        <f t="shared" ref="B38:E42" si="3">IF($A38 &lt;=B$37,  ( $B$5 *C37   +   $B$6*C38  )/(1+B12),"")</f>
        <v/>
      </c>
      <c r="C38" s="22" t="str">
        <f t="shared" si="3"/>
        <v/>
      </c>
      <c r="D38" s="22" t="str">
        <f t="shared" si="3"/>
        <v/>
      </c>
      <c r="E38" s="22" t="str">
        <f t="shared" si="3"/>
        <v/>
      </c>
      <c r="F38" s="22">
        <f ca="1">IF($A38 &lt;=F$37,  F26-100*$B$34,"")</f>
        <v>102.15034843008573</v>
      </c>
      <c r="G38" s="49"/>
      <c r="H38" s="49"/>
      <c r="I38" s="50"/>
      <c r="J38" s="50">
        <v>4</v>
      </c>
      <c r="K38" s="22" t="str">
        <f>IF($A38 &lt;=K$37,  ( $B$5 *#REF!   +   $B$6*L38  ),"")</f>
        <v/>
      </c>
      <c r="L38" s="22" t="str">
        <f>IF($A38 &lt;=L$37,  ( $B$5 *#REF!   +   $B$6*M38  ),"")</f>
        <v/>
      </c>
      <c r="M38" s="22" t="str">
        <f>IF($A38 &lt;=M$37,  ( $B$5 *#REF!   +   $B$6*N38  ),"")</f>
        <v/>
      </c>
      <c r="N38" s="22" t="str">
        <f>IF($A38 &lt;=N$37,  ( $B$5 *#REF!   +   $B$6*O38  ),"")</f>
        <v/>
      </c>
      <c r="O38" s="22">
        <f ca="1">IF($J38 &lt;=O$37, F26-100*$K$34,"")</f>
        <v>102.15034843008573</v>
      </c>
      <c r="P38" s="24"/>
    </row>
    <row r="39" spans="1:16" x14ac:dyDescent="0.15">
      <c r="A39" s="48">
        <v>3</v>
      </c>
      <c r="B39" s="22" t="str">
        <f t="shared" si="3"/>
        <v/>
      </c>
      <c r="C39" s="22" t="str">
        <f t="shared" si="3"/>
        <v/>
      </c>
      <c r="D39" s="22" t="str">
        <f t="shared" si="3"/>
        <v/>
      </c>
      <c r="E39" s="22">
        <f ca="1">IF($A39 &lt;=E$37,  ( $B$5 *F38   +   $B$6*F39  )/(1+E13),"")</f>
        <v>95.950728413819263</v>
      </c>
      <c r="F39" s="22">
        <f ca="1">IF($A39 &lt;=F$37,  F27-100*$B$34,"")</f>
        <v>105.07635873980804</v>
      </c>
      <c r="G39" s="49"/>
      <c r="H39" s="49"/>
      <c r="I39" s="50"/>
      <c r="J39" s="50">
        <v>3</v>
      </c>
      <c r="K39" s="22" t="str">
        <f t="shared" ref="K39:N42" si="4">IF($A39 &lt;=K$37,  ( $B$5 *L38   +   $B$6*L39  ),"")</f>
        <v/>
      </c>
      <c r="L39" s="22" t="str">
        <f t="shared" si="4"/>
        <v/>
      </c>
      <c r="M39" s="22" t="str">
        <f t="shared" si="4"/>
        <v/>
      </c>
      <c r="N39" s="22">
        <f t="shared" ca="1" si="4"/>
        <v>103.61335358494688</v>
      </c>
      <c r="O39" s="22">
        <f ca="1">IF($J39 &lt;=O$37, F27-100*$K$34,"")</f>
        <v>105.07635873980804</v>
      </c>
      <c r="P39" s="24"/>
    </row>
    <row r="40" spans="1:16" x14ac:dyDescent="0.15">
      <c r="A40" s="48">
        <v>2</v>
      </c>
      <c r="B40" s="22" t="str">
        <f t="shared" si="3"/>
        <v/>
      </c>
      <c r="C40" s="22" t="str">
        <f t="shared" si="3"/>
        <v/>
      </c>
      <c r="D40" s="22">
        <f t="shared" ca="1" si="3"/>
        <v>91.251153535687479</v>
      </c>
      <c r="E40" s="22">
        <f t="shared" ca="1" si="3"/>
        <v>99.801246150937502</v>
      </c>
      <c r="F40" s="22">
        <f ca="1">IF($A40 &lt;=F$37,  F28-100*$B$34,"")</f>
        <v>107.56816040907147</v>
      </c>
      <c r="G40" s="49"/>
      <c r="H40" s="49"/>
      <c r="I40" s="50"/>
      <c r="J40" s="50">
        <v>2</v>
      </c>
      <c r="K40" s="22" t="str">
        <f t="shared" si="4"/>
        <v/>
      </c>
      <c r="L40" s="22" t="str">
        <f t="shared" si="4"/>
        <v/>
      </c>
      <c r="M40" s="22">
        <f t="shared" ca="1" si="4"/>
        <v>104.96780657969332</v>
      </c>
      <c r="N40" s="22">
        <f t="shared" ca="1" si="4"/>
        <v>106.32225957443976</v>
      </c>
      <c r="O40" s="22">
        <f ca="1">IF($J40 &lt;=O$37, F28-100*$K$34,"")</f>
        <v>107.56816040907147</v>
      </c>
      <c r="P40" s="24"/>
    </row>
    <row r="41" spans="1:16" x14ac:dyDescent="0.15">
      <c r="A41" s="48">
        <v>1</v>
      </c>
      <c r="B41" s="22" t="str">
        <f t="shared" si="3"/>
        <v/>
      </c>
      <c r="C41" s="22">
        <f t="shared" ca="1" si="3"/>
        <v>87.71954186722887</v>
      </c>
      <c r="D41" s="22">
        <f t="shared" ca="1" si="3"/>
        <v>95.766909725244474</v>
      </c>
      <c r="E41" s="22">
        <f t="shared" ca="1" si="3"/>
        <v>103.10968217491047</v>
      </c>
      <c r="F41" s="22">
        <f ca="1">IF($A41 &lt;=F$37,  F29-100*$B$34,"")</f>
        <v>109.67569115889091</v>
      </c>
      <c r="G41" s="49"/>
      <c r="H41" s="49"/>
      <c r="I41" s="50"/>
      <c r="J41" s="50">
        <v>1</v>
      </c>
      <c r="K41" s="22" t="str">
        <f t="shared" si="4"/>
        <v/>
      </c>
      <c r="L41" s="22">
        <f t="shared" ca="1" si="4"/>
        <v>106.21994962945189</v>
      </c>
      <c r="M41" s="22">
        <f t="shared" ca="1" si="4"/>
        <v>107.47209267921048</v>
      </c>
      <c r="N41" s="22">
        <f t="shared" ca="1" si="4"/>
        <v>108.6219257839812</v>
      </c>
      <c r="O41" s="22">
        <f ca="1">IF($J41 &lt;=O$37, F29-100*$K$34,"")</f>
        <v>109.67569115889091</v>
      </c>
      <c r="P41" s="24"/>
    </row>
    <row r="42" spans="1:16" x14ac:dyDescent="0.15">
      <c r="A42" s="48">
        <v>0</v>
      </c>
      <c r="B42" s="22">
        <f t="shared" ca="1" si="3"/>
        <v>85.110319067038176</v>
      </c>
      <c r="C42" s="22">
        <f t="shared" ca="1" si="3"/>
        <v>92.714334554892062</v>
      </c>
      <c r="D42" s="22">
        <f t="shared" ca="1" si="3"/>
        <v>99.674907516467997</v>
      </c>
      <c r="E42" s="51">
        <f t="shared" ca="1" si="3"/>
        <v>105.92853386862619</v>
      </c>
      <c r="F42" s="22">
        <f ca="1">IF($A42 &lt;=F$37,  F30-100*$B$34,"")</f>
        <v>111.44800472118891</v>
      </c>
      <c r="G42" s="23"/>
      <c r="H42" s="49"/>
      <c r="I42" s="50"/>
      <c r="J42" s="50">
        <v>0</v>
      </c>
      <c r="K42" s="22">
        <f t="shared" ca="1" si="4"/>
        <v>107.37596970003121</v>
      </c>
      <c r="L42" s="22">
        <f t="shared" ca="1" si="4"/>
        <v>108.53198977061052</v>
      </c>
      <c r="M42" s="22">
        <f t="shared" ca="1" si="4"/>
        <v>109.59188686201055</v>
      </c>
      <c r="N42" s="23">
        <f t="shared" ca="1" si="4"/>
        <v>110.56184794003991</v>
      </c>
      <c r="O42" s="22">
        <f ca="1">IF($J42 &lt;=O$37, F30-100*$K$34,"")</f>
        <v>111.44800472118891</v>
      </c>
      <c r="P42" s="24"/>
    </row>
    <row r="43" spans="1:16" ht="14" thickBot="1" x14ac:dyDescent="0.2">
      <c r="A43" s="48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24"/>
    </row>
    <row r="44" spans="1:16" ht="14" thickBot="1" x14ac:dyDescent="0.2">
      <c r="A44" s="133" t="s">
        <v>36</v>
      </c>
      <c r="B44" s="134"/>
      <c r="C44" s="39">
        <f ca="1">100*B42/K16</f>
        <v>107.41531255513611</v>
      </c>
      <c r="D44" s="56"/>
      <c r="E44" s="56"/>
      <c r="F44" s="56"/>
      <c r="G44" s="56"/>
      <c r="H44" s="56"/>
      <c r="I44" s="56"/>
      <c r="J44" s="134" t="s">
        <v>44</v>
      </c>
      <c r="K44" s="134"/>
      <c r="L44" s="39">
        <f ca="1">K42</f>
        <v>107.37596970003121</v>
      </c>
      <c r="M44" s="56"/>
      <c r="N44" s="56"/>
      <c r="O44" s="56"/>
      <c r="P44" s="60"/>
    </row>
    <row r="47" spans="1:16" x14ac:dyDescent="0.15">
      <c r="B47" s="6"/>
      <c r="C47" s="6"/>
      <c r="D47" s="6"/>
      <c r="E47" s="6"/>
      <c r="F47" s="6"/>
      <c r="G47" s="6"/>
    </row>
    <row r="48" spans="1:16" x14ac:dyDescent="0.15">
      <c r="B48" s="6" t="s">
        <v>7</v>
      </c>
      <c r="C48" s="3"/>
      <c r="D48" s="6"/>
      <c r="E48" s="6"/>
      <c r="F48" s="6"/>
      <c r="G48" s="6"/>
    </row>
    <row r="51" spans="1:1" x14ac:dyDescent="0.15">
      <c r="A51" s="1"/>
    </row>
  </sheetData>
  <mergeCells count="8">
    <mergeCell ref="A33:B33"/>
    <mergeCell ref="J33:K33"/>
    <mergeCell ref="A44:B44"/>
    <mergeCell ref="J44:K44"/>
    <mergeCell ref="A1:B1"/>
    <mergeCell ref="A9:B9"/>
    <mergeCell ref="J9:L9"/>
    <mergeCell ref="A21:C21"/>
  </mergeCell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showGridLines="0" topLeftCell="A15" zoomScale="130" zoomScaleNormal="130" zoomScalePageLayoutView="130" workbookViewId="0">
      <selection activeCell="G26" sqref="G26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6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9" ht="14" thickBot="1" x14ac:dyDescent="0.2">
      <c r="A1" s="125" t="s">
        <v>35</v>
      </c>
      <c r="B1" s="124"/>
      <c r="E1" s="1"/>
    </row>
    <row r="2" spans="1:9" x14ac:dyDescent="0.15">
      <c r="A2" s="25" t="s">
        <v>2</v>
      </c>
      <c r="B2" s="38">
        <v>0.06</v>
      </c>
    </row>
    <row r="3" spans="1:9" x14ac:dyDescent="0.15">
      <c r="A3" s="26" t="s">
        <v>3</v>
      </c>
      <c r="B3" s="34">
        <v>1.25</v>
      </c>
    </row>
    <row r="4" spans="1:9" x14ac:dyDescent="0.15">
      <c r="A4" s="26" t="s">
        <v>4</v>
      </c>
      <c r="B4" s="35">
        <v>0.9</v>
      </c>
    </row>
    <row r="5" spans="1:9" x14ac:dyDescent="0.15">
      <c r="A5" s="26" t="s">
        <v>5</v>
      </c>
      <c r="B5" s="36">
        <v>0.5</v>
      </c>
      <c r="F5" s="1"/>
    </row>
    <row r="6" spans="1:9" ht="14" thickBot="1" x14ac:dyDescent="0.2">
      <c r="A6" s="27" t="s">
        <v>6</v>
      </c>
      <c r="B6" s="37">
        <f>1-B5</f>
        <v>0.5</v>
      </c>
    </row>
    <row r="7" spans="1:9" x14ac:dyDescent="0.15">
      <c r="C7" s="7"/>
      <c r="D7" s="7"/>
      <c r="E7" s="7"/>
      <c r="F7" s="7"/>
      <c r="G7" s="7"/>
      <c r="H7" s="7"/>
      <c r="I7" s="7"/>
    </row>
    <row r="8" spans="1:9" ht="14" thickBot="1" x14ac:dyDescent="0.2">
      <c r="A8" s="10"/>
      <c r="B8" s="10"/>
      <c r="C8" s="10"/>
      <c r="D8" s="10"/>
      <c r="E8" s="10"/>
      <c r="F8" s="10"/>
      <c r="G8" s="10"/>
    </row>
    <row r="9" spans="1:9" ht="14" thickBot="1" x14ac:dyDescent="0.2">
      <c r="A9" s="126" t="s">
        <v>32</v>
      </c>
      <c r="B9" s="127"/>
      <c r="C9" s="61"/>
      <c r="D9" s="61"/>
      <c r="E9" s="61"/>
      <c r="F9" s="61"/>
      <c r="G9" s="61"/>
      <c r="H9" s="47"/>
    </row>
    <row r="10" spans="1:9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4" thickBot="1" x14ac:dyDescent="0.2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15">
      <c r="A18" s="1"/>
      <c r="H18" s="7"/>
      <c r="I18" s="7"/>
    </row>
    <row r="19" spans="1:17" ht="14" thickBot="1" x14ac:dyDescent="0.2">
      <c r="B19" s="5"/>
      <c r="C19" s="5"/>
      <c r="D19" s="2"/>
      <c r="E19" s="5"/>
    </row>
    <row r="20" spans="1:17" ht="14" thickBot="1" x14ac:dyDescent="0.2">
      <c r="A20" s="137" t="s">
        <v>22</v>
      </c>
      <c r="B20" s="138"/>
      <c r="C20" s="108">
        <v>0.02</v>
      </c>
      <c r="D20" s="2"/>
      <c r="E20" s="5"/>
    </row>
    <row r="21" spans="1:17" ht="14" thickBot="1" x14ac:dyDescent="0.2">
      <c r="A21" s="137" t="s">
        <v>48</v>
      </c>
      <c r="B21" s="139"/>
      <c r="C21" s="140"/>
      <c r="D21" s="44"/>
      <c r="E21" s="45"/>
      <c r="F21" s="46"/>
      <c r="G21" s="46"/>
      <c r="H21" s="47"/>
      <c r="Q21" s="50"/>
    </row>
    <row r="22" spans="1:17" x14ac:dyDescent="0.15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15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15">
      <c r="A24" s="48">
        <v>5</v>
      </c>
      <c r="B24" s="112" t="str">
        <f t="shared" ref="B24:E28" si="1">IF($A24 &lt;=B$23,  ($B$5*C23 + $B$6*C24 )/(1+B11 ),"")</f>
        <v/>
      </c>
      <c r="C24" s="112" t="str">
        <f t="shared" si="1"/>
        <v/>
      </c>
      <c r="D24" s="112" t="str">
        <f t="shared" si="1"/>
        <v/>
      </c>
      <c r="E24" s="112" t="str">
        <f t="shared" si="1"/>
        <v/>
      </c>
      <c r="F24" s="112" t="str">
        <f t="shared" ref="F24:F28" si="2">IF($A24 &lt;=F$23,  ($B$5*G23 + $B$6*G24 )/(1+F11 ),"")</f>
        <v/>
      </c>
      <c r="G24" s="21">
        <f t="shared" ref="G24:G28" ca="1" si="3">MAX(0,(G11-$C$20)/(1+G11))</f>
        <v>0.13786215435410648</v>
      </c>
      <c r="H24" s="106"/>
      <c r="Q24" s="50"/>
    </row>
    <row r="25" spans="1:17" x14ac:dyDescent="0.15">
      <c r="A25" s="48">
        <v>4</v>
      </c>
      <c r="B25" s="112" t="str">
        <f t="shared" si="1"/>
        <v/>
      </c>
      <c r="C25" s="112" t="str">
        <f t="shared" si="1"/>
        <v/>
      </c>
      <c r="D25" s="112" t="str">
        <f t="shared" si="1"/>
        <v/>
      </c>
      <c r="E25" s="112" t="str">
        <f t="shared" si="1"/>
        <v/>
      </c>
      <c r="F25" s="112">
        <f t="shared" ca="1" si="2"/>
        <v>0.10321617890868268</v>
      </c>
      <c r="G25" s="21">
        <f t="shared" ca="1" si="3"/>
        <v>9.8809318377911987E-2</v>
      </c>
      <c r="H25" s="106"/>
      <c r="Q25" s="50"/>
    </row>
    <row r="26" spans="1:17" x14ac:dyDescent="0.15">
      <c r="A26" s="48">
        <v>3</v>
      </c>
      <c r="B26" s="112" t="str">
        <f t="shared" si="1"/>
        <v/>
      </c>
      <c r="C26" s="112" t="str">
        <f t="shared" si="1"/>
        <v/>
      </c>
      <c r="D26" s="112" t="str">
        <f t="shared" si="1"/>
        <v/>
      </c>
      <c r="E26" s="112">
        <f t="shared" ca="1" si="1"/>
        <v>8.0047660622954347E-2</v>
      </c>
      <c r="F26" s="112">
        <f t="shared" ca="1" si="2"/>
        <v>7.5640312795730941E-2</v>
      </c>
      <c r="G26" s="21">
        <f t="shared" ca="1" si="3"/>
        <v>6.8426685693899383E-2</v>
      </c>
      <c r="H26" s="106"/>
      <c r="Q26" s="50"/>
    </row>
    <row r="27" spans="1:17" x14ac:dyDescent="0.15">
      <c r="A27" s="48">
        <v>2</v>
      </c>
      <c r="B27" s="112" t="str">
        <f t="shared" si="1"/>
        <v/>
      </c>
      <c r="C27" s="112" t="str">
        <f t="shared" si="1"/>
        <v/>
      </c>
      <c r="D27" s="112">
        <f t="shared" ca="1" si="1"/>
        <v>6.3672438860078243E-2</v>
      </c>
      <c r="E27" s="112">
        <f t="shared" ca="1" si="1"/>
        <v>5.9235799383466806E-2</v>
      </c>
      <c r="F27" s="112">
        <f t="shared" ca="1" si="2"/>
        <v>5.2827327117162703E-2</v>
      </c>
      <c r="G27" s="21">
        <f t="shared" ca="1" si="3"/>
        <v>4.5251118846345112E-2</v>
      </c>
      <c r="H27" s="106"/>
      <c r="Q27" s="50"/>
    </row>
    <row r="28" spans="1:17" x14ac:dyDescent="0.15">
      <c r="A28" s="48">
        <v>1</v>
      </c>
      <c r="B28" s="112" t="str">
        <f t="shared" si="1"/>
        <v/>
      </c>
      <c r="C28" s="112">
        <f t="shared" ca="1" si="1"/>
        <v>5.1502670054143648E-2</v>
      </c>
      <c r="D28" s="112">
        <f t="shared" ca="1" si="1"/>
        <v>4.7058301756330592E-2</v>
      </c>
      <c r="E28" s="112">
        <f t="shared" ca="1" si="1"/>
        <v>4.1233674866299003E-2</v>
      </c>
      <c r="F28" s="112">
        <f t="shared" ca="1" si="2"/>
        <v>3.4649914111690626E-2</v>
      </c>
      <c r="G28" s="21">
        <f t="shared" ca="1" si="3"/>
        <v>2.7837677485149512E-2</v>
      </c>
      <c r="H28" s="106"/>
      <c r="Q28" s="50"/>
    </row>
    <row r="29" spans="1:17" x14ac:dyDescent="0.15">
      <c r="A29" s="48">
        <v>0</v>
      </c>
      <c r="B29" s="112">
        <f t="shared" ref="B29:E29" ca="1" si="4">IF($A29 &lt;=B$23,  ($B$5*C28 + $B$6*C29 )/(1+B16 ),"")</f>
        <v>4.2045224917924694E-2</v>
      </c>
      <c r="C29" s="112">
        <f t="shared" ca="1" si="4"/>
        <v>3.7633206771856706E-2</v>
      </c>
      <c r="D29" s="112">
        <f t="shared" ca="1" si="4"/>
        <v>3.2272498118743338E-2</v>
      </c>
      <c r="E29" s="112">
        <f t="shared" ca="1" si="4"/>
        <v>2.6448208188329523E-2</v>
      </c>
      <c r="F29" s="20">
        <f ca="1">IF($A29 &lt;=F$23,  ($B$5*G28 + $B$6*G29 )/(1+F16 ),"")</f>
        <v>2.0560191517283496E-2</v>
      </c>
      <c r="G29" s="21">
        <f ca="1">MAX(0,(G16-$C$20)/(1+G16))</f>
        <v>1.4901450547956246E-2</v>
      </c>
      <c r="H29" s="106"/>
      <c r="Q29" s="50"/>
    </row>
    <row r="30" spans="1:17" ht="14" thickBot="1" x14ac:dyDescent="0.2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15">
      <c r="A31" s="48"/>
      <c r="B31" s="50"/>
      <c r="C31" s="50"/>
      <c r="D31" s="50"/>
      <c r="E31" s="50"/>
      <c r="F31" s="50"/>
      <c r="G31" s="50"/>
      <c r="H31" s="50"/>
      <c r="Q31" s="50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42"/>
  <sheetViews>
    <sheetView showGridLines="0" zoomScale="115" zoomScaleNormal="115" zoomScalePageLayoutView="115" workbookViewId="0">
      <selection activeCell="G26" sqref="G26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6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9" ht="14" thickBot="1" x14ac:dyDescent="0.2">
      <c r="A1" s="125" t="s">
        <v>35</v>
      </c>
      <c r="B1" s="124"/>
      <c r="E1" s="1"/>
    </row>
    <row r="2" spans="1:9" x14ac:dyDescent="0.15">
      <c r="A2" s="25" t="s">
        <v>2</v>
      </c>
      <c r="B2" s="38">
        <v>0.06</v>
      </c>
    </row>
    <row r="3" spans="1:9" x14ac:dyDescent="0.15">
      <c r="A3" s="26" t="s">
        <v>3</v>
      </c>
      <c r="B3" s="34">
        <v>1.25</v>
      </c>
    </row>
    <row r="4" spans="1:9" x14ac:dyDescent="0.15">
      <c r="A4" s="26" t="s">
        <v>4</v>
      </c>
      <c r="B4" s="35">
        <v>0.9</v>
      </c>
    </row>
    <row r="5" spans="1:9" x14ac:dyDescent="0.15">
      <c r="A5" s="26" t="s">
        <v>5</v>
      </c>
      <c r="B5" s="36">
        <v>0.5</v>
      </c>
      <c r="F5" s="1"/>
    </row>
    <row r="6" spans="1:9" ht="14" thickBot="1" x14ac:dyDescent="0.2">
      <c r="A6" s="27" t="s">
        <v>6</v>
      </c>
      <c r="B6" s="37">
        <f>1-B5</f>
        <v>0.5</v>
      </c>
    </row>
    <row r="7" spans="1:9" x14ac:dyDescent="0.15">
      <c r="C7" s="7"/>
      <c r="D7" s="7"/>
      <c r="E7" s="7"/>
      <c r="F7" s="7"/>
      <c r="G7" s="7"/>
      <c r="H7" s="7"/>
      <c r="I7" s="7"/>
    </row>
    <row r="8" spans="1:9" ht="14" thickBot="1" x14ac:dyDescent="0.2">
      <c r="A8" s="10"/>
      <c r="B8" s="10"/>
      <c r="C8" s="10"/>
      <c r="D8" s="10"/>
      <c r="E8" s="10"/>
      <c r="F8" s="10"/>
      <c r="G8" s="10"/>
    </row>
    <row r="9" spans="1:9" ht="14" thickBot="1" x14ac:dyDescent="0.2">
      <c r="A9" s="126" t="s">
        <v>32</v>
      </c>
      <c r="B9" s="127"/>
      <c r="C9" s="61"/>
      <c r="D9" s="61"/>
      <c r="E9" s="61"/>
      <c r="F9" s="61"/>
      <c r="G9" s="61"/>
      <c r="H9" s="47"/>
    </row>
    <row r="10" spans="1:9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4" thickBot="1" x14ac:dyDescent="0.2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15">
      <c r="A18" s="1"/>
      <c r="H18" s="7"/>
      <c r="I18" s="7"/>
    </row>
    <row r="19" spans="1:17" ht="14" thickBot="1" x14ac:dyDescent="0.2">
      <c r="B19" s="5"/>
      <c r="C19" s="5"/>
      <c r="D19" s="2"/>
      <c r="E19" s="5"/>
    </row>
    <row r="20" spans="1:17" ht="14" thickBot="1" x14ac:dyDescent="0.2">
      <c r="A20" s="137" t="s">
        <v>22</v>
      </c>
      <c r="B20" s="138"/>
      <c r="C20" s="108">
        <v>0.05</v>
      </c>
      <c r="D20" s="2"/>
      <c r="E20" s="5"/>
    </row>
    <row r="21" spans="1:17" ht="14" thickBot="1" x14ac:dyDescent="0.2">
      <c r="A21" s="137" t="s">
        <v>45</v>
      </c>
      <c r="B21" s="139"/>
      <c r="C21" s="140"/>
      <c r="D21" s="44"/>
      <c r="E21" s="45"/>
      <c r="F21" s="46"/>
      <c r="G21" s="46"/>
      <c r="H21" s="47"/>
      <c r="Q21" s="50"/>
    </row>
    <row r="22" spans="1:17" x14ac:dyDescent="0.15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15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15">
      <c r="A24" s="48">
        <v>5</v>
      </c>
      <c r="B24" s="21" t="str">
        <f t="shared" ref="B24:F29" si="1">IF($A24 &lt;=B$23,  ((B11-$C$20)+$B$5*C23 + $B$6*C24 )/(1+B11 ),"")</f>
        <v/>
      </c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ca="1">(G11-$C$20)/(1+G11)</f>
        <v>0.11250515889393314</v>
      </c>
      <c r="H24" s="106"/>
      <c r="Q24" s="50"/>
    </row>
    <row r="25" spans="1:17" x14ac:dyDescent="0.15">
      <c r="A25" s="48">
        <v>4</v>
      </c>
      <c r="B25" s="21" t="str">
        <f t="shared" si="1"/>
        <v/>
      </c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0.16475480487418007</v>
      </c>
      <c r="G25" s="21">
        <f ca="1">(G12-$C$20)/(1+G12)</f>
        <v>7.2303710094909407E-2</v>
      </c>
      <c r="H25" s="106"/>
      <c r="Q25" s="50"/>
    </row>
    <row r="26" spans="1:17" x14ac:dyDescent="0.15">
      <c r="A26" s="48">
        <v>3</v>
      </c>
      <c r="B26" s="21" t="str">
        <f t="shared" si="1"/>
        <v/>
      </c>
      <c r="C26" s="21" t="str">
        <f t="shared" si="1"/>
        <v/>
      </c>
      <c r="D26" s="21" t="str">
        <f t="shared" si="1"/>
        <v/>
      </c>
      <c r="E26" s="21">
        <f t="shared" ca="1" si="1"/>
        <v>0.17927421131892446</v>
      </c>
      <c r="F26" s="21">
        <f t="shared" ca="1" si="1"/>
        <v>0.10143601104154178</v>
      </c>
      <c r="G26" s="21">
        <f t="shared" ref="G26:G29" ca="1" si="2">(G13-$C$20)/(1+G13)</f>
        <v>4.1027470567249376E-2</v>
      </c>
      <c r="H26" s="106"/>
      <c r="Q26" s="50"/>
    </row>
    <row r="27" spans="1:17" x14ac:dyDescent="0.15">
      <c r="A27" s="48">
        <v>2</v>
      </c>
      <c r="B27" s="21" t="str">
        <f t="shared" si="1"/>
        <v/>
      </c>
      <c r="C27" s="21" t="str">
        <f t="shared" si="1"/>
        <v/>
      </c>
      <c r="D27" s="21">
        <f t="shared" ca="1" si="1"/>
        <v>0.16860895555048425</v>
      </c>
      <c r="E27" s="21">
        <f t="shared" ca="1" si="1"/>
        <v>0.10205787894775988</v>
      </c>
      <c r="F27" s="21">
        <f t="shared" ca="1" si="1"/>
        <v>5.1152013926412429E-2</v>
      </c>
      <c r="G27" s="21">
        <f t="shared" ca="1" si="2"/>
        <v>1.7170269400649377E-2</v>
      </c>
      <c r="H27" s="106"/>
      <c r="Q27" s="50"/>
    </row>
    <row r="28" spans="1:17" x14ac:dyDescent="0.15">
      <c r="A28" s="48">
        <v>1</v>
      </c>
      <c r="B28" s="21" t="str">
        <f t="shared" si="1"/>
        <v/>
      </c>
      <c r="C28" s="21">
        <f t="shared" ca="1" si="1"/>
        <v>0.14025186699204412</v>
      </c>
      <c r="D28" s="21">
        <f t="shared" ca="1" si="1"/>
        <v>8.2932558482410587E-2</v>
      </c>
      <c r="E28" s="21">
        <f t="shared" ca="1" si="1"/>
        <v>4.0003133412186698E-2</v>
      </c>
      <c r="F28" s="21">
        <f t="shared" ca="1" si="1"/>
        <v>1.221463360754166E-2</v>
      </c>
      <c r="G28" s="21">
        <f t="shared" ca="1" si="2"/>
        <v>-7.5533200058138601E-4</v>
      </c>
      <c r="H28" s="106"/>
      <c r="Q28" s="50"/>
    </row>
    <row r="29" spans="1:17" x14ac:dyDescent="0.15">
      <c r="A29" s="48">
        <v>0</v>
      </c>
      <c r="B29" s="21">
        <f t="shared" ca="1" si="1"/>
        <v>9.9004427031513742E-2</v>
      </c>
      <c r="C29" s="21">
        <f t="shared" ca="1" si="1"/>
        <v>4.9637518314765032E-2</v>
      </c>
      <c r="D29" s="21">
        <f t="shared" ca="1" si="1"/>
        <v>1.3703330125114111E-2</v>
      </c>
      <c r="E29" s="21">
        <f t="shared" ca="1" si="1"/>
        <v>-8.4645094737973731E-3</v>
      </c>
      <c r="F29" s="20">
        <f t="shared" ca="1" si="1"/>
        <v>-1.7364127843904197E-2</v>
      </c>
      <c r="G29" s="21">
        <f t="shared" ca="1" si="2"/>
        <v>-1.407203620063328E-2</v>
      </c>
      <c r="H29" s="106"/>
      <c r="Q29" s="50"/>
    </row>
    <row r="30" spans="1:17" ht="14" thickBot="1" x14ac:dyDescent="0.2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15">
      <c r="A31" s="48"/>
      <c r="B31" s="50"/>
      <c r="C31" s="50"/>
      <c r="D31" s="50"/>
      <c r="E31" s="50"/>
      <c r="F31" s="50"/>
      <c r="G31" s="50"/>
      <c r="H31" s="50"/>
      <c r="Q31" s="50"/>
    </row>
    <row r="33" spans="1:6" ht="14" thickBot="1" x14ac:dyDescent="0.2"/>
    <row r="34" spans="1:6" ht="14" thickBot="1" x14ac:dyDescent="0.2">
      <c r="A34" s="137" t="s">
        <v>46</v>
      </c>
      <c r="B34" s="139"/>
      <c r="C34" s="107">
        <v>0</v>
      </c>
      <c r="D34" s="2"/>
      <c r="E34" s="5"/>
    </row>
    <row r="35" spans="1:6" ht="14" thickBot="1" x14ac:dyDescent="0.2">
      <c r="A35" s="137" t="s">
        <v>47</v>
      </c>
      <c r="B35" s="139"/>
      <c r="C35" s="140"/>
      <c r="D35" s="44"/>
      <c r="E35" s="45"/>
      <c r="F35" s="47"/>
    </row>
    <row r="36" spans="1:6" x14ac:dyDescent="0.15">
      <c r="A36" s="48"/>
      <c r="B36" s="49"/>
      <c r="C36" s="49"/>
      <c r="D36" s="23"/>
      <c r="E36" s="49"/>
      <c r="F36" s="24"/>
    </row>
    <row r="37" spans="1:6" x14ac:dyDescent="0.15">
      <c r="A37" s="48"/>
      <c r="B37" s="50">
        <v>0</v>
      </c>
      <c r="C37" s="50">
        <v>1</v>
      </c>
      <c r="D37" s="50">
        <v>2</v>
      </c>
      <c r="E37" s="50">
        <v>3</v>
      </c>
      <c r="F37" s="24"/>
    </row>
    <row r="38" spans="1:6" x14ac:dyDescent="0.15">
      <c r="A38" s="48">
        <v>3</v>
      </c>
      <c r="B38" s="21" t="str">
        <f t="shared" ref="B38:D40" si="3">IF($A38 &lt;=B$37,  ($B$5*C37 + $B$6*C38 )/(1+B13 ),"")</f>
        <v/>
      </c>
      <c r="C38" s="21" t="str">
        <f t="shared" si="3"/>
        <v/>
      </c>
      <c r="D38" s="21" t="str">
        <f t="shared" si="3"/>
        <v/>
      </c>
      <c r="E38" s="21">
        <f ca="1">MAX(E26,0)</f>
        <v>0.17927421131892446</v>
      </c>
      <c r="F38" s="24"/>
    </row>
    <row r="39" spans="1:6" x14ac:dyDescent="0.15">
      <c r="A39" s="48">
        <v>2</v>
      </c>
      <c r="B39" s="21" t="str">
        <f t="shared" si="3"/>
        <v/>
      </c>
      <c r="C39" s="21" t="str">
        <f t="shared" si="3"/>
        <v/>
      </c>
      <c r="D39" s="21">
        <f t="shared" ca="1" si="3"/>
        <v>0.12860895555048427</v>
      </c>
      <c r="E39" s="21">
        <f ca="1">MAX(E27,0)</f>
        <v>0.10205787894775988</v>
      </c>
      <c r="F39" s="24"/>
    </row>
    <row r="40" spans="1:6" x14ac:dyDescent="0.15">
      <c r="A40" s="48">
        <v>1</v>
      </c>
      <c r="B40" s="21" t="str">
        <f t="shared" si="3"/>
        <v/>
      </c>
      <c r="C40" s="21">
        <f t="shared" ca="1" si="3"/>
        <v>9.0766544841834426E-2</v>
      </c>
      <c r="D40" s="21">
        <f t="shared" ca="1" si="3"/>
        <v>6.6539115859459749E-2</v>
      </c>
      <c r="E40" s="21">
        <f t="shared" ref="E40:E41" ca="1" si="4">MAX(E28,0)</f>
        <v>4.0003133412186698E-2</v>
      </c>
      <c r="F40" s="24"/>
    </row>
    <row r="41" spans="1:6" x14ac:dyDescent="0.15">
      <c r="A41" s="48">
        <v>0</v>
      </c>
      <c r="B41" s="21">
        <f t="shared" ref="B41:C41" ca="1" si="5">IF($A41 &lt;=B$37,  ($B$5*C40 + $B$6*C41 )/(1+B16 ),"")</f>
        <v>6.1971809159149363E-2</v>
      </c>
      <c r="C41" s="21">
        <f t="shared" ca="1" si="5"/>
        <v>4.0613690575562231E-2</v>
      </c>
      <c r="D41" s="20">
        <f ca="1">IF($A41 &lt;=D$37,  ($B$5*E40 + $B$6*E41 )/(1+D16 ),"")</f>
        <v>1.9074543873825435E-2</v>
      </c>
      <c r="E41" s="21">
        <f t="shared" ca="1" si="4"/>
        <v>0</v>
      </c>
      <c r="F41" s="24"/>
    </row>
    <row r="42" spans="1:6" ht="14" thickBot="1" x14ac:dyDescent="0.2">
      <c r="A42" s="53"/>
      <c r="B42" s="56"/>
      <c r="C42" s="56"/>
      <c r="D42" s="56"/>
      <c r="E42" s="56"/>
      <c r="F42" s="60"/>
    </row>
  </sheetData>
  <mergeCells count="6">
    <mergeCell ref="A35:C35"/>
    <mergeCell ref="A34:B34"/>
    <mergeCell ref="A20:B20"/>
    <mergeCell ref="A1:B1"/>
    <mergeCell ref="A9:B9"/>
    <mergeCell ref="A21:C21"/>
  </mergeCells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34"/>
  <sheetViews>
    <sheetView showGridLines="0" topLeftCell="A5" workbookViewId="0">
      <selection activeCell="E34" sqref="E34"/>
    </sheetView>
  </sheetViews>
  <sheetFormatPr baseColWidth="10" defaultColWidth="8.796875" defaultRowHeight="13" x14ac:dyDescent="0.15"/>
  <cols>
    <col min="1" max="1" width="18.3984375" bestFit="1" customWidth="1"/>
  </cols>
  <sheetData>
    <row r="1" spans="1:8" ht="14" thickBot="1" x14ac:dyDescent="0.2">
      <c r="A1" s="125" t="s">
        <v>35</v>
      </c>
      <c r="B1" s="124"/>
      <c r="C1" s="1"/>
    </row>
    <row r="2" spans="1:8" x14ac:dyDescent="0.15">
      <c r="A2" s="25" t="s">
        <v>2</v>
      </c>
      <c r="B2" s="38">
        <v>0.06</v>
      </c>
    </row>
    <row r="3" spans="1:8" x14ac:dyDescent="0.15">
      <c r="A3" s="26" t="s">
        <v>3</v>
      </c>
      <c r="B3" s="34">
        <v>1.25</v>
      </c>
    </row>
    <row r="4" spans="1:8" x14ac:dyDescent="0.15">
      <c r="A4" s="26" t="s">
        <v>4</v>
      </c>
      <c r="B4" s="35">
        <v>0.9</v>
      </c>
    </row>
    <row r="5" spans="1:8" x14ac:dyDescent="0.15">
      <c r="A5" s="26" t="s">
        <v>5</v>
      </c>
      <c r="B5" s="36">
        <v>0.5</v>
      </c>
    </row>
    <row r="6" spans="1:8" ht="14" thickBot="1" x14ac:dyDescent="0.2">
      <c r="A6" s="27" t="s">
        <v>6</v>
      </c>
      <c r="B6" s="37">
        <f>1-B5</f>
        <v>0.5</v>
      </c>
    </row>
    <row r="7" spans="1:8" x14ac:dyDescent="0.15">
      <c r="C7" s="7"/>
      <c r="D7" s="7"/>
      <c r="E7" s="7"/>
      <c r="F7" s="7"/>
      <c r="G7" s="7"/>
      <c r="H7" s="7"/>
    </row>
    <row r="8" spans="1:8" ht="14" thickBot="1" x14ac:dyDescent="0.2"/>
    <row r="9" spans="1:8" ht="14" thickBot="1" x14ac:dyDescent="0.2">
      <c r="A9" s="126" t="s">
        <v>32</v>
      </c>
      <c r="B9" s="127"/>
      <c r="C9" s="61"/>
      <c r="D9" s="61"/>
      <c r="E9" s="61"/>
      <c r="F9" s="61"/>
      <c r="G9" s="61"/>
      <c r="H9" s="47"/>
    </row>
    <row r="10" spans="1:8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8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</row>
    <row r="12" spans="1:8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</row>
    <row r="13" spans="1:8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</row>
    <row r="14" spans="1:8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</row>
    <row r="15" spans="1:8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</row>
    <row r="16" spans="1:8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</row>
    <row r="17" spans="1:9" ht="14" thickBot="1" x14ac:dyDescent="0.2">
      <c r="A17" s="53"/>
      <c r="B17" s="56"/>
      <c r="C17" s="56"/>
      <c r="D17" s="56"/>
      <c r="E17" s="56"/>
      <c r="F17" s="56"/>
      <c r="G17" s="56"/>
      <c r="H17" s="60"/>
    </row>
    <row r="20" spans="1:9" ht="14" thickBot="1" x14ac:dyDescent="0.2"/>
    <row r="21" spans="1:9" ht="14" thickBot="1" x14ac:dyDescent="0.2">
      <c r="A21" s="126" t="s">
        <v>13</v>
      </c>
      <c r="B21" s="127"/>
      <c r="C21" s="46"/>
      <c r="D21" s="46"/>
      <c r="E21" s="46"/>
      <c r="F21" s="46"/>
      <c r="G21" s="46"/>
      <c r="H21" s="46"/>
      <c r="I21" s="47"/>
    </row>
    <row r="22" spans="1:9" x14ac:dyDescent="0.15">
      <c r="A22" s="48"/>
      <c r="B22" s="50">
        <v>0</v>
      </c>
      <c r="C22" s="50">
        <v>1</v>
      </c>
      <c r="D22" s="50">
        <v>2</v>
      </c>
      <c r="E22" s="50">
        <v>3</v>
      </c>
      <c r="F22" s="50">
        <v>4</v>
      </c>
      <c r="G22" s="50">
        <v>5</v>
      </c>
      <c r="H22" s="50">
        <v>6</v>
      </c>
      <c r="I22" s="24"/>
    </row>
    <row r="23" spans="1:9" x14ac:dyDescent="0.15">
      <c r="A23" s="48">
        <v>6</v>
      </c>
      <c r="B23" s="57"/>
      <c r="C23" s="21" t="str">
        <f t="shared" ref="C23:H28" si="1">IF($A23=0,$B$5*B23/(1+B10), IF($A23=C$22, $B$5*B24/(1 +B11 ), IF(AND(0 &lt; $A23, $A23 &lt; C$22), $B$5*B24/(1+B11) + $B$6*B23/(1+B10 ),"")))</f>
        <v/>
      </c>
      <c r="D23" s="21" t="str">
        <f t="shared" si="1"/>
        <v/>
      </c>
      <c r="E23" s="21" t="str">
        <f t="shared" si="1"/>
        <v/>
      </c>
      <c r="F23" s="21" t="str">
        <f t="shared" si="1"/>
        <v/>
      </c>
      <c r="G23" s="21" t="str">
        <f t="shared" si="1"/>
        <v/>
      </c>
      <c r="H23" s="21">
        <f t="shared" ca="1" si="1"/>
        <v>8.273132131083329E-3</v>
      </c>
      <c r="I23" s="24"/>
    </row>
    <row r="24" spans="1:9" x14ac:dyDescent="0.15">
      <c r="A24" s="48">
        <v>5</v>
      </c>
      <c r="B24" s="57"/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ca="1" si="1"/>
        <v>1.9575975735952055E-2</v>
      </c>
      <c r="H24" s="21">
        <f t="shared" ca="1" si="1"/>
        <v>5.4253219267040222E-2</v>
      </c>
      <c r="I24" s="24"/>
    </row>
    <row r="25" spans="1:9" x14ac:dyDescent="0.15">
      <c r="A25" s="48">
        <v>4</v>
      </c>
      <c r="B25" s="57"/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4.4887100613296316E-2</v>
      </c>
      <c r="G25" s="21">
        <f t="shared" ca="1" si="1"/>
        <v>0.10408383005971493</v>
      </c>
      <c r="H25" s="21">
        <f t="shared" ca="1" si="1"/>
        <v>0.14613116919921304</v>
      </c>
      <c r="I25" s="24"/>
    </row>
    <row r="26" spans="1:9" x14ac:dyDescent="0.15">
      <c r="A26" s="48">
        <v>3</v>
      </c>
      <c r="B26" s="57"/>
      <c r="C26" s="21" t="str">
        <f t="shared" si="1"/>
        <v/>
      </c>
      <c r="D26" s="21" t="str">
        <f t="shared" si="1"/>
        <v/>
      </c>
      <c r="E26" s="21">
        <f t="shared" ca="1" si="1"/>
        <v>0.10029461543283395</v>
      </c>
      <c r="F26" s="21">
        <f t="shared" ca="1" si="1"/>
        <v>0.18684158416894447</v>
      </c>
      <c r="G26" s="21">
        <f t="shared" ca="1" si="1"/>
        <v>0.21931522111195856</v>
      </c>
      <c r="H26" s="21">
        <f t="shared" ca="1" si="1"/>
        <v>0.20745099327213951</v>
      </c>
      <c r="I26" s="24"/>
    </row>
    <row r="27" spans="1:9" x14ac:dyDescent="0.15">
      <c r="A27" s="48">
        <v>2</v>
      </c>
      <c r="B27" s="57"/>
      <c r="C27" s="21" t="str">
        <f t="shared" si="1"/>
        <v/>
      </c>
      <c r="D27" s="21">
        <f t="shared" ca="1" si="1"/>
        <v>0.21939447125932426</v>
      </c>
      <c r="E27" s="21">
        <f t="shared" ca="1" si="1"/>
        <v>0.307863786211312</v>
      </c>
      <c r="F27" s="21">
        <f t="shared" ca="1" si="1"/>
        <v>0.29008860240734857</v>
      </c>
      <c r="G27" s="21">
        <f t="shared" ca="1" si="1"/>
        <v>0.22926637903113095</v>
      </c>
      <c r="H27" s="21">
        <f t="shared" ca="1" si="1"/>
        <v>0.16403204418995573</v>
      </c>
      <c r="I27" s="24"/>
    </row>
    <row r="28" spans="1:9" x14ac:dyDescent="0.15">
      <c r="A28" s="48">
        <v>1</v>
      </c>
      <c r="B28" s="57"/>
      <c r="C28" s="21">
        <f t="shared" si="1"/>
        <v>0.47169811320754712</v>
      </c>
      <c r="D28" s="21">
        <f t="shared" ca="1" si="1"/>
        <v>0.44316017961205056</v>
      </c>
      <c r="E28" s="21">
        <f t="shared" ca="1" si="1"/>
        <v>0.31426653314388253</v>
      </c>
      <c r="F28" s="21">
        <f t="shared" ca="1" si="1"/>
        <v>0.1992471174746355</v>
      </c>
      <c r="G28" s="21">
        <f t="shared" ca="1" si="1"/>
        <v>0.119047558829477</v>
      </c>
      <c r="H28" s="21">
        <f t="shared" ca="1" si="1"/>
        <v>6.8605731792609759E-2</v>
      </c>
      <c r="I28" s="24"/>
    </row>
    <row r="29" spans="1:9" x14ac:dyDescent="0.15">
      <c r="A29" s="48">
        <v>0</v>
      </c>
      <c r="B29" s="57">
        <v>1</v>
      </c>
      <c r="C29" s="21">
        <f>IF($A29=0,$B$5*B29/(1+B16), IF($A29=C$22, $B$5*B30/(1 +B17 ), IF(AND(0 &lt; $A29, $A29 &lt; C$22), $B$5*B30/(1+B17) + $B$6*B29/(1+B16 ),"")))</f>
        <v>0.47169811320754712</v>
      </c>
      <c r="D29" s="21">
        <f t="shared" ref="D29:H29" ca="1" si="2">IF($A29=0,$B$5*C29/(1+C16), IF($A29=D$22, $B$5*C30/(1 +C17 ), IF(AND(0 &lt; $A29, $A29 &lt; D$22), $B$5*C30/(1+C17) + $B$6*C29/(1+C16 ),"")))</f>
        <v>0.22376570835272633</v>
      </c>
      <c r="E29" s="21">
        <f t="shared" ca="1" si="2"/>
        <v>0.1066973623654045</v>
      </c>
      <c r="F29" s="21">
        <f t="shared" ca="1" si="2"/>
        <v>5.1112998622935064E-2</v>
      </c>
      <c r="G29" s="21">
        <f t="shared" ca="1" si="2"/>
        <v>2.4588546586541731E-2</v>
      </c>
      <c r="H29" s="21">
        <f t="shared" ca="1" si="2"/>
        <v>1.1873598811537383E-2</v>
      </c>
      <c r="I29" s="24"/>
    </row>
    <row r="30" spans="1:9" ht="14" thickBot="1" x14ac:dyDescent="0.2">
      <c r="A30" s="53"/>
      <c r="B30" s="56"/>
      <c r="C30" s="56"/>
      <c r="D30" s="56"/>
      <c r="E30" s="56"/>
      <c r="F30" s="56"/>
      <c r="G30" s="56"/>
      <c r="H30" s="56"/>
      <c r="I30" s="60"/>
    </row>
    <row r="32" spans="1:9" ht="14" thickBot="1" x14ac:dyDescent="0.2"/>
    <row r="33" spans="1:8" ht="14" thickBot="1" x14ac:dyDescent="0.2">
      <c r="A33" s="126" t="s">
        <v>40</v>
      </c>
      <c r="B33" s="127"/>
      <c r="C33" s="77">
        <f>SUM(C23:C29)*100</f>
        <v>94.339622641509422</v>
      </c>
      <c r="D33" s="75">
        <f t="shared" ref="D33:H33" ca="1" si="3">SUM(D23:D29)*100</f>
        <v>88.632035922410125</v>
      </c>
      <c r="E33" s="75">
        <f t="shared" ca="1" si="3"/>
        <v>82.912229715343301</v>
      </c>
      <c r="F33" s="75">
        <f t="shared" ca="1" si="3"/>
        <v>77.217740328716005</v>
      </c>
      <c r="G33" s="75">
        <f t="shared" ca="1" si="3"/>
        <v>71.587751135477532</v>
      </c>
      <c r="H33" s="78">
        <f t="shared" ca="1" si="3"/>
        <v>66.061988866357908</v>
      </c>
    </row>
    <row r="34" spans="1:8" ht="14" thickBot="1" x14ac:dyDescent="0.2">
      <c r="A34" s="126" t="s">
        <v>14</v>
      </c>
      <c r="B34" s="127"/>
      <c r="C34" s="79">
        <f>(100/C33)^(1/C22)-1</f>
        <v>6.0000000000000053E-2</v>
      </c>
      <c r="D34" s="76">
        <f t="shared" ref="D34:H34" ca="1" si="4">(100/D33)^(1/D22)-1</f>
        <v>6.2195940523159576E-2</v>
      </c>
      <c r="E34" s="76">
        <f t="shared" ca="1" si="4"/>
        <v>6.4454580516027038E-2</v>
      </c>
      <c r="F34" s="76">
        <f t="shared" ca="1" si="4"/>
        <v>6.6769838003144066E-2</v>
      </c>
      <c r="G34" s="76">
        <f ca="1">(100/G33)^(1/G22)-1</f>
        <v>6.9134283378631478E-2</v>
      </c>
      <c r="H34" s="80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S115"/>
  <sheetViews>
    <sheetView showGridLines="0" topLeftCell="A10" workbookViewId="0">
      <selection activeCell="H67" sqref="H67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41" t="s">
        <v>21</v>
      </c>
      <c r="B1" s="143"/>
      <c r="C1" s="143"/>
      <c r="D1" s="143"/>
      <c r="E1" s="143"/>
      <c r="F1" s="143"/>
      <c r="G1" s="143"/>
      <c r="H1" s="142"/>
    </row>
    <row r="2" spans="1:16" ht="14" thickBot="1" x14ac:dyDescent="0.2"/>
    <row r="3" spans="1:16" x14ac:dyDescent="0.15">
      <c r="A3" s="144" t="s">
        <v>15</v>
      </c>
      <c r="B3" s="145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>
        <v>11</v>
      </c>
      <c r="N3" s="95">
        <v>12</v>
      </c>
      <c r="O3" s="95">
        <v>13</v>
      </c>
      <c r="P3" s="96">
        <v>14</v>
      </c>
    </row>
    <row r="4" spans="1:16" ht="14" thickBot="1" x14ac:dyDescent="0.2">
      <c r="A4" s="146" t="s">
        <v>43</v>
      </c>
      <c r="B4" s="147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4" thickBot="1" x14ac:dyDescent="0.2">
      <c r="A5" s="148" t="s">
        <v>16</v>
      </c>
      <c r="B5" s="149"/>
      <c r="C5" s="100">
        <v>5</v>
      </c>
      <c r="D5" s="101">
        <v>5</v>
      </c>
      <c r="E5" s="101">
        <v>5</v>
      </c>
      <c r="F5" s="101">
        <v>5</v>
      </c>
      <c r="G5" s="101">
        <v>5</v>
      </c>
      <c r="H5" s="101">
        <v>5</v>
      </c>
      <c r="I5" s="101">
        <v>5</v>
      </c>
      <c r="J5" s="101">
        <v>5</v>
      </c>
      <c r="K5" s="101">
        <v>5</v>
      </c>
      <c r="L5" s="101">
        <v>5</v>
      </c>
      <c r="M5" s="101">
        <v>5</v>
      </c>
      <c r="N5" s="101">
        <v>5</v>
      </c>
      <c r="O5" s="101">
        <v>5</v>
      </c>
      <c r="P5" s="102">
        <v>5</v>
      </c>
    </row>
    <row r="6" spans="1:16" x14ac:dyDescent="0.15">
      <c r="A6" s="81" t="s">
        <v>18</v>
      </c>
      <c r="B6" s="31">
        <v>5.0000000000000001E-3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41" t="s">
        <v>17</v>
      </c>
      <c r="B10" s="14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5.3357951219209632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5.3091827327267982</v>
      </c>
      <c r="P13" s="4">
        <f t="shared" si="0"/>
        <v>5.3091827327267982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5.2827030733774718</v>
      </c>
      <c r="O14" s="4">
        <f t="shared" si="0"/>
        <v>5.2827030733774718</v>
      </c>
      <c r="P14" s="4">
        <f t="shared" si="0"/>
        <v>5.2827030733774718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5.2563554818801208</v>
      </c>
      <c r="N15" s="4">
        <f t="shared" si="0"/>
        <v>5.2563554818801208</v>
      </c>
      <c r="O15" s="4">
        <f t="shared" si="0"/>
        <v>5.2563554818801208</v>
      </c>
      <c r="P15" s="4">
        <f t="shared" si="0"/>
        <v>5.2563554818801208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5.2301392995435849</v>
      </c>
      <c r="M16" s="4">
        <f t="shared" si="0"/>
        <v>5.2301392995435849</v>
      </c>
      <c r="N16" s="4">
        <f t="shared" si="0"/>
        <v>5.2301392995435849</v>
      </c>
      <c r="O16" s="4">
        <f t="shared" si="0"/>
        <v>5.2301392995435849</v>
      </c>
      <c r="P16" s="4">
        <f t="shared" si="0"/>
        <v>5.2301392995435849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5.2040538709619408</v>
      </c>
      <c r="L17" s="4">
        <f t="shared" si="0"/>
        <v>5.2040538709619408</v>
      </c>
      <c r="M17" s="4">
        <f t="shared" si="0"/>
        <v>5.2040538709619408</v>
      </c>
      <c r="N17" s="4">
        <f t="shared" si="0"/>
        <v>5.2040538709619408</v>
      </c>
      <c r="O17" s="4">
        <f t="shared" si="0"/>
        <v>5.2040538709619408</v>
      </c>
      <c r="P17" s="4">
        <f t="shared" si="0"/>
        <v>5.2040538709619408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5.1780985439981162</v>
      </c>
      <c r="K18" s="4">
        <f t="shared" si="0"/>
        <v>5.1780985439981162</v>
      </c>
      <c r="L18" s="4">
        <f t="shared" si="0"/>
        <v>5.1780985439981162</v>
      </c>
      <c r="M18" s="4">
        <f t="shared" si="0"/>
        <v>5.1780985439981162</v>
      </c>
      <c r="N18" s="4">
        <f t="shared" si="0"/>
        <v>5.1780985439981162</v>
      </c>
      <c r="O18" s="4">
        <f t="shared" si="0"/>
        <v>5.1780985439981162</v>
      </c>
      <c r="P18" s="4">
        <f t="shared" si="0"/>
        <v>5.1780985439981162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5.1522726697675845</v>
      </c>
      <c r="J19" s="4">
        <f t="shared" si="0"/>
        <v>5.1522726697675845</v>
      </c>
      <c r="K19" s="4">
        <f t="shared" si="0"/>
        <v>5.1522726697675845</v>
      </c>
      <c r="L19" s="4">
        <f t="shared" si="0"/>
        <v>5.1522726697675845</v>
      </c>
      <c r="M19" s="4">
        <f t="shared" si="0"/>
        <v>5.1522726697675845</v>
      </c>
      <c r="N19" s="4">
        <f t="shared" si="0"/>
        <v>5.1522726697675845</v>
      </c>
      <c r="O19" s="4">
        <f t="shared" si="0"/>
        <v>5.1522726697675845</v>
      </c>
      <c r="P19" s="4">
        <f t="shared" si="0"/>
        <v>5.1522726697675845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5.1265756026221441</v>
      </c>
      <c r="I20" s="4">
        <f t="shared" si="0"/>
        <v>5.1265756026221441</v>
      </c>
      <c r="J20" s="4">
        <f t="shared" si="0"/>
        <v>5.1265756026221441</v>
      </c>
      <c r="K20" s="4">
        <f t="shared" si="0"/>
        <v>5.1265756026221441</v>
      </c>
      <c r="L20" s="4">
        <f t="shared" si="0"/>
        <v>5.1265756026221441</v>
      </c>
      <c r="M20" s="4">
        <f t="shared" si="0"/>
        <v>5.1265756026221441</v>
      </c>
      <c r="N20" s="4">
        <f t="shared" si="0"/>
        <v>5.1265756026221441</v>
      </c>
      <c r="O20" s="4">
        <f t="shared" si="0"/>
        <v>5.1265756026221441</v>
      </c>
      <c r="P20" s="4">
        <f t="shared" si="0"/>
        <v>5.1265756026221441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5.1010067001337784</v>
      </c>
      <c r="H21" s="4">
        <f t="shared" si="0"/>
        <v>5.1010067001337784</v>
      </c>
      <c r="I21" s="4">
        <f t="shared" si="0"/>
        <v>5.1010067001337784</v>
      </c>
      <c r="J21" s="4">
        <f t="shared" si="0"/>
        <v>5.1010067001337784</v>
      </c>
      <c r="K21" s="4">
        <f t="shared" si="0"/>
        <v>5.1010067001337784</v>
      </c>
      <c r="L21" s="4">
        <f t="shared" si="0"/>
        <v>5.1010067001337784</v>
      </c>
      <c r="M21" s="4">
        <f t="shared" si="0"/>
        <v>5.1010067001337784</v>
      </c>
      <c r="N21" s="4">
        <f t="shared" si="0"/>
        <v>5.1010067001337784</v>
      </c>
      <c r="O21" s="4">
        <f t="shared" si="0"/>
        <v>5.1010067001337784</v>
      </c>
      <c r="P21" s="4">
        <f t="shared" si="0"/>
        <v>5.1010067001337784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5.0755653230785942</v>
      </c>
      <c r="G22" s="4">
        <f t="shared" si="0"/>
        <v>5.0755653230785942</v>
      </c>
      <c r="H22" s="4">
        <f t="shared" si="0"/>
        <v>5.0755653230785942</v>
      </c>
      <c r="I22" s="4">
        <f t="shared" si="0"/>
        <v>5.0755653230785942</v>
      </c>
      <c r="J22" s="4">
        <f t="shared" si="0"/>
        <v>5.0755653230785942</v>
      </c>
      <c r="K22" s="4">
        <f t="shared" si="0"/>
        <v>5.0755653230785942</v>
      </c>
      <c r="L22" s="4">
        <f t="shared" si="0"/>
        <v>5.0755653230785942</v>
      </c>
      <c r="M22" s="4">
        <f t="shared" si="0"/>
        <v>5.0755653230785942</v>
      </c>
      <c r="N22" s="4">
        <f t="shared" si="0"/>
        <v>5.0755653230785942</v>
      </c>
      <c r="O22" s="4">
        <f t="shared" si="0"/>
        <v>5.0755653230785942</v>
      </c>
      <c r="P22" s="4">
        <f t="shared" si="0"/>
        <v>5.0755653230785942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5.0502508354208402</v>
      </c>
      <c r="F23" s="4">
        <f t="shared" si="0"/>
        <v>5.0502508354208402</v>
      </c>
      <c r="G23" s="4">
        <f t="shared" si="0"/>
        <v>5.0502508354208402</v>
      </c>
      <c r="H23" s="4">
        <f t="shared" si="0"/>
        <v>5.0502508354208402</v>
      </c>
      <c r="I23" s="4">
        <f t="shared" si="0"/>
        <v>5.0502508354208402</v>
      </c>
      <c r="J23" s="4">
        <f t="shared" si="0"/>
        <v>5.0502508354208402</v>
      </c>
      <c r="K23" s="4">
        <f t="shared" si="0"/>
        <v>5.0502508354208402</v>
      </c>
      <c r="L23" s="4">
        <f t="shared" si="0"/>
        <v>5.0502508354208402</v>
      </c>
      <c r="M23" s="4">
        <f t="shared" si="0"/>
        <v>5.0502508354208402</v>
      </c>
      <c r="N23" s="4">
        <f t="shared" si="0"/>
        <v>5.0502508354208402</v>
      </c>
      <c r="O23" s="4">
        <f t="shared" si="0"/>
        <v>5.0502508354208402</v>
      </c>
      <c r="P23" s="4">
        <f t="shared" si="0"/>
        <v>5.0502508354208402</v>
      </c>
    </row>
    <row r="24" spans="1:17" x14ac:dyDescent="0.15">
      <c r="A24" s="12"/>
      <c r="B24" s="12">
        <v>1</v>
      </c>
      <c r="C24" s="4"/>
      <c r="D24" s="4">
        <f t="shared" si="0"/>
        <v>5.0250626042970046</v>
      </c>
      <c r="E24" s="4">
        <f t="shared" si="0"/>
        <v>5.0250626042970046</v>
      </c>
      <c r="F24" s="4">
        <f t="shared" si="0"/>
        <v>5.0250626042970046</v>
      </c>
      <c r="G24" s="4">
        <f t="shared" si="0"/>
        <v>5.0250626042970046</v>
      </c>
      <c r="H24" s="4">
        <f t="shared" si="0"/>
        <v>5.0250626042970046</v>
      </c>
      <c r="I24" s="4">
        <f t="shared" si="0"/>
        <v>5.0250626042970046</v>
      </c>
      <c r="J24" s="4">
        <f t="shared" si="0"/>
        <v>5.0250626042970046</v>
      </c>
      <c r="K24" s="4">
        <f t="shared" si="0"/>
        <v>5.0250626042970046</v>
      </c>
      <c r="L24" s="4">
        <f t="shared" si="0"/>
        <v>5.0250626042970046</v>
      </c>
      <c r="M24" s="4">
        <f t="shared" si="0"/>
        <v>5.0250626042970046</v>
      </c>
      <c r="N24" s="4">
        <f t="shared" si="0"/>
        <v>5.0250626042970046</v>
      </c>
      <c r="O24" s="4">
        <f t="shared" si="0"/>
        <v>5.0250626042970046</v>
      </c>
      <c r="P24" s="4">
        <f t="shared" si="0"/>
        <v>5.0250626042970046</v>
      </c>
    </row>
    <row r="25" spans="1:17" x14ac:dyDescent="0.15">
      <c r="A25" s="12"/>
      <c r="B25" s="12">
        <v>0</v>
      </c>
      <c r="C25" s="4">
        <f>IF( $B25 &lt;=C$11,(C$5+$B$6*$B25),"")</f>
        <v>5</v>
      </c>
      <c r="D25" s="2">
        <f t="shared" si="0"/>
        <v>5</v>
      </c>
      <c r="E25" s="4">
        <f t="shared" si="0"/>
        <v>5</v>
      </c>
      <c r="F25" s="4">
        <f t="shared" si="0"/>
        <v>5</v>
      </c>
      <c r="G25" s="4">
        <f t="shared" si="0"/>
        <v>5</v>
      </c>
      <c r="H25" s="4">
        <f t="shared" si="0"/>
        <v>5</v>
      </c>
      <c r="I25" s="4">
        <f t="shared" si="0"/>
        <v>5</v>
      </c>
      <c r="J25" s="4">
        <f t="shared" si="0"/>
        <v>5</v>
      </c>
      <c r="K25" s="4">
        <f t="shared" si="0"/>
        <v>5</v>
      </c>
      <c r="L25" s="4">
        <f t="shared" si="0"/>
        <v>5</v>
      </c>
      <c r="M25" s="4">
        <f t="shared" si="0"/>
        <v>5</v>
      </c>
      <c r="N25" s="4">
        <f t="shared" si="0"/>
        <v>5</v>
      </c>
      <c r="O25" s="4">
        <f t="shared" si="0"/>
        <v>5</v>
      </c>
      <c r="P25" s="4">
        <f t="shared" si="0"/>
        <v>5</v>
      </c>
    </row>
    <row r="27" spans="1:17" ht="14" thickBot="1" x14ac:dyDescent="0.2"/>
    <row r="28" spans="1:17" ht="14" thickBot="1" x14ac:dyDescent="0.2">
      <c r="A28" s="141" t="s">
        <v>13</v>
      </c>
      <c r="B28" s="142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3.0151950769474699E-5</v>
      </c>
    </row>
    <row r="31" spans="1:17" x14ac:dyDescent="0.15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6.3521594175592683E-5</v>
      </c>
      <c r="Q31" s="8">
        <f t="shared" si="2"/>
        <v>4.2280838902499499E-4</v>
      </c>
    </row>
    <row r="32" spans="1:17" x14ac:dyDescent="0.15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1.3378814337023208E-4</v>
      </c>
      <c r="P32" s="8">
        <f t="shared" si="4"/>
        <v>8.270065721486449E-4</v>
      </c>
      <c r="Q32" s="8">
        <f t="shared" si="2"/>
        <v>2.7526754438043631E-3</v>
      </c>
    </row>
    <row r="33" spans="1:17" x14ac:dyDescent="0.15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2.8171154746373204E-4</v>
      </c>
      <c r="O33" s="8">
        <f t="shared" si="5"/>
        <v>1.6076352447384199E-3</v>
      </c>
      <c r="P33" s="8">
        <f t="shared" si="5"/>
        <v>4.9693836041745281E-3</v>
      </c>
      <c r="Q33" s="8">
        <f t="shared" si="2"/>
        <v>1.1028361026240302E-2</v>
      </c>
    </row>
    <row r="34" spans="1:17" x14ac:dyDescent="0.15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5.930386156638625E-4</v>
      </c>
      <c r="N34" s="8">
        <f t="shared" si="6"/>
        <v>3.1026354885509717E-3</v>
      </c>
      <c r="O34" s="8">
        <f t="shared" si="6"/>
        <v>8.8539512184042761E-3</v>
      </c>
      <c r="P34" s="8">
        <f t="shared" si="6"/>
        <v>1.8247961783368388E-2</v>
      </c>
      <c r="Q34" s="8">
        <f t="shared" si="2"/>
        <v>3.0376488539929053E-2</v>
      </c>
    </row>
    <row r="35" spans="1:17" x14ac:dyDescent="0.15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1.2481107227263349E-3</v>
      </c>
      <c r="M35" s="8">
        <f t="shared" si="7"/>
        <v>5.9369243854805551E-3</v>
      </c>
      <c r="N35" s="8">
        <f t="shared" si="7"/>
        <v>1.5532187685616854E-2</v>
      </c>
      <c r="O35" s="8">
        <f t="shared" si="7"/>
        <v>2.9552965241633259E-2</v>
      </c>
      <c r="P35" s="8">
        <f t="shared" si="7"/>
        <v>4.568702564308548E-2</v>
      </c>
      <c r="Q35" s="8">
        <f t="shared" si="2"/>
        <v>6.0849833880637083E-2</v>
      </c>
    </row>
    <row r="36" spans="1:17" x14ac:dyDescent="0.15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2.6261261542125315E-3</v>
      </c>
      <c r="L36" s="8">
        <f t="shared" si="8"/>
        <v>1.1243968928161246E-2</v>
      </c>
      <c r="M36" s="8">
        <f t="shared" si="8"/>
        <v>2.6745529514949982E-2</v>
      </c>
      <c r="N36" s="8">
        <f t="shared" si="8"/>
        <v>4.6653497524509577E-2</v>
      </c>
      <c r="O36" s="8">
        <f t="shared" si="8"/>
        <v>6.658356676226293E-2</v>
      </c>
      <c r="P36" s="8">
        <f t="shared" si="8"/>
        <v>8.2357283715380453E-2</v>
      </c>
      <c r="Q36" s="8">
        <f t="shared" si="2"/>
        <v>9.1419833789852828E-2</v>
      </c>
    </row>
    <row r="37" spans="1:17" x14ac:dyDescent="0.15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5.5242191087347282E-3</v>
      </c>
      <c r="K37" s="8">
        <f t="shared" si="9"/>
        <v>2.1026907187261301E-2</v>
      </c>
      <c r="L37" s="8">
        <f t="shared" si="9"/>
        <v>4.5019683896583396E-2</v>
      </c>
      <c r="M37" s="8">
        <f t="shared" si="9"/>
        <v>7.1399592186283084E-2</v>
      </c>
      <c r="N37" s="8">
        <f t="shared" si="9"/>
        <v>9.3420671479338024E-2</v>
      </c>
      <c r="O37" s="8">
        <f t="shared" si="9"/>
        <v>0.10667651039334461</v>
      </c>
      <c r="P37" s="8">
        <f t="shared" si="9"/>
        <v>0.10997032073498857</v>
      </c>
      <c r="Q37" s="8">
        <f t="shared" si="2"/>
        <v>0.10464538771507492</v>
      </c>
    </row>
    <row r="38" spans="1:17" x14ac:dyDescent="0.15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1.1617683880184292E-2</v>
      </c>
      <c r="J38" s="8">
        <f t="shared" si="10"/>
        <v>3.8697678890476643E-2</v>
      </c>
      <c r="K38" s="8">
        <f t="shared" si="10"/>
        <v>7.3656697380281133E-2</v>
      </c>
      <c r="L38" s="8">
        <f t="shared" si="10"/>
        <v>0.10514795814825528</v>
      </c>
      <c r="M38" s="8">
        <f t="shared" si="10"/>
        <v>0.12508585797869365</v>
      </c>
      <c r="N38" s="8">
        <f t="shared" si="10"/>
        <v>0.13094781759343307</v>
      </c>
      <c r="O38" s="8">
        <f t="shared" si="10"/>
        <v>0.12462226643740187</v>
      </c>
      <c r="P38" s="8">
        <f t="shared" si="10"/>
        <v>0.11013068869468685</v>
      </c>
      <c r="Q38" s="8">
        <f t="shared" si="2"/>
        <v>9.1709391932007112E-2</v>
      </c>
    </row>
    <row r="39" spans="1:17" x14ac:dyDescent="0.15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2.4426546455151174E-2</v>
      </c>
      <c r="I39" s="8">
        <f t="shared" si="11"/>
        <v>6.9748244554916738E-2</v>
      </c>
      <c r="J39" s="8">
        <f t="shared" si="11"/>
        <v>0.11617730534738976</v>
      </c>
      <c r="K39" s="8">
        <f t="shared" si="11"/>
        <v>0.14743819824640655</v>
      </c>
      <c r="L39" s="8">
        <f t="shared" si="11"/>
        <v>0.15787469597682913</v>
      </c>
      <c r="M39" s="8">
        <f t="shared" si="11"/>
        <v>0.15026662337413998</v>
      </c>
      <c r="N39" s="8">
        <f t="shared" si="11"/>
        <v>0.13110642566591335</v>
      </c>
      <c r="O39" s="8">
        <f t="shared" si="11"/>
        <v>0.10696143212305892</v>
      </c>
      <c r="P39" s="8">
        <f t="shared" si="11"/>
        <v>8.2718111483837453E-2</v>
      </c>
      <c r="Q39" s="8">
        <f t="shared" si="2"/>
        <v>6.1235911044431386E-2</v>
      </c>
    </row>
    <row r="40" spans="1:17" x14ac:dyDescent="0.15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5.1345092452879451E-2</v>
      </c>
      <c r="H40" s="8">
        <f t="shared" si="12"/>
        <v>0.12219160893915176</v>
      </c>
      <c r="I40" s="8">
        <f t="shared" si="12"/>
        <v>0.17447575457864048</v>
      </c>
      <c r="J40" s="8">
        <f t="shared" si="12"/>
        <v>0.19376901255037454</v>
      </c>
      <c r="K40" s="8">
        <f t="shared" si="12"/>
        <v>0.18445345128853702</v>
      </c>
      <c r="L40" s="8">
        <f t="shared" si="12"/>
        <v>0.15802717013295059</v>
      </c>
      <c r="M40" s="8">
        <f t="shared" si="12"/>
        <v>0.12535827094484331</v>
      </c>
      <c r="N40" s="8">
        <f t="shared" si="12"/>
        <v>9.376054594428225E-2</v>
      </c>
      <c r="O40" s="8">
        <f t="shared" si="12"/>
        <v>6.693971883922932E-2</v>
      </c>
      <c r="P40" s="8">
        <f t="shared" si="12"/>
        <v>4.6021125167824833E-2</v>
      </c>
      <c r="Q40" s="8">
        <f t="shared" si="2"/>
        <v>3.0666045963913629E-2</v>
      </c>
    </row>
    <row r="41" spans="1:17" x14ac:dyDescent="0.15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0.1079022923210409</v>
      </c>
      <c r="G41" s="8">
        <f t="shared" si="13"/>
        <v>0.20545438418704931</v>
      </c>
      <c r="H41" s="8">
        <f t="shared" si="13"/>
        <v>0.2445007404415267</v>
      </c>
      <c r="I41" s="8">
        <f t="shared" si="13"/>
        <v>0.23277425078050717</v>
      </c>
      <c r="J41" s="8">
        <f t="shared" si="13"/>
        <v>0.19390890573217692</v>
      </c>
      <c r="K41" s="8">
        <f t="shared" si="13"/>
        <v>0.14768708337745132</v>
      </c>
      <c r="L41" s="8">
        <f t="shared" si="13"/>
        <v>0.10545290661621562</v>
      </c>
      <c r="M41" s="8">
        <f t="shared" si="13"/>
        <v>7.1710921428434299E-2</v>
      </c>
      <c r="N41" s="8">
        <f t="shared" si="13"/>
        <v>4.6936726285147515E-2</v>
      </c>
      <c r="O41" s="8">
        <f t="shared" si="13"/>
        <v>2.9790399864959381E-2</v>
      </c>
      <c r="P41" s="8">
        <f t="shared" si="13"/>
        <v>1.8435057298079274E-2</v>
      </c>
      <c r="Q41" s="8">
        <f t="shared" si="2"/>
        <v>1.1168752199840547E-2</v>
      </c>
    </row>
    <row r="42" spans="1:17" x14ac:dyDescent="0.15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0.22670325748084499</v>
      </c>
      <c r="F42" s="8">
        <f t="shared" si="14"/>
        <v>0.32378439505487183</v>
      </c>
      <c r="G42" s="8">
        <f t="shared" si="14"/>
        <v>0.308292395518873</v>
      </c>
      <c r="H42" s="8">
        <f t="shared" si="14"/>
        <v>0.24461803258836437</v>
      </c>
      <c r="I42" s="8">
        <f t="shared" si="14"/>
        <v>0.17468541221628692</v>
      </c>
      <c r="J42" s="8">
        <f t="shared" si="14"/>
        <v>0.11642911329445599</v>
      </c>
      <c r="K42" s="8">
        <f t="shared" si="14"/>
        <v>7.3905582775516704E-2</v>
      </c>
      <c r="L42" s="8">
        <f t="shared" si="14"/>
        <v>4.523750445328973E-2</v>
      </c>
      <c r="M42" s="8">
        <f t="shared" si="14"/>
        <v>2.6920652343009541E-2</v>
      </c>
      <c r="N42" s="8">
        <f t="shared" si="14"/>
        <v>1.566436113513504E-2</v>
      </c>
      <c r="O42" s="8">
        <f t="shared" si="14"/>
        <v>8.9489250147207367E-3</v>
      </c>
      <c r="P42" s="8">
        <f t="shared" si="14"/>
        <v>5.034988422452126E-3</v>
      </c>
      <c r="Q42" s="8">
        <f t="shared" si="2"/>
        <v>2.7965475631248258E-3</v>
      </c>
    </row>
    <row r="43" spans="1:17" x14ac:dyDescent="0.15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0.47619047619047616</v>
      </c>
      <c r="E43" s="8">
        <f t="shared" si="15"/>
        <v>0.45346062709535745</v>
      </c>
      <c r="F43" s="8">
        <f t="shared" si="15"/>
        <v>0.32386180255026542</v>
      </c>
      <c r="G43" s="8">
        <f t="shared" si="15"/>
        <v>0.20560200845919577</v>
      </c>
      <c r="H43" s="8">
        <f t="shared" si="15"/>
        <v>0.12236754733297758</v>
      </c>
      <c r="I43" s="8">
        <f t="shared" si="15"/>
        <v>6.9915970912135056E-2</v>
      </c>
      <c r="J43" s="8">
        <f t="shared" si="15"/>
        <v>3.8837572438647321E-2</v>
      </c>
      <c r="K43" s="8">
        <f t="shared" si="15"/>
        <v>2.1133572545352787E-2</v>
      </c>
      <c r="L43" s="8">
        <f t="shared" si="15"/>
        <v>1.1320206239790267E-2</v>
      </c>
      <c r="M43" s="8">
        <f t="shared" si="15"/>
        <v>5.9888126844833238E-3</v>
      </c>
      <c r="N43" s="8">
        <f t="shared" si="15"/>
        <v>3.1366229565556814E-3</v>
      </c>
      <c r="O43" s="8">
        <f t="shared" si="15"/>
        <v>1.6292201829520368E-3</v>
      </c>
      <c r="P43" s="8">
        <f t="shared" si="15"/>
        <v>8.4037049051909974E-4</v>
      </c>
      <c r="Q43" s="8">
        <f t="shared" si="2"/>
        <v>4.3090782958000561E-4</v>
      </c>
    </row>
    <row r="44" spans="1:17" x14ac:dyDescent="0.15">
      <c r="B44">
        <v>0</v>
      </c>
      <c r="C44" s="8">
        <v>1</v>
      </c>
      <c r="D44" s="9">
        <f t="shared" ref="D44:P44" si="16">IF($B44=0,$B$8*C44/(1+C25/100), IF($B44=D$29, $B$7*C45/(1 +C26/100 ), IF(AND(0 &lt; $B44, $B44 &lt; D$29), $B$7*C45/(1+C26/100) + $B$8*C44/(1+C25/100 ),"")))</f>
        <v>0.47619047619047616</v>
      </c>
      <c r="E44" s="8">
        <f t="shared" si="16"/>
        <v>0.22675736961451246</v>
      </c>
      <c r="F44" s="8">
        <f t="shared" si="16"/>
        <v>0.1079796998164345</v>
      </c>
      <c r="G44" s="8">
        <f t="shared" si="16"/>
        <v>5.1418904674492616E-2</v>
      </c>
      <c r="H44" s="8">
        <f t="shared" si="16"/>
        <v>2.4485192702139339E-2</v>
      </c>
      <c r="I44" s="8">
        <f t="shared" si="16"/>
        <v>1.1659615572447303E-2</v>
      </c>
      <c r="J44" s="8">
        <f t="shared" si="16"/>
        <v>5.5521978916415722E-3</v>
      </c>
      <c r="K44" s="8">
        <f t="shared" si="16"/>
        <v>2.6439037579245581E-3</v>
      </c>
      <c r="L44" s="8">
        <f t="shared" si="16"/>
        <v>1.2590017894878848E-3</v>
      </c>
      <c r="M44" s="8">
        <f t="shared" si="16"/>
        <v>5.9952466166089755E-4</v>
      </c>
      <c r="N44" s="8">
        <f t="shared" si="16"/>
        <v>2.8548793412423691E-4</v>
      </c>
      <c r="O44" s="8">
        <f t="shared" si="16"/>
        <v>1.3594663529725565E-4</v>
      </c>
      <c r="P44" s="8">
        <f t="shared" si="16"/>
        <v>6.4736492998693164E-5</v>
      </c>
      <c r="Q44" s="8">
        <f t="shared" si="2"/>
        <v>3.0826901427949123E-5</v>
      </c>
    </row>
    <row r="46" spans="1:17" ht="14" thickBot="1" x14ac:dyDescent="0.2"/>
    <row r="47" spans="1:17" ht="14" thickBot="1" x14ac:dyDescent="0.2">
      <c r="A47" s="141" t="s">
        <v>41</v>
      </c>
      <c r="B47" s="143"/>
      <c r="C47" s="142"/>
      <c r="D47" s="92">
        <f>SUM(D30:D44)</f>
        <v>0.95238095238095233</v>
      </c>
      <c r="E47" s="93">
        <f>SUM(E30:E44)</f>
        <v>0.9069212541907149</v>
      </c>
      <c r="F47" s="93">
        <f t="shared" ref="F47:Q47" si="17">SUM(F30:F44)</f>
        <v>0.8635281897426127</v>
      </c>
      <c r="G47" s="93">
        <f t="shared" si="17"/>
        <v>0.8221127852924901</v>
      </c>
      <c r="H47" s="93">
        <f t="shared" si="17"/>
        <v>0.78258966845931099</v>
      </c>
      <c r="I47" s="93">
        <f t="shared" si="17"/>
        <v>0.74487693249511799</v>
      </c>
      <c r="J47" s="93">
        <f t="shared" si="17"/>
        <v>0.7088960052538974</v>
      </c>
      <c r="K47" s="93">
        <f t="shared" si="17"/>
        <v>0.67457152271294385</v>
      </c>
      <c r="L47" s="93">
        <f t="shared" si="17"/>
        <v>0.64183120690428952</v>
      </c>
      <c r="M47" s="93">
        <f t="shared" si="17"/>
        <v>0.61060574811764257</v>
      </c>
      <c r="N47" s="93">
        <f t="shared" si="17"/>
        <v>0.58082869124007031</v>
      </c>
      <c r="O47" s="93">
        <f t="shared" si="17"/>
        <v>0.55243632610137328</v>
      </c>
      <c r="P47" s="93">
        <f t="shared" si="17"/>
        <v>0.52536758169771991</v>
      </c>
      <c r="Q47" s="94">
        <f t="shared" si="17"/>
        <v>0.49956392416965845</v>
      </c>
    </row>
    <row r="48" spans="1:17" ht="14" thickBot="1" x14ac:dyDescent="0.2">
      <c r="A48" s="141" t="s">
        <v>42</v>
      </c>
      <c r="B48" s="143"/>
      <c r="C48" s="142"/>
      <c r="D48" s="89">
        <f>100*((1/D47)^(1/D29)-1)</f>
        <v>5.0000000000000044</v>
      </c>
      <c r="E48" s="90">
        <f t="shared" ref="E48:Q48" si="18">100*((1/E47)^(1/E29)-1)</f>
        <v>5.006264716495834</v>
      </c>
      <c r="F48" s="90">
        <f t="shared" si="18"/>
        <v>5.0125392715468786</v>
      </c>
      <c r="G48" s="90">
        <f t="shared" si="18"/>
        <v>5.0188236793180074</v>
      </c>
      <c r="H48" s="90">
        <f t="shared" si="18"/>
        <v>5.0251179539794188</v>
      </c>
      <c r="I48" s="90">
        <f t="shared" si="18"/>
        <v>5.0314221097065515</v>
      </c>
      <c r="J48" s="90">
        <f t="shared" si="18"/>
        <v>5.0377361606800175</v>
      </c>
      <c r="K48" s="90">
        <f t="shared" si="18"/>
        <v>5.044060121085403</v>
      </c>
      <c r="L48" s="90">
        <f t="shared" si="18"/>
        <v>5.0503940051133345</v>
      </c>
      <c r="M48" s="90">
        <f t="shared" si="18"/>
        <v>5.0567378269592567</v>
      </c>
      <c r="N48" s="90">
        <f t="shared" si="18"/>
        <v>5.0630916008234106</v>
      </c>
      <c r="O48" s="90">
        <f t="shared" si="18"/>
        <v>5.069455340910678</v>
      </c>
      <c r="P48" s="90">
        <f t="shared" si="18"/>
        <v>5.0758290614305368</v>
      </c>
      <c r="Q48" s="91">
        <f t="shared" si="18"/>
        <v>5.0822127765969949</v>
      </c>
    </row>
    <row r="49" spans="1:17" ht="14" thickBot="1" x14ac:dyDescent="0.2"/>
    <row r="50" spans="1:17" ht="14" thickBot="1" x14ac:dyDescent="0.2">
      <c r="A50" s="141" t="s">
        <v>20</v>
      </c>
      <c r="B50" s="143"/>
      <c r="C50" s="142"/>
      <c r="D50" s="86">
        <f t="shared" ref="D50:Q50" si="19">(D48-C4)^2</f>
        <v>5.2899999999999787</v>
      </c>
      <c r="E50" s="87">
        <f t="shared" si="19"/>
        <v>6.8316121322346035</v>
      </c>
      <c r="F50" s="87">
        <f t="shared" si="19"/>
        <v>9.532413749740277</v>
      </c>
      <c r="G50" s="87">
        <f t="shared" si="19"/>
        <v>11.772970943608811</v>
      </c>
      <c r="H50" s="87">
        <f t="shared" si="19"/>
        <v>17.429640098184986</v>
      </c>
      <c r="I50" s="87">
        <f t="shared" si="19"/>
        <v>21.238990170901619</v>
      </c>
      <c r="J50" s="87">
        <f t="shared" si="19"/>
        <v>25.829405732459481</v>
      </c>
      <c r="K50" s="87">
        <f t="shared" si="19"/>
        <v>29.224185974439159</v>
      </c>
      <c r="L50" s="87">
        <f t="shared" si="19"/>
        <v>32.485508496948015</v>
      </c>
      <c r="M50" s="87">
        <f t="shared" si="19"/>
        <v>37.985800613634915</v>
      </c>
      <c r="N50" s="87">
        <f t="shared" si="19"/>
        <v>42.079980579307794</v>
      </c>
      <c r="O50" s="87">
        <f t="shared" si="19"/>
        <v>46.929962126177237</v>
      </c>
      <c r="P50" s="87">
        <f t="shared" si="19"/>
        <v>50.753811561957697</v>
      </c>
      <c r="Q50" s="88">
        <f t="shared" si="19"/>
        <v>52.385563891255785</v>
      </c>
    </row>
    <row r="51" spans="1:17" ht="14" thickBot="1" x14ac:dyDescent="0.2">
      <c r="A51" s="141" t="s">
        <v>19</v>
      </c>
      <c r="B51" s="143"/>
      <c r="C51" s="142"/>
      <c r="D51" s="85">
        <f>SUM(D50:Q50)</f>
        <v>389.76984607085041</v>
      </c>
    </row>
    <row r="55" spans="1:17" ht="14" thickBot="1" x14ac:dyDescent="0.2"/>
    <row r="56" spans="1:17" ht="14" thickBot="1" x14ac:dyDescent="0.2">
      <c r="A56" s="150" t="s">
        <v>28</v>
      </c>
      <c r="B56" s="151"/>
      <c r="C56" s="15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16" t="str">
        <f t="shared" ref="C58:D67" si="20">IF($B58&lt;= C$57, ($B$7*D57+$B$8*D58)/(1+C16/100),"")</f>
        <v/>
      </c>
      <c r="D58" s="16" t="str">
        <f t="shared" si="20"/>
        <v/>
      </c>
      <c r="E58" s="16" t="str">
        <f t="shared" ref="E58:E67" si="21">IF($B58&lt;= E$57, MAX((E16/100-$C$70)/(1+E16/100) +($B$7*F57+$B$8*F58)/(1+E16/100) - $C$73,0),"")</f>
        <v/>
      </c>
      <c r="F58" s="17" t="str">
        <f t="shared" ref="F58:K67" si="22">IF($B58&lt;= F$57, (F16/100-$C$70)/(1+F16/100) +($B$7*G57+$B$8*G58)/(1+F16/100),"")</f>
        <v/>
      </c>
      <c r="G58" s="17" t="str">
        <f t="shared" si="22"/>
        <v/>
      </c>
      <c r="H58" s="17" t="str">
        <f t="shared" si="22"/>
        <v/>
      </c>
      <c r="I58" s="17" t="str">
        <f t="shared" si="22"/>
        <v/>
      </c>
      <c r="J58" s="17" t="str">
        <f t="shared" si="22"/>
        <v/>
      </c>
      <c r="K58" s="17" t="str">
        <f t="shared" si="22"/>
        <v/>
      </c>
      <c r="L58" s="17">
        <f t="shared" ref="L58:L67" si="23">IF($B58&lt;= L$57, (L16/100-$C$70)/(1+L16/100),"")</f>
        <v>-6.1007813381125695E-2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16" t="str">
        <f t="shared" si="20"/>
        <v/>
      </c>
      <c r="D59" s="16" t="str">
        <f t="shared" si="20"/>
        <v/>
      </c>
      <c r="E59" s="16" t="str">
        <f t="shared" si="21"/>
        <v/>
      </c>
      <c r="F59" s="17" t="str">
        <f t="shared" si="22"/>
        <v/>
      </c>
      <c r="G59" s="17" t="str">
        <f t="shared" si="22"/>
        <v/>
      </c>
      <c r="H59" s="17" t="str">
        <f t="shared" si="22"/>
        <v/>
      </c>
      <c r="I59" s="17" t="str">
        <f t="shared" si="22"/>
        <v/>
      </c>
      <c r="J59" s="17" t="str">
        <f t="shared" si="22"/>
        <v/>
      </c>
      <c r="K59" s="17">
        <f t="shared" si="22"/>
        <v>-0.11938590663996712</v>
      </c>
      <c r="L59" s="17">
        <f t="shared" si="23"/>
        <v>-6.1270891109807775E-2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16" t="str">
        <f t="shared" si="20"/>
        <v/>
      </c>
      <c r="D60" s="16" t="str">
        <f t="shared" si="20"/>
        <v/>
      </c>
      <c r="E60" s="16" t="str">
        <f t="shared" si="21"/>
        <v/>
      </c>
      <c r="F60" s="17" t="str">
        <f t="shared" si="22"/>
        <v/>
      </c>
      <c r="G60" s="17" t="str">
        <f t="shared" si="22"/>
        <v/>
      </c>
      <c r="H60" s="17" t="str">
        <f t="shared" si="22"/>
        <v/>
      </c>
      <c r="I60" s="17" t="str">
        <f t="shared" si="22"/>
        <v/>
      </c>
      <c r="J60" s="17">
        <f t="shared" si="22"/>
        <v>-0.17529107663871923</v>
      </c>
      <c r="K60" s="17">
        <f t="shared" si="22"/>
        <v>-0.11991170689180998</v>
      </c>
      <c r="L60" s="17">
        <f t="shared" si="23"/>
        <v>-6.1532786251070684E-2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16" t="str">
        <f t="shared" si="20"/>
        <v/>
      </c>
      <c r="D61" s="16" t="str">
        <f t="shared" si="20"/>
        <v/>
      </c>
      <c r="E61" s="16" t="str">
        <f t="shared" si="21"/>
        <v/>
      </c>
      <c r="F61" s="17" t="str">
        <f t="shared" si="22"/>
        <v/>
      </c>
      <c r="G61" s="17" t="str">
        <f t="shared" si="22"/>
        <v/>
      </c>
      <c r="H61" s="17" t="str">
        <f t="shared" si="22"/>
        <v/>
      </c>
      <c r="I61" s="17">
        <f t="shared" si="22"/>
        <v>-0.22887014958644189</v>
      </c>
      <c r="J61" s="17">
        <f t="shared" si="22"/>
        <v>-0.17607870426231312</v>
      </c>
      <c r="K61" s="17">
        <f t="shared" si="22"/>
        <v>-0.120435264942144</v>
      </c>
      <c r="L61" s="17">
        <f t="shared" si="23"/>
        <v>-6.1793503509321522E-2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16" t="str">
        <f t="shared" si="20"/>
        <v/>
      </c>
      <c r="D62" s="16" t="str">
        <f t="shared" si="20"/>
        <v/>
      </c>
      <c r="E62" s="16" t="str">
        <f t="shared" si="21"/>
        <v/>
      </c>
      <c r="F62" s="17" t="str">
        <f t="shared" si="22"/>
        <v/>
      </c>
      <c r="G62" s="17" t="str">
        <f t="shared" si="22"/>
        <v/>
      </c>
      <c r="H62" s="17">
        <f t="shared" si="22"/>
        <v>-0.28026066284960949</v>
      </c>
      <c r="I62" s="17">
        <f t="shared" si="22"/>
        <v>-0.22991823769601041</v>
      </c>
      <c r="J62" s="17">
        <f t="shared" si="22"/>
        <v>-0.17686314774155554</v>
      </c>
      <c r="K62" s="17">
        <f t="shared" si="22"/>
        <v>-0.12095658855770626</v>
      </c>
      <c r="L62" s="17">
        <f t="shared" si="23"/>
        <v>-6.205304757606072E-2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16" t="str">
        <f t="shared" si="20"/>
        <v/>
      </c>
      <c r="D63" s="16" t="str">
        <f t="shared" si="20"/>
        <v/>
      </c>
      <c r="E63" s="16" t="str">
        <f t="shared" si="21"/>
        <v/>
      </c>
      <c r="F63" s="17" t="str">
        <f t="shared" si="22"/>
        <v/>
      </c>
      <c r="G63" s="17">
        <f t="shared" si="22"/>
        <v>-0.32959149717004693</v>
      </c>
      <c r="H63" s="17">
        <f t="shared" si="22"/>
        <v>-0.28156743420059055</v>
      </c>
      <c r="I63" s="17">
        <f t="shared" si="22"/>
        <v>-0.23096231207577994</v>
      </c>
      <c r="J63" s="17">
        <f t="shared" si="22"/>
        <v>-0.17764441644021881</v>
      </c>
      <c r="K63" s="17">
        <f t="shared" si="22"/>
        <v>-0.12147568549546515</v>
      </c>
      <c r="L63" s="17">
        <f t="shared" si="23"/>
        <v>-6.2311423129859385E-2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16" t="str">
        <f t="shared" si="20"/>
        <v/>
      </c>
      <c r="D64" s="16" t="str">
        <f t="shared" si="20"/>
        <v/>
      </c>
      <c r="E64" s="16" t="str">
        <f t="shared" si="21"/>
        <v/>
      </c>
      <c r="F64" s="17">
        <f t="shared" si="22"/>
        <v>-0.37698346310033565</v>
      </c>
      <c r="G64" s="17">
        <f t="shared" si="22"/>
        <v>-0.33115481934591917</v>
      </c>
      <c r="H64" s="17">
        <f t="shared" si="22"/>
        <v>-0.28286946930566992</v>
      </c>
      <c r="I64" s="17">
        <f t="shared" si="22"/>
        <v>-0.23200238238444193</v>
      </c>
      <c r="J64" s="17">
        <f t="shared" si="22"/>
        <v>-0.1784225197282788</v>
      </c>
      <c r="K64" s="17">
        <f t="shared" si="22"/>
        <v>-0.12199256350244751</v>
      </c>
      <c r="L64" s="17">
        <f t="shared" si="23"/>
        <v>-6.2568634836337247E-2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16" t="str">
        <f t="shared" si="20"/>
        <v/>
      </c>
      <c r="D65" s="16" t="str">
        <f t="shared" si="20"/>
        <v/>
      </c>
      <c r="E65" s="17">
        <f t="shared" si="21"/>
        <v>0</v>
      </c>
      <c r="F65" s="17">
        <f t="shared" si="22"/>
        <v>-0.3788008980971459</v>
      </c>
      <c r="G65" s="17">
        <f t="shared" si="22"/>
        <v>-0.33271278459825493</v>
      </c>
      <c r="H65" s="17">
        <f t="shared" si="22"/>
        <v>-0.28416677696670739</v>
      </c>
      <c r="I65" s="17">
        <f t="shared" si="22"/>
        <v>-0.23303845831288883</v>
      </c>
      <c r="J65" s="17">
        <f t="shared" si="22"/>
        <v>-0.17919746698151262</v>
      </c>
      <c r="K65" s="17">
        <f t="shared" si="22"/>
        <v>-0.12250723031556809</v>
      </c>
      <c r="L65" s="17">
        <f t="shared" si="23"/>
        <v>-6.2824687348141561E-2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16" t="str">
        <f t="shared" si="20"/>
        <v/>
      </c>
      <c r="D66" s="17">
        <f t="shared" si="20"/>
        <v>0</v>
      </c>
      <c r="E66" s="17">
        <f t="shared" si="21"/>
        <v>0</v>
      </c>
      <c r="F66" s="17">
        <f t="shared" si="22"/>
        <v>-0.38061245218351131</v>
      </c>
      <c r="G66" s="17">
        <f t="shared" si="22"/>
        <v>-0.33426539985865072</v>
      </c>
      <c r="H66" s="17">
        <f t="shared" si="22"/>
        <v>-0.28545936605133593</v>
      </c>
      <c r="I66" s="17">
        <f t="shared" si="22"/>
        <v>-0.23407054958354104</v>
      </c>
      <c r="J66" s="17">
        <f t="shared" si="22"/>
        <v>-0.17996926758109955</v>
      </c>
      <c r="K66" s="17">
        <f t="shared" si="22"/>
        <v>-0.12301969366146115</v>
      </c>
      <c r="L66" s="17">
        <f t="shared" si="23"/>
        <v>-6.3079585304926467E-2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03">
        <f t="shared" si="20"/>
        <v>0</v>
      </c>
      <c r="D67" s="16">
        <f t="shared" si="20"/>
        <v>0</v>
      </c>
      <c r="E67" s="16">
        <f t="shared" si="21"/>
        <v>0</v>
      </c>
      <c r="F67" s="17">
        <f t="shared" si="22"/>
        <v>-0.3824181295343565</v>
      </c>
      <c r="G67" s="17">
        <f t="shared" si="22"/>
        <v>-0.33581267216349786</v>
      </c>
      <c r="H67" s="17">
        <f t="shared" si="22"/>
        <v>-0.28674724549200953</v>
      </c>
      <c r="I67" s="17">
        <f t="shared" si="22"/>
        <v>-0.23509866594967899</v>
      </c>
      <c r="J67" s="17">
        <f t="shared" si="22"/>
        <v>-0.18073793091322637</v>
      </c>
      <c r="K67" s="16">
        <f t="shared" si="22"/>
        <v>-0.1235299612563142</v>
      </c>
      <c r="L67" s="16">
        <f t="shared" si="23"/>
        <v>-6.3333333333333339E-2</v>
      </c>
      <c r="M67" s="4"/>
      <c r="N67" s="4"/>
      <c r="O67" s="4"/>
      <c r="P67" s="4"/>
    </row>
    <row r="70" spans="1:16" x14ac:dyDescent="0.15">
      <c r="A70" s="13" t="s">
        <v>22</v>
      </c>
      <c r="B70" s="11"/>
      <c r="C70" s="18">
        <v>0.11650000000000001</v>
      </c>
      <c r="D70" s="13" t="s">
        <v>30</v>
      </c>
    </row>
    <row r="71" spans="1:16" x14ac:dyDescent="0.15">
      <c r="A71" s="13" t="s">
        <v>23</v>
      </c>
      <c r="C71" s="19">
        <v>2</v>
      </c>
      <c r="D71" s="13" t="s">
        <v>26</v>
      </c>
    </row>
    <row r="72" spans="1:16" x14ac:dyDescent="0.15">
      <c r="A72" s="13" t="s">
        <v>24</v>
      </c>
      <c r="C72" s="14">
        <v>10</v>
      </c>
      <c r="D72" s="13" t="s">
        <v>27</v>
      </c>
    </row>
    <row r="73" spans="1:16" x14ac:dyDescent="0.15">
      <c r="A73" s="13" t="s">
        <v>25</v>
      </c>
      <c r="C73" s="15">
        <v>0</v>
      </c>
      <c r="D73" s="13" t="s">
        <v>31</v>
      </c>
    </row>
    <row r="74" spans="1:16" x14ac:dyDescent="0.15">
      <c r="A74" s="13" t="s">
        <v>29</v>
      </c>
      <c r="C74" s="14">
        <v>1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56:C56"/>
    <mergeCell ref="A50:C50"/>
    <mergeCell ref="A51:C51"/>
    <mergeCell ref="A47:C47"/>
    <mergeCell ref="A48:C48"/>
    <mergeCell ref="A28:B28"/>
    <mergeCell ref="A1:H1"/>
    <mergeCell ref="A3:B3"/>
    <mergeCell ref="A4:B4"/>
    <mergeCell ref="A5:B5"/>
    <mergeCell ref="A10:B10"/>
  </mergeCells>
  <phoneticPr fontId="4" type="noConversion"/>
  <pageMargins left="0.53" right="0.38" top="0.63" bottom="5.31" header="0.5" footer="0.5"/>
  <pageSetup orientation="portrait"/>
  <headerFooter alignWithMargins="0"/>
  <ignoredErrors>
    <ignoredError sqref="D25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topLeftCell="A31" workbookViewId="0">
      <selection activeCell="H71" sqref="H71"/>
    </sheetView>
  </sheetViews>
  <sheetFormatPr baseColWidth="10" defaultColWidth="8.796875" defaultRowHeight="13" x14ac:dyDescent="0.15"/>
  <cols>
    <col min="1" max="1" width="10.59765625" customWidth="1"/>
    <col min="3" max="3" width="10.59765625" bestFit="1" customWidth="1"/>
    <col min="4" max="4" width="12.3984375" bestFit="1" customWidth="1"/>
  </cols>
  <sheetData>
    <row r="1" spans="1:16" ht="14" thickBot="1" x14ac:dyDescent="0.2">
      <c r="A1" s="141" t="s">
        <v>21</v>
      </c>
      <c r="B1" s="143"/>
      <c r="C1" s="143"/>
      <c r="D1" s="143"/>
      <c r="E1" s="143"/>
      <c r="F1" s="143"/>
      <c r="G1" s="143"/>
      <c r="H1" s="142"/>
    </row>
    <row r="2" spans="1:16" ht="14" thickBot="1" x14ac:dyDescent="0.2"/>
    <row r="3" spans="1:16" x14ac:dyDescent="0.15">
      <c r="A3" s="144" t="s">
        <v>15</v>
      </c>
      <c r="B3" s="145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4" thickBot="1" x14ac:dyDescent="0.2">
      <c r="A4" s="146" t="s">
        <v>43</v>
      </c>
      <c r="B4" s="147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4" thickBot="1" x14ac:dyDescent="0.2">
      <c r="A5" s="148" t="s">
        <v>16</v>
      </c>
      <c r="B5" s="149"/>
      <c r="C5" s="100">
        <v>7.2999964346648465</v>
      </c>
      <c r="D5" s="101">
        <v>7.921104142652359</v>
      </c>
      <c r="E5" s="101">
        <v>9.0211769305488758</v>
      </c>
      <c r="F5" s="101">
        <v>9.4357085755265171</v>
      </c>
      <c r="G5" s="101">
        <v>12.130248533649439</v>
      </c>
      <c r="H5" s="101">
        <v>11.719237283350624</v>
      </c>
      <c r="I5" s="101">
        <v>12.850182063738108</v>
      </c>
      <c r="J5" s="101">
        <v>12.565991013014807</v>
      </c>
      <c r="K5" s="101">
        <v>12.91852593856389</v>
      </c>
      <c r="L5" s="101">
        <v>15.195039481532831</v>
      </c>
      <c r="M5" s="101">
        <v>14.536478724774369</v>
      </c>
      <c r="N5" s="101">
        <v>15.636218925819565</v>
      </c>
      <c r="O5" s="101">
        <v>15.154031141202985</v>
      </c>
      <c r="P5" s="102">
        <v>13.447781515854537</v>
      </c>
    </row>
    <row r="6" spans="1:16" x14ac:dyDescent="0.15">
      <c r="A6" s="81" t="s">
        <v>18</v>
      </c>
      <c r="B6" s="109">
        <v>5.0000000000000001E-3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41" t="s">
        <v>17</v>
      </c>
      <c r="B10" s="14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14.350921402591107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16.091104093215812</v>
      </c>
      <c r="P13" s="4">
        <f t="shared" si="0"/>
        <v>14.279345883491503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16.520300355086</v>
      </c>
      <c r="O14" s="4">
        <f t="shared" si="0"/>
        <v>16.010849376738186</v>
      </c>
      <c r="P14" s="4">
        <f t="shared" si="0"/>
        <v>14.208127348782703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15.281779926440301</v>
      </c>
      <c r="N15" s="4">
        <f t="shared" si="0"/>
        <v>16.43790501332187</v>
      </c>
      <c r="O15" s="4">
        <f t="shared" si="0"/>
        <v>15.930994932328874</v>
      </c>
      <c r="P15" s="4">
        <f t="shared" si="0"/>
        <v>14.13726401799763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15.894434630096248</v>
      </c>
      <c r="M16" s="4">
        <f t="shared" si="0"/>
        <v>15.205561731084329</v>
      </c>
      <c r="N16" s="4">
        <f t="shared" si="0"/>
        <v>16.355920620039218</v>
      </c>
      <c r="O16" s="4">
        <f t="shared" si="0"/>
        <v>15.85153876362261</v>
      </c>
      <c r="P16" s="4">
        <f t="shared" si="0"/>
        <v>14.066754119549323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13.445740983541132</v>
      </c>
      <c r="L17" s="4">
        <f t="shared" si="0"/>
        <v>15.81516080665809</v>
      </c>
      <c r="M17" s="4">
        <f t="shared" si="0"/>
        <v>15.129723675563591</v>
      </c>
      <c r="N17" s="4">
        <f t="shared" si="0"/>
        <v>16.274345125623935</v>
      </c>
      <c r="O17" s="4">
        <f t="shared" si="0"/>
        <v>15.77247888421104</v>
      </c>
      <c r="P17" s="4">
        <f t="shared" si="0"/>
        <v>13.996595890686649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13.013587953677078</v>
      </c>
      <c r="K18" s="4">
        <f t="shared" si="0"/>
        <v>13.378680070615916</v>
      </c>
      <c r="L18" s="4">
        <f t="shared" si="0"/>
        <v>15.736282363063809</v>
      </c>
      <c r="M18" s="4">
        <f t="shared" si="0"/>
        <v>15.054263863922751</v>
      </c>
      <c r="N18" s="4">
        <f t="shared" si="0"/>
        <v>16.193176490684415</v>
      </c>
      <c r="O18" s="4">
        <f t="shared" si="0"/>
        <v>15.693813317593058</v>
      </c>
      <c r="P18" s="4">
        <f t="shared" si="0"/>
        <v>13.926787577450233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13.241528369707096</v>
      </c>
      <c r="J19" s="4">
        <f t="shared" si="0"/>
        <v>12.948682412980256</v>
      </c>
      <c r="K19" s="4">
        <f t="shared" si="0"/>
        <v>13.311953625389274</v>
      </c>
      <c r="L19" s="4">
        <f t="shared" si="0"/>
        <v>15.657797327348202</v>
      </c>
      <c r="M19" s="4">
        <f t="shared" si="0"/>
        <v>14.979180409662586</v>
      </c>
      <c r="N19" s="4">
        <f t="shared" si="0"/>
        <v>16.11241268600056</v>
      </c>
      <c r="O19" s="4">
        <f t="shared" si="0"/>
        <v>15.615540097125404</v>
      </c>
      <c r="P19" s="4">
        <f t="shared" si="0"/>
        <v>13.857327434628607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12.015911187633026</v>
      </c>
      <c r="I20" s="4">
        <f t="shared" si="0"/>
        <v>13.175485971442493</v>
      </c>
      <c r="J20" s="4">
        <f t="shared" si="0"/>
        <v>12.884100590018168</v>
      </c>
      <c r="K20" s="4">
        <f t="shared" si="0"/>
        <v>13.245559979696596</v>
      </c>
      <c r="L20" s="4">
        <f t="shared" si="0"/>
        <v>15.579703737381289</v>
      </c>
      <c r="M20" s="4">
        <f t="shared" si="0"/>
        <v>14.904471435692829</v>
      </c>
      <c r="N20" s="4">
        <f t="shared" si="0"/>
        <v>16.032051692473043</v>
      </c>
      <c r="O20" s="4">
        <f t="shared" si="0"/>
        <v>15.537657265973486</v>
      </c>
      <c r="P20" s="4">
        <f t="shared" si="0"/>
        <v>13.788213725714581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12.375295808886747</v>
      </c>
      <c r="H21" s="4">
        <f t="shared" si="0"/>
        <v>11.955981580565824</v>
      </c>
      <c r="I21" s="4">
        <f t="shared" si="0"/>
        <v>13.1097729610134</v>
      </c>
      <c r="J21" s="4">
        <f t="shared" si="0"/>
        <v>12.819840870241876</v>
      </c>
      <c r="K21" s="4">
        <f t="shared" si="0"/>
        <v>13.179497473693283</v>
      </c>
      <c r="L21" s="4">
        <f t="shared" si="0"/>
        <v>15.501999640819255</v>
      </c>
      <c r="M21" s="4">
        <f t="shared" si="0"/>
        <v>14.830135074285238</v>
      </c>
      <c r="N21" s="4">
        <f t="shared" si="0"/>
        <v>15.952091501072839</v>
      </c>
      <c r="O21" s="4">
        <f t="shared" si="0"/>
        <v>15.460162877062473</v>
      </c>
      <c r="P21" s="4">
        <f t="shared" si="0"/>
        <v>13.719444722861835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9.5783110489235419</v>
      </c>
      <c r="G22" s="4">
        <f t="shared" si="0"/>
        <v>12.313573763543213</v>
      </c>
      <c r="H22" s="4">
        <f t="shared" si="0"/>
        <v>11.896350873660845</v>
      </c>
      <c r="I22" s="4">
        <f t="shared" si="0"/>
        <v>13.044387695591135</v>
      </c>
      <c r="J22" s="4">
        <f t="shared" si="0"/>
        <v>12.755901647155044</v>
      </c>
      <c r="K22" s="4">
        <f t="shared" si="0"/>
        <v>13.113764455813248</v>
      </c>
      <c r="L22" s="4">
        <f t="shared" si="0"/>
        <v>15.424683095055636</v>
      </c>
      <c r="M22" s="4">
        <f t="shared" si="0"/>
        <v>14.756169467026908</v>
      </c>
      <c r="N22" s="4">
        <f t="shared" si="0"/>
        <v>15.872530112791003</v>
      </c>
      <c r="O22" s="4">
        <f t="shared" si="0"/>
        <v>15.383054993028603</v>
      </c>
      <c r="P22" s="4">
        <f t="shared" si="0"/>
        <v>13.651018706841716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9.1118412659967341</v>
      </c>
      <c r="F23" s="4">
        <f t="shared" si="0"/>
        <v>9.5305390232680747</v>
      </c>
      <c r="G23" s="4">
        <f t="shared" si="0"/>
        <v>12.252159558185099</v>
      </c>
      <c r="H23" s="4">
        <f t="shared" si="0"/>
        <v>11.837017576147309</v>
      </c>
      <c r="I23" s="4">
        <f t="shared" si="0"/>
        <v>12.979328540540655</v>
      </c>
      <c r="J23" s="4">
        <f t="shared" si="0"/>
        <v>12.692281322273759</v>
      </c>
      <c r="K23" s="4">
        <f t="shared" si="0"/>
        <v>13.048359282727615</v>
      </c>
      <c r="L23" s="4">
        <f t="shared" si="0"/>
        <v>15.347752167172764</v>
      </c>
      <c r="M23" s="4">
        <f t="shared" si="0"/>
        <v>14.682572764773804</v>
      </c>
      <c r="N23" s="4">
        <f t="shared" si="0"/>
        <v>15.793365538588681</v>
      </c>
      <c r="O23" s="4">
        <f t="shared" si="0"/>
        <v>15.306331686170759</v>
      </c>
      <c r="P23" s="4">
        <f t="shared" si="0"/>
        <v>13.58293396700026</v>
      </c>
    </row>
    <row r="24" spans="1:17" x14ac:dyDescent="0.15">
      <c r="A24" s="12"/>
      <c r="B24" s="12">
        <v>1</v>
      </c>
      <c r="C24" s="4"/>
      <c r="D24" s="4">
        <f t="shared" si="0"/>
        <v>7.960808842396891</v>
      </c>
      <c r="E24" s="4">
        <f t="shared" si="0"/>
        <v>9.066395768089599</v>
      </c>
      <c r="F24" s="4">
        <f t="shared" si="0"/>
        <v>9.483005261584573</v>
      </c>
      <c r="G24" s="4">
        <f t="shared" si="0"/>
        <v>12.191051657454075</v>
      </c>
      <c r="H24" s="4">
        <f t="shared" si="0"/>
        <v>11.777980204689689</v>
      </c>
      <c r="I24" s="4">
        <f t="shared" si="0"/>
        <v>12.914593869379695</v>
      </c>
      <c r="J24" s="4">
        <f t="shared" si="0"/>
        <v>12.628978305086589</v>
      </c>
      <c r="K24" s="4">
        <f t="shared" si="0"/>
        <v>12.983280319303654</v>
      </c>
      <c r="L24" s="4">
        <f t="shared" si="0"/>
        <v>15.271204933893435</v>
      </c>
      <c r="M24" s="4">
        <f t="shared" si="0"/>
        <v>14.609343127604539</v>
      </c>
      <c r="N24" s="4">
        <f t="shared" si="0"/>
        <v>15.714595799347395</v>
      </c>
      <c r="O24" s="4">
        <f t="shared" si="0"/>
        <v>15.229991038402277</v>
      </c>
      <c r="P24" s="4">
        <f t="shared" si="0"/>
        <v>13.515188801215425</v>
      </c>
    </row>
    <row r="25" spans="1:17" x14ac:dyDescent="0.15">
      <c r="A25" s="12"/>
      <c r="B25" s="12">
        <v>0</v>
      </c>
      <c r="C25" s="4">
        <f>IF( $B25 &lt;=C$11,(C$5+$B$6*$B25),"")</f>
        <v>7.2999964346648465</v>
      </c>
      <c r="D25" s="2">
        <f t="shared" si="0"/>
        <v>7.921104142652359</v>
      </c>
      <c r="E25" s="4">
        <f t="shared" si="0"/>
        <v>9.0211769305488758</v>
      </c>
      <c r="F25" s="4">
        <f t="shared" si="0"/>
        <v>9.4357085755265171</v>
      </c>
      <c r="G25" s="4">
        <f t="shared" si="0"/>
        <v>12.130248533649439</v>
      </c>
      <c r="H25" s="4">
        <f t="shared" si="0"/>
        <v>11.719237283350624</v>
      </c>
      <c r="I25" s="4">
        <f t="shared" si="0"/>
        <v>12.850182063738108</v>
      </c>
      <c r="J25" s="4">
        <f t="shared" si="0"/>
        <v>12.565991013014807</v>
      </c>
      <c r="K25" s="4">
        <f t="shared" si="0"/>
        <v>12.91852593856389</v>
      </c>
      <c r="L25" s="4">
        <f t="shared" si="0"/>
        <v>15.195039481532831</v>
      </c>
      <c r="M25" s="4">
        <f t="shared" si="0"/>
        <v>14.536478724774369</v>
      </c>
      <c r="N25" s="4">
        <f t="shared" si="0"/>
        <v>15.636218925819565</v>
      </c>
      <c r="O25" s="4">
        <f t="shared" si="0"/>
        <v>15.154031141202985</v>
      </c>
      <c r="P25" s="4">
        <f t="shared" si="0"/>
        <v>13.447781515854537</v>
      </c>
    </row>
    <row r="27" spans="1:17" ht="14" thickBot="1" x14ac:dyDescent="0.2"/>
    <row r="28" spans="1:17" ht="14" thickBot="1" x14ac:dyDescent="0.2">
      <c r="A28" s="141" t="s">
        <v>13</v>
      </c>
      <c r="B28" s="142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1.1667535513217776E-5</v>
      </c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2.6683868728678131E-5</v>
      </c>
      <c r="Q31" s="8">
        <f t="shared" si="1"/>
        <v>1.6400797500426773E-4</v>
      </c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6.1955195643813581E-5</v>
      </c>
      <c r="P32" s="8">
        <f t="shared" si="1"/>
        <v>3.481873155328162E-4</v>
      </c>
      <c r="Q32" s="8">
        <f t="shared" si="1"/>
        <v>1.0703628999151184E-3</v>
      </c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1.443807600995055E-4</v>
      </c>
      <c r="O33" s="8">
        <f t="shared" si="1"/>
        <v>7.4595775882594034E-4</v>
      </c>
      <c r="P33" s="8">
        <f t="shared" si="1"/>
        <v>2.0969125213830967E-3</v>
      </c>
      <c r="Q33" s="8">
        <f t="shared" si="1"/>
        <v>4.2987155024416142E-3</v>
      </c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3.3288942022806735E-4</v>
      </c>
      <c r="N34" s="8">
        <f t="shared" si="1"/>
        <v>1.5928765096133834E-3</v>
      </c>
      <c r="O34" s="8">
        <f t="shared" si="1"/>
        <v>4.1164988085564784E-3</v>
      </c>
      <c r="P34" s="8">
        <f t="shared" si="1"/>
        <v>7.7172610860112827E-3</v>
      </c>
      <c r="Q34" s="8">
        <f t="shared" si="1"/>
        <v>1.1868996934899274E-2</v>
      </c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7.7160062303344786E-4</v>
      </c>
      <c r="M35" s="8">
        <f t="shared" si="1"/>
        <v>3.3374953297566862E-3</v>
      </c>
      <c r="N35" s="8">
        <f t="shared" si="1"/>
        <v>7.9878252131072129E-3</v>
      </c>
      <c r="O35" s="8">
        <f t="shared" si="1"/>
        <v>1.3767453972603221E-2</v>
      </c>
      <c r="P35" s="8">
        <f t="shared" si="1"/>
        <v>1.9364665460827067E-2</v>
      </c>
      <c r="Q35" s="8">
        <f t="shared" si="1"/>
        <v>2.3833158665474457E-2</v>
      </c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1.7506960884678296E-3</v>
      </c>
      <c r="L36" s="8">
        <f t="shared" si="1"/>
        <v>6.9595783314538428E-3</v>
      </c>
      <c r="M36" s="8">
        <f t="shared" si="1"/>
        <v>1.5057423883339444E-2</v>
      </c>
      <c r="N36" s="8">
        <f t="shared" si="1"/>
        <v>2.4033808832690871E-2</v>
      </c>
      <c r="O36" s="8">
        <f t="shared" si="1"/>
        <v>3.1079847732735134E-2</v>
      </c>
      <c r="P36" s="8">
        <f t="shared" si="1"/>
        <v>3.4985224170250552E-2</v>
      </c>
      <c r="Q36" s="8">
        <f t="shared" si="1"/>
        <v>3.5892643047984965E-2</v>
      </c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3.9570489274843501E-3</v>
      </c>
      <c r="K37" s="8">
        <f t="shared" si="1"/>
        <v>1.4031694897741979E-2</v>
      </c>
      <c r="L37" s="8">
        <f t="shared" si="1"/>
        <v>2.7898966885751608E-2</v>
      </c>
      <c r="M37" s="8">
        <f t="shared" si="1"/>
        <v>4.0256288909882018E-2</v>
      </c>
      <c r="N37" s="8">
        <f t="shared" si="1"/>
        <v>4.8208293313792491E-2</v>
      </c>
      <c r="O37" s="8">
        <f t="shared" si="1"/>
        <v>4.9892750412319178E-2</v>
      </c>
      <c r="P37" s="8">
        <f t="shared" si="1"/>
        <v>4.6818870200740666E-2</v>
      </c>
      <c r="Q37" s="8">
        <f t="shared" si="1"/>
        <v>4.1183662315793013E-2</v>
      </c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8.9620453676407599E-3</v>
      </c>
      <c r="J38" s="8">
        <f t="shared" si="1"/>
        <v>2.7742452684457894E-2</v>
      </c>
      <c r="K38" s="8">
        <f t="shared" si="1"/>
        <v>4.920229197646165E-2</v>
      </c>
      <c r="L38" s="8">
        <f t="shared" si="1"/>
        <v>6.523902650903754E-2</v>
      </c>
      <c r="M38" s="8">
        <f t="shared" si="1"/>
        <v>7.0628983092317826E-2</v>
      </c>
      <c r="N38" s="8">
        <f t="shared" si="1"/>
        <v>6.7688567929395954E-2</v>
      </c>
      <c r="O38" s="8">
        <f t="shared" si="1"/>
        <v>5.8400784074161015E-2</v>
      </c>
      <c r="P38" s="8">
        <f t="shared" si="1"/>
        <v>4.6990909350353285E-2</v>
      </c>
      <c r="Q38" s="8">
        <f t="shared" si="1"/>
        <v>3.6178921005566002E-2</v>
      </c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2.0077833559223709E-2</v>
      </c>
      <c r="I39" s="8">
        <f t="shared" si="1"/>
        <v>5.3838492584449095E-2</v>
      </c>
      <c r="J39" s="8">
        <f t="shared" si="1"/>
        <v>8.3356539435966881E-2</v>
      </c>
      <c r="K39" s="8">
        <f t="shared" si="1"/>
        <v>9.8587139248924427E-2</v>
      </c>
      <c r="L39" s="8">
        <f t="shared" si="1"/>
        <v>9.8070562518513094E-2</v>
      </c>
      <c r="M39" s="8">
        <f t="shared" si="1"/>
        <v>8.4971291261536908E-2</v>
      </c>
      <c r="N39" s="8">
        <f t="shared" si="1"/>
        <v>6.7885535022514043E-2</v>
      </c>
      <c r="O39" s="8">
        <f t="shared" si="1"/>
        <v>5.0222948399973266E-2</v>
      </c>
      <c r="P39" s="8">
        <f t="shared" si="1"/>
        <v>3.5372311000420806E-2</v>
      </c>
      <c r="Q39" s="8">
        <f t="shared" si="1"/>
        <v>2.4214860705453353E-2</v>
      </c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4.5125049708387155E-2</v>
      </c>
      <c r="H40" s="8">
        <f t="shared" si="1"/>
        <v>0.10048373396012457</v>
      </c>
      <c r="I40" s="8">
        <f t="shared" si="1"/>
        <v>0.13476155263361322</v>
      </c>
      <c r="J40" s="8">
        <f t="shared" si="1"/>
        <v>0.13914261884140777</v>
      </c>
      <c r="K40" s="8">
        <f t="shared" si="1"/>
        <v>0.12346191183178098</v>
      </c>
      <c r="L40" s="8">
        <f t="shared" si="1"/>
        <v>9.8282451258752235E-2</v>
      </c>
      <c r="M40" s="8">
        <f t="shared" si="1"/>
        <v>7.0989783236474535E-2</v>
      </c>
      <c r="N40" s="8">
        <f t="shared" si="1"/>
        <v>4.8630364531542292E-2</v>
      </c>
      <c r="O40" s="8">
        <f t="shared" si="1"/>
        <v>3.1492593347181214E-2</v>
      </c>
      <c r="P40" s="8">
        <f t="shared" si="1"/>
        <v>1.9723076865712987E-2</v>
      </c>
      <c r="Q40" s="8">
        <f t="shared" si="1"/>
        <v>1.2155271085588466E-2</v>
      </c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9.8894534660875694E-2</v>
      </c>
      <c r="G41" s="8">
        <f t="shared" si="1"/>
        <v>0.18061348051401374</v>
      </c>
      <c r="H41" s="8">
        <f t="shared" si="1"/>
        <v>0.20115630588069586</v>
      </c>
      <c r="I41" s="8">
        <f t="shared" si="1"/>
        <v>0.17990219184250358</v>
      </c>
      <c r="J41" s="8">
        <f t="shared" si="1"/>
        <v>0.13935742223786191</v>
      </c>
      <c r="K41" s="8">
        <f t="shared" si="1"/>
        <v>9.8951753900334477E-2</v>
      </c>
      <c r="L41" s="8">
        <f t="shared" si="1"/>
        <v>6.5662803255927979E-2</v>
      </c>
      <c r="M41" s="8">
        <f t="shared" si="1"/>
        <v>4.0668630525830529E-2</v>
      </c>
      <c r="N41" s="8">
        <f t="shared" si="1"/>
        <v>2.4385532973081093E-2</v>
      </c>
      <c r="O41" s="8">
        <f t="shared" si="1"/>
        <v>1.4042615637674186E-2</v>
      </c>
      <c r="P41" s="8">
        <f t="shared" si="1"/>
        <v>7.9179695183042784E-3</v>
      </c>
      <c r="Q41" s="8">
        <f t="shared" si="1"/>
        <v>4.4375134756517087E-3</v>
      </c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0.21581129535984162</v>
      </c>
      <c r="F42" s="8">
        <f t="shared" si="1"/>
        <v>0.29680241715114081</v>
      </c>
      <c r="G42" s="8">
        <f t="shared" si="1"/>
        <v>0.27108987565266995</v>
      </c>
      <c r="H42" s="8">
        <f t="shared" si="1"/>
        <v>0.20134484953488874</v>
      </c>
      <c r="I42" s="8">
        <f t="shared" si="1"/>
        <v>0.13509150505819451</v>
      </c>
      <c r="J42" s="8">
        <f t="shared" si="1"/>
        <v>8.3743185235104031E-2</v>
      </c>
      <c r="K42" s="8">
        <f t="shared" si="1"/>
        <v>4.9566905928119347E-2</v>
      </c>
      <c r="L42" s="8">
        <f t="shared" si="1"/>
        <v>2.8201663514118694E-2</v>
      </c>
      <c r="M42" s="8">
        <f t="shared" si="1"/>
        <v>1.5289364724241479E-2</v>
      </c>
      <c r="N42" s="8">
        <f t="shared" si="1"/>
        <v>8.1519618332187987E-3</v>
      </c>
      <c r="O42" s="8">
        <f t="shared" si="1"/>
        <v>4.2265623109812933E-3</v>
      </c>
      <c r="P42" s="8">
        <f t="shared" si="1"/>
        <v>2.16728988909023E-3</v>
      </c>
      <c r="Q42" s="8">
        <f t="shared" si="1"/>
        <v>1.1137366176762801E-3</v>
      </c>
    </row>
    <row r="43" spans="1:17" x14ac:dyDescent="0.15">
      <c r="B43">
        <v>1</v>
      </c>
      <c r="C43" s="8"/>
      <c r="D43" s="8">
        <f t="shared" si="1"/>
        <v>0.46598324008747832</v>
      </c>
      <c r="E43" s="8">
        <f t="shared" si="1"/>
        <v>0.43170198874615651</v>
      </c>
      <c r="F43" s="8">
        <f t="shared" si="1"/>
        <v>0.29692107399334638</v>
      </c>
      <c r="G43" s="8">
        <f t="shared" si="1"/>
        <v>0.18083950872577625</v>
      </c>
      <c r="H43" s="8">
        <f t="shared" si="1"/>
        <v>0.1007665494728202</v>
      </c>
      <c r="I43" s="8">
        <f t="shared" si="1"/>
        <v>5.4102454406927569E-2</v>
      </c>
      <c r="J43" s="8">
        <f t="shared" si="1"/>
        <v>2.795725555677599E-2</v>
      </c>
      <c r="K43" s="8">
        <f t="shared" si="1"/>
        <v>1.4187957520055753E-2</v>
      </c>
      <c r="L43" s="8">
        <f t="shared" si="1"/>
        <v>7.0655216011905938E-3</v>
      </c>
      <c r="M43" s="8">
        <f t="shared" si="1"/>
        <v>3.4062179951239407E-3</v>
      </c>
      <c r="N43" s="8">
        <f t="shared" si="1"/>
        <v>1.6350826192228817E-3</v>
      </c>
      <c r="O43" s="8">
        <f t="shared" si="1"/>
        <v>7.7097185118763845E-4</v>
      </c>
      <c r="P43" s="8">
        <f t="shared" si="1"/>
        <v>3.6252321333114432E-4</v>
      </c>
      <c r="Q43" s="8">
        <f t="shared" si="1"/>
        <v>1.7201528418502932E-4</v>
      </c>
    </row>
    <row r="44" spans="1:17" x14ac:dyDescent="0.15">
      <c r="B44">
        <v>0</v>
      </c>
      <c r="C44" s="8">
        <v>1</v>
      </c>
      <c r="D44" s="9">
        <f t="shared" si="1"/>
        <v>0.46598324008747832</v>
      </c>
      <c r="E44" s="8">
        <f t="shared" si="1"/>
        <v>0.21589069338631486</v>
      </c>
      <c r="F44" s="8">
        <f t="shared" si="1"/>
        <v>9.9013191503081285E-2</v>
      </c>
      <c r="G44" s="8">
        <f t="shared" si="1"/>
        <v>4.523806387873288E-2</v>
      </c>
      <c r="H44" s="8">
        <f t="shared" si="1"/>
        <v>2.0172105417726457E-2</v>
      </c>
      <c r="I44" s="8">
        <f t="shared" si="1"/>
        <v>9.0280357744317863E-3</v>
      </c>
      <c r="J44" s="8">
        <f t="shared" si="1"/>
        <v>4.0000093971194152E-3</v>
      </c>
      <c r="K44" s="8">
        <f t="shared" si="1"/>
        <v>1.7767397422268226E-3</v>
      </c>
      <c r="L44" s="8">
        <f t="shared" si="1"/>
        <v>7.8673527105441567E-4</v>
      </c>
      <c r="M44" s="8">
        <f t="shared" si="1"/>
        <v>3.4147966552871358E-4</v>
      </c>
      <c r="N44" s="8">
        <f t="shared" si="1"/>
        <v>1.4907026535592767E-4</v>
      </c>
      <c r="O44" s="8">
        <f t="shared" si="1"/>
        <v>6.4456563324487447E-5</v>
      </c>
      <c r="P44" s="8">
        <f t="shared" si="1"/>
        <v>2.7987106784585855E-5</v>
      </c>
      <c r="Q44" s="8">
        <f t="shared" si="1"/>
        <v>1.2334796860119564E-5</v>
      </c>
    </row>
    <row r="46" spans="1:17" ht="14" thickBot="1" x14ac:dyDescent="0.2"/>
    <row r="47" spans="1:17" ht="14" thickBot="1" x14ac:dyDescent="0.2">
      <c r="A47" s="141" t="s">
        <v>41</v>
      </c>
      <c r="B47" s="143"/>
      <c r="C47" s="142"/>
      <c r="D47" s="92">
        <f>SUM(D30:D44)</f>
        <v>0.93196648017495665</v>
      </c>
      <c r="E47" s="93">
        <f>SUM(E30:E44)</f>
        <v>0.8634039774923129</v>
      </c>
      <c r="F47" s="93">
        <f t="shared" ref="F47:Q47" si="2">SUM(F30:F44)</f>
        <v>0.79163121730844421</v>
      </c>
      <c r="G47" s="93">
        <f t="shared" si="2"/>
        <v>0.72290597847957994</v>
      </c>
      <c r="H47" s="93">
        <f t="shared" si="2"/>
        <v>0.6440013778254795</v>
      </c>
      <c r="I47" s="93">
        <f t="shared" si="2"/>
        <v>0.57568627766776037</v>
      </c>
      <c r="J47" s="93">
        <f t="shared" si="2"/>
        <v>0.50925653231617829</v>
      </c>
      <c r="K47" s="93">
        <f t="shared" si="2"/>
        <v>0.45151709113411326</v>
      </c>
      <c r="L47" s="93">
        <f t="shared" si="2"/>
        <v>0.39893890976883351</v>
      </c>
      <c r="M47" s="93">
        <f t="shared" si="2"/>
        <v>0.3452798480442601</v>
      </c>
      <c r="N47" s="93">
        <f t="shared" si="2"/>
        <v>0.30049329980363448</v>
      </c>
      <c r="O47" s="93">
        <f t="shared" si="2"/>
        <v>0.25888539606516686</v>
      </c>
      <c r="P47" s="93">
        <f t="shared" si="2"/>
        <v>0.22391987156747148</v>
      </c>
      <c r="Q47" s="94">
        <f t="shared" si="2"/>
        <v>0.19660786784800691</v>
      </c>
    </row>
    <row r="48" spans="1:17" ht="14" thickBot="1" x14ac:dyDescent="0.2">
      <c r="A48" s="141" t="s">
        <v>42</v>
      </c>
      <c r="B48" s="143"/>
      <c r="C48" s="142"/>
      <c r="D48" s="89">
        <f>100*((1/D47)^(1/D29)-1)</f>
        <v>7.2999964346648571</v>
      </c>
      <c r="E48" s="90">
        <f t="shared" ref="E48:Q48" si="3">100*((1/E47)^(1/E29)-1)</f>
        <v>7.6199974680667637</v>
      </c>
      <c r="F48" s="90">
        <f t="shared" si="3"/>
        <v>8.1000005170626324</v>
      </c>
      <c r="G48" s="90">
        <f t="shared" si="3"/>
        <v>8.4499973900779679</v>
      </c>
      <c r="H48" s="90">
        <f t="shared" si="3"/>
        <v>9.2000005850050961</v>
      </c>
      <c r="I48" s="90">
        <f t="shared" si="3"/>
        <v>9.6399983702653245</v>
      </c>
      <c r="J48" s="90">
        <f t="shared" si="3"/>
        <v>10.119999003043922</v>
      </c>
      <c r="K48" s="90">
        <f t="shared" si="3"/>
        <v>10.450001404090536</v>
      </c>
      <c r="L48" s="90">
        <f t="shared" si="3"/>
        <v>10.749999701331348</v>
      </c>
      <c r="M48" s="90">
        <f t="shared" si="3"/>
        <v>11.219996433101699</v>
      </c>
      <c r="N48" s="90">
        <f t="shared" si="3"/>
        <v>11.549997345992381</v>
      </c>
      <c r="O48" s="90">
        <f t="shared" si="3"/>
        <v>11.920000643668583</v>
      </c>
      <c r="P48" s="90">
        <f t="shared" si="3"/>
        <v>12.200004445130119</v>
      </c>
      <c r="Q48" s="91">
        <f t="shared" si="3"/>
        <v>12.319995927961426</v>
      </c>
    </row>
    <row r="49" spans="1:17" ht="14" thickBot="1" x14ac:dyDescent="0.2"/>
    <row r="50" spans="1:17" ht="14" thickBot="1" x14ac:dyDescent="0.2">
      <c r="A50" s="141" t="s">
        <v>20</v>
      </c>
      <c r="B50" s="143"/>
      <c r="C50" s="142"/>
      <c r="D50" s="86">
        <f t="shared" ref="D50:Q50" si="4">(D48-C4)^2</f>
        <v>1.2711614679590094E-11</v>
      </c>
      <c r="E50" s="87">
        <f t="shared" si="4"/>
        <v>6.4106859136116993E-12</v>
      </c>
      <c r="F50" s="87">
        <f t="shared" si="4"/>
        <v>2.6735376614500471E-13</v>
      </c>
      <c r="G50" s="87">
        <f t="shared" si="4"/>
        <v>6.8116930098954366E-12</v>
      </c>
      <c r="H50" s="87">
        <f t="shared" si="4"/>
        <v>3.4223096329280536E-13</v>
      </c>
      <c r="I50" s="87">
        <f t="shared" si="4"/>
        <v>2.6560351144851342E-12</v>
      </c>
      <c r="J50" s="87">
        <f t="shared" si="4"/>
        <v>9.9392141907675702E-13</v>
      </c>
      <c r="K50" s="87">
        <f t="shared" si="4"/>
        <v>1.9714702340803812E-12</v>
      </c>
      <c r="L50" s="87">
        <f t="shared" si="4"/>
        <v>8.9202963972073476E-14</v>
      </c>
      <c r="M50" s="87">
        <f t="shared" si="4"/>
        <v>1.2722763497197531E-11</v>
      </c>
      <c r="N50" s="87">
        <f t="shared" si="4"/>
        <v>7.0437564464635761E-12</v>
      </c>
      <c r="O50" s="87">
        <f t="shared" si="4"/>
        <v>4.1430924515602079E-13</v>
      </c>
      <c r="P50" s="87">
        <f t="shared" si="4"/>
        <v>1.9759181783641658E-11</v>
      </c>
      <c r="Q50" s="88">
        <f t="shared" si="4"/>
        <v>1.6581498154464701E-11</v>
      </c>
    </row>
    <row r="51" spans="1:17" ht="14" thickBot="1" x14ac:dyDescent="0.2">
      <c r="A51" s="141" t="s">
        <v>19</v>
      </c>
      <c r="B51" s="143"/>
      <c r="C51" s="142"/>
      <c r="D51" s="85">
        <f>SUM(D50:Q50)</f>
        <v>8.8775717191072872E-11</v>
      </c>
    </row>
    <row r="55" spans="1:17" ht="14" thickBot="1" x14ac:dyDescent="0.2"/>
    <row r="56" spans="1:17" ht="14" thickBot="1" x14ac:dyDescent="0.2">
      <c r="A56" s="150" t="s">
        <v>28</v>
      </c>
      <c r="B56" s="151"/>
      <c r="C56" s="15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3.6623282590258412E-2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4.7821084470449665E-2</v>
      </c>
      <c r="L59" s="110">
        <f t="shared" si="8"/>
        <v>3.5963864986652418E-2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5.3874134370234104E-2</v>
      </c>
      <c r="K60" s="110">
        <f t="shared" si="7"/>
        <v>4.6677340917582189E-2</v>
      </c>
      <c r="L60" s="110">
        <f t="shared" si="8"/>
        <v>3.5306839649861671E-2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6.0942354643787389E-2</v>
      </c>
      <c r="J61" s="110">
        <f t="shared" si="7"/>
        <v>5.2319405881847997E-2</v>
      </c>
      <c r="K61" s="110">
        <f t="shared" si="7"/>
        <v>4.5537170002505921E-2</v>
      </c>
      <c r="L61" s="110">
        <f t="shared" si="8"/>
        <v>3.4652201753461252E-2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5.6814711515146443E-2</v>
      </c>
      <c r="I62" s="110">
        <f t="shared" si="7"/>
        <v>5.9022455188184789E-2</v>
      </c>
      <c r="J62" s="110">
        <f t="shared" si="7"/>
        <v>5.0768775672312166E-2</v>
      </c>
      <c r="K62" s="110">
        <f t="shared" si="7"/>
        <v>4.4400569793637802E-2</v>
      </c>
      <c r="L62" s="110">
        <f t="shared" si="8"/>
        <v>3.3999946446569125E-2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5.6025405359427113E-2</v>
      </c>
      <c r="H63" s="110">
        <f t="shared" si="7"/>
        <v>5.4596802308686833E-2</v>
      </c>
      <c r="I63" s="110">
        <f t="shared" si="7"/>
        <v>5.7106685073081476E-2</v>
      </c>
      <c r="J63" s="110">
        <f t="shared" si="7"/>
        <v>4.9222248770866631E-2</v>
      </c>
      <c r="K63" s="110">
        <f t="shared" si="7"/>
        <v>4.3267538273617359E-2</v>
      </c>
      <c r="L63" s="110">
        <f t="shared" si="8"/>
        <v>3.335006885420129E-2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3.1085183084883148E-2</v>
      </c>
      <c r="G64" s="110">
        <f t="shared" si="7"/>
        <v>5.3533610883863304E-2</v>
      </c>
      <c r="H64" s="110">
        <f t="shared" si="7"/>
        <v>5.2382745517120952E-2</v>
      </c>
      <c r="I64" s="110">
        <f t="shared" si="7"/>
        <v>5.5195058895890665E-2</v>
      </c>
      <c r="J64" s="110">
        <f t="shared" si="7"/>
        <v>4.7679830051471667E-2</v>
      </c>
      <c r="K64" s="110">
        <f t="shared" si="7"/>
        <v>4.2138073340017915E-2</v>
      </c>
      <c r="L64" s="110">
        <f t="shared" si="8"/>
        <v>3.270256407762516E-2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3.9918346426386503E-3</v>
      </c>
      <c r="F65" s="110">
        <f t="shared" si="7"/>
        <v>2.8389120152936084E-2</v>
      </c>
      <c r="G65" s="110">
        <f t="shared" si="7"/>
        <v>5.1045121305723445E-2</v>
      </c>
      <c r="H65" s="110">
        <f t="shared" si="7"/>
        <v>5.0172565348716704E-2</v>
      </c>
      <c r="I65" s="110">
        <f t="shared" si="7"/>
        <v>5.3287591036059748E-2</v>
      </c>
      <c r="J65" s="110">
        <f t="shared" si="7"/>
        <v>4.6141524233654509E-2</v>
      </c>
      <c r="K65" s="110">
        <f t="shared" si="7"/>
        <v>4.1012172806057033E-2</v>
      </c>
      <c r="L65" s="110">
        <f t="shared" si="8"/>
        <v>3.2057427194711482E-2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3" t="str">
        <f t="shared" si="5"/>
        <v/>
      </c>
      <c r="D66" s="110">
        <f t="shared" si="5"/>
        <v>2.3610388267781969E-3</v>
      </c>
      <c r="E66" s="110">
        <f t="shared" si="6"/>
        <v>1.1061585863069087E-3</v>
      </c>
      <c r="F66" s="110">
        <f t="shared" si="7"/>
        <v>2.569585908840033E-2</v>
      </c>
      <c r="G66" s="110">
        <f t="shared" si="7"/>
        <v>4.8559970978110475E-2</v>
      </c>
      <c r="H66" s="110">
        <f t="shared" si="7"/>
        <v>4.7966285751995061E-2</v>
      </c>
      <c r="I66" s="110">
        <f t="shared" si="7"/>
        <v>5.1384295655726338E-2</v>
      </c>
      <c r="J66" s="110">
        <f t="shared" si="7"/>
        <v>4.4607335883361007E-2</v>
      </c>
      <c r="K66" s="110">
        <f t="shared" si="7"/>
        <v>3.9889834401306751E-2</v>
      </c>
      <c r="L66" s="110">
        <f t="shared" si="8"/>
        <v>3.1414653260284281E-2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11">
        <f t="shared" si="5"/>
        <v>1.339013866667467E-3</v>
      </c>
      <c r="D67" s="3">
        <f t="shared" si="5"/>
        <v>5.1248483560952321E-4</v>
      </c>
      <c r="E67" s="3">
        <f t="shared" si="6"/>
        <v>0</v>
      </c>
      <c r="F67" s="110">
        <f t="shared" si="7"/>
        <v>2.3005441786738804E-2</v>
      </c>
      <c r="G67" s="110">
        <f t="shared" si="7"/>
        <v>4.607819397185494E-2</v>
      </c>
      <c r="H67" s="110">
        <f t="shared" si="7"/>
        <v>4.5763930415932214E-2</v>
      </c>
      <c r="I67" s="110">
        <f t="shared" si="7"/>
        <v>4.9485186700386756E-2</v>
      </c>
      <c r="J67" s="110">
        <f t="shared" si="7"/>
        <v>4.3077269413811202E-2</v>
      </c>
      <c r="K67" s="3">
        <f t="shared" si="7"/>
        <v>3.8771055772402925E-2</v>
      </c>
      <c r="L67" s="3">
        <f t="shared" si="8"/>
        <v>3.0774237306469648E-2</v>
      </c>
      <c r="M67" s="4"/>
      <c r="N67" s="4"/>
      <c r="O67" s="4"/>
      <c r="P67" s="4"/>
    </row>
    <row r="70" spans="1:16" x14ac:dyDescent="0.15">
      <c r="A70" s="1" t="s">
        <v>22</v>
      </c>
      <c r="B70" s="11"/>
      <c r="C70" s="18">
        <v>0.11650000000000001</v>
      </c>
      <c r="D70" s="1" t="s">
        <v>30</v>
      </c>
    </row>
    <row r="71" spans="1:16" x14ac:dyDescent="0.15">
      <c r="A71" s="1" t="s">
        <v>23</v>
      </c>
      <c r="C71" s="19">
        <v>2</v>
      </c>
      <c r="D71" s="1" t="s">
        <v>26</v>
      </c>
    </row>
    <row r="72" spans="1:16" x14ac:dyDescent="0.15">
      <c r="A72" s="1" t="s">
        <v>24</v>
      </c>
      <c r="C72" s="14">
        <v>10</v>
      </c>
      <c r="D72" s="1" t="s">
        <v>27</v>
      </c>
    </row>
    <row r="73" spans="1:16" x14ac:dyDescent="0.15">
      <c r="A73" s="1" t="s">
        <v>25</v>
      </c>
      <c r="C73" s="15">
        <v>0</v>
      </c>
      <c r="D73" s="1" t="s">
        <v>31</v>
      </c>
    </row>
    <row r="74" spans="1:16" x14ac:dyDescent="0.15">
      <c r="A74" s="1" t="s">
        <v>29</v>
      </c>
      <c r="C74" s="14">
        <v>1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workbookViewId="0">
      <selection activeCell="D51" sqref="D51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41" t="s">
        <v>21</v>
      </c>
      <c r="B1" s="143"/>
      <c r="C1" s="143"/>
      <c r="D1" s="143"/>
      <c r="E1" s="143"/>
      <c r="F1" s="143"/>
      <c r="G1" s="143"/>
      <c r="H1" s="142"/>
    </row>
    <row r="2" spans="1:16" ht="14" thickBot="1" x14ac:dyDescent="0.2"/>
    <row r="3" spans="1:16" x14ac:dyDescent="0.15">
      <c r="A3" s="144" t="s">
        <v>15</v>
      </c>
      <c r="B3" s="145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4" thickBot="1" x14ac:dyDescent="0.2">
      <c r="A4" s="146" t="s">
        <v>43</v>
      </c>
      <c r="B4" s="147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4" thickBot="1" x14ac:dyDescent="0.2">
      <c r="A5" s="148" t="s">
        <v>16</v>
      </c>
      <c r="B5" s="149"/>
      <c r="C5" s="100">
        <v>7.2999975272283564</v>
      </c>
      <c r="D5" s="101">
        <v>7.9012646992223168</v>
      </c>
      <c r="E5" s="101">
        <v>8.9760501223067521</v>
      </c>
      <c r="F5" s="101">
        <v>9.3650269905201782</v>
      </c>
      <c r="G5" s="101">
        <v>12.00938375100705</v>
      </c>
      <c r="H5" s="101">
        <v>11.573127223859411</v>
      </c>
      <c r="I5" s="101">
        <v>12.659448901993134</v>
      </c>
      <c r="J5" s="101">
        <v>12.346632768955727</v>
      </c>
      <c r="K5" s="101">
        <v>12.663744757704864</v>
      </c>
      <c r="L5" s="101">
        <v>14.857249546813584</v>
      </c>
      <c r="M5" s="101">
        <v>14.176474554745401</v>
      </c>
      <c r="N5" s="101">
        <v>15.214771236747589</v>
      </c>
      <c r="O5" s="101">
        <v>14.705630840924183</v>
      </c>
      <c r="P5" s="102">
        <v>13.019523143714936</v>
      </c>
    </row>
    <row r="6" spans="1:16" x14ac:dyDescent="0.15">
      <c r="A6" s="81" t="s">
        <v>18</v>
      </c>
      <c r="B6" s="109">
        <v>0.01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41" t="s">
        <v>17</v>
      </c>
      <c r="B10" s="14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 x14ac:dyDescent="0.15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 x14ac:dyDescent="0.15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4" thickBot="1" x14ac:dyDescent="0.2"/>
    <row r="28" spans="1:17" ht="14" thickBot="1" x14ac:dyDescent="0.2">
      <c r="A28" s="141" t="s">
        <v>13</v>
      </c>
      <c r="B28" s="142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 x14ac:dyDescent="0.15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 x14ac:dyDescent="0.15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4" thickBot="1" x14ac:dyDescent="0.2"/>
    <row r="47" spans="1:17" ht="14" thickBot="1" x14ac:dyDescent="0.2">
      <c r="A47" s="141" t="s">
        <v>41</v>
      </c>
      <c r="B47" s="143"/>
      <c r="C47" s="142"/>
      <c r="D47" s="92">
        <f>SUM(D30:D44)</f>
        <v>0.93196647068537053</v>
      </c>
      <c r="E47" s="93">
        <f>SUM(E30:E44)</f>
        <v>0.86340395455577812</v>
      </c>
      <c r="F47" s="93">
        <f t="shared" ref="F47:Q47" si="2">SUM(F30:F44)</f>
        <v>0.79163123705277705</v>
      </c>
      <c r="G47" s="93">
        <f t="shared" si="2"/>
        <v>0.72290601621303097</v>
      </c>
      <c r="H47" s="93">
        <f t="shared" si="2"/>
        <v>0.64400098652766469</v>
      </c>
      <c r="I47" s="93">
        <f t="shared" si="2"/>
        <v>0.57568754912362052</v>
      </c>
      <c r="J47" s="93">
        <f t="shared" si="2"/>
        <v>0.50925403349925114</v>
      </c>
      <c r="K47" s="93">
        <f t="shared" si="2"/>
        <v>0.45152001582262863</v>
      </c>
      <c r="L47" s="93">
        <f t="shared" si="2"/>
        <v>0.39893764149165722</v>
      </c>
      <c r="M47" s="93">
        <f t="shared" si="2"/>
        <v>0.34527839093322032</v>
      </c>
      <c r="N47" s="93">
        <f t="shared" si="2"/>
        <v>0.300496065882568</v>
      </c>
      <c r="O47" s="93">
        <f t="shared" si="2"/>
        <v>0.25888306502169645</v>
      </c>
      <c r="P47" s="93">
        <f t="shared" si="2"/>
        <v>0.22392095257767805</v>
      </c>
      <c r="Q47" s="94">
        <f t="shared" si="2"/>
        <v>0.1966076371992718</v>
      </c>
    </row>
    <row r="48" spans="1:17" ht="14" thickBot="1" x14ac:dyDescent="0.2">
      <c r="A48" s="141" t="s">
        <v>42</v>
      </c>
      <c r="B48" s="143"/>
      <c r="C48" s="142"/>
      <c r="D48" s="89">
        <f>100*((1/D47)^(1/D29)-1)</f>
        <v>7.2999975272283635</v>
      </c>
      <c r="E48" s="90">
        <f t="shared" ref="E48:Q48" si="3">100*((1/E47)^(1/E29)-1)</f>
        <v>7.6199988975423683</v>
      </c>
      <c r="F48" s="90">
        <f t="shared" si="3"/>
        <v>8.0999996183435119</v>
      </c>
      <c r="G48" s="90">
        <f t="shared" si="3"/>
        <v>8.4499959748896014</v>
      </c>
      <c r="H48" s="90">
        <f t="shared" si="3"/>
        <v>9.2000138550814228</v>
      </c>
      <c r="I48" s="90">
        <f t="shared" si="3"/>
        <v>9.6399580119879591</v>
      </c>
      <c r="J48" s="90">
        <f t="shared" si="3"/>
        <v>10.120076194139905</v>
      </c>
      <c r="K48" s="90">
        <f t="shared" si="3"/>
        <v>10.449911974841886</v>
      </c>
      <c r="L48" s="90">
        <f t="shared" si="3"/>
        <v>10.750038822315533</v>
      </c>
      <c r="M48" s="90">
        <f t="shared" si="3"/>
        <v>11.220043369018097</v>
      </c>
      <c r="N48" s="90">
        <f t="shared" si="3"/>
        <v>11.549903998109045</v>
      </c>
      <c r="O48" s="90">
        <f t="shared" si="3"/>
        <v>11.920084622803472</v>
      </c>
      <c r="P48" s="90">
        <f t="shared" si="3"/>
        <v>12.199962778771155</v>
      </c>
      <c r="Q48" s="91">
        <f t="shared" si="3"/>
        <v>12.320005339909024</v>
      </c>
    </row>
    <row r="49" spans="1:17" ht="14" thickBot="1" x14ac:dyDescent="0.2"/>
    <row r="50" spans="1:17" ht="14" thickBot="1" x14ac:dyDescent="0.2">
      <c r="A50" s="141" t="s">
        <v>20</v>
      </c>
      <c r="B50" s="143"/>
      <c r="C50" s="142"/>
      <c r="D50" s="86">
        <f t="shared" ref="D50:Q50" si="4">(D48-C4)^2</f>
        <v>6.1145995654951176E-12</v>
      </c>
      <c r="E50" s="87">
        <f t="shared" si="4"/>
        <v>1.2154128300285111E-12</v>
      </c>
      <c r="F50" s="87">
        <f t="shared" si="4"/>
        <v>1.4566167463921977E-13</v>
      </c>
      <c r="G50" s="87">
        <f t="shared" si="4"/>
        <v>1.6201513715090451E-11</v>
      </c>
      <c r="H50" s="87">
        <f t="shared" si="4"/>
        <v>1.9196328125143034E-10</v>
      </c>
      <c r="I50" s="87">
        <f t="shared" si="4"/>
        <v>1.7629931551947754E-9</v>
      </c>
      <c r="J50" s="87">
        <f t="shared" si="4"/>
        <v>5.8055469559989598E-9</v>
      </c>
      <c r="K50" s="87">
        <f t="shared" si="4"/>
        <v>7.7484284609384323E-9</v>
      </c>
      <c r="L50" s="87">
        <f t="shared" si="4"/>
        <v>1.5071721833424576E-9</v>
      </c>
      <c r="M50" s="87">
        <f t="shared" si="4"/>
        <v>1.8808717306001993E-9</v>
      </c>
      <c r="N50" s="87">
        <f t="shared" si="4"/>
        <v>9.2163630671147295E-9</v>
      </c>
      <c r="O50" s="87">
        <f t="shared" si="4"/>
        <v>7.1610188674778E-9</v>
      </c>
      <c r="P50" s="87">
        <f t="shared" si="4"/>
        <v>1.3854198766555934E-9</v>
      </c>
      <c r="Q50" s="88">
        <f t="shared" si="4"/>
        <v>2.8514628378244258E-11</v>
      </c>
    </row>
    <row r="51" spans="1:17" ht="14" thickBot="1" x14ac:dyDescent="0.2">
      <c r="A51" s="141" t="s">
        <v>19</v>
      </c>
      <c r="B51" s="143"/>
      <c r="C51" s="142"/>
      <c r="D51" s="85">
        <f>SUM(D50:Q50)</f>
        <v>3.6711969394737879E-8</v>
      </c>
    </row>
    <row r="55" spans="1:17" ht="14" thickBot="1" x14ac:dyDescent="0.2"/>
    <row r="56" spans="1:17" ht="14" thickBot="1" x14ac:dyDescent="0.2">
      <c r="A56" s="150" t="s">
        <v>28</v>
      </c>
      <c r="B56" s="151"/>
      <c r="C56" s="15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5.2444073357238545E-2</v>
      </c>
      <c r="L59" s="110">
        <f t="shared" si="8"/>
        <v>3.8284844921108931E-2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5.9347681308968905E-2</v>
      </c>
      <c r="K60" s="110">
        <f t="shared" si="7"/>
        <v>5.0131475418166996E-2</v>
      </c>
      <c r="L60" s="110">
        <f t="shared" si="8"/>
        <v>3.6956392517437597E-2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6.673293438821068E-2</v>
      </c>
      <c r="J61" s="110">
        <f t="shared" si="7"/>
        <v>5.6213713839414703E-2</v>
      </c>
      <c r="K61" s="110">
        <f t="shared" si="7"/>
        <v>4.7833189073926044E-2</v>
      </c>
      <c r="L61" s="110">
        <f t="shared" si="8"/>
        <v>3.563753799991691E-2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6.2378447030170064E-2</v>
      </c>
      <c r="I62" s="110">
        <f t="shared" si="7"/>
        <v>6.2872616981103746E-2</v>
      </c>
      <c r="J62" s="110">
        <f t="shared" si="7"/>
        <v>5.3096086053598661E-2</v>
      </c>
      <c r="K62" s="110">
        <f t="shared" si="7"/>
        <v>4.5549200622060824E-2</v>
      </c>
      <c r="L62" s="110">
        <f t="shared" si="8"/>
        <v>3.4328242957488188E-2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6.1020615992404964E-2</v>
      </c>
      <c r="H63" s="110">
        <f t="shared" si="7"/>
        <v>5.7927403875089128E-2</v>
      </c>
      <c r="I63" s="110">
        <f t="shared" si="7"/>
        <v>5.9028696803023507E-2</v>
      </c>
      <c r="J63" s="110">
        <f t="shared" si="7"/>
        <v>4.9994840694240983E-2</v>
      </c>
      <c r="K63" s="110">
        <f t="shared" si="7"/>
        <v>4.327949496478764E-2</v>
      </c>
      <c r="L63" s="110">
        <f t="shared" si="8"/>
        <v>3.3028468584894992E-2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3.5135634181923295E-2</v>
      </c>
      <c r="G64" s="110">
        <f t="shared" si="7"/>
        <v>5.6027304111252917E-2</v>
      </c>
      <c r="H64" s="110">
        <f t="shared" si="7"/>
        <v>5.3491622266931466E-2</v>
      </c>
      <c r="I64" s="110">
        <f t="shared" si="7"/>
        <v>5.5201293266382928E-2</v>
      </c>
      <c r="J64" s="110">
        <f t="shared" si="7"/>
        <v>4.6910017999468083E-2</v>
      </c>
      <c r="K64" s="110">
        <f t="shared" si="7"/>
        <v>4.1024055631766247E-2</v>
      </c>
      <c r="L64" s="110">
        <f t="shared" si="8"/>
        <v>3.1738175694045412E-2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6.880561435719211E-3</v>
      </c>
      <c r="F65" s="110">
        <f t="shared" si="7"/>
        <v>2.9738079519346261E-2</v>
      </c>
      <c r="G65" s="110">
        <f t="shared" si="7"/>
        <v>5.1047072194530023E-2</v>
      </c>
      <c r="H65" s="110">
        <f t="shared" si="7"/>
        <v>4.9071297952820461E-2</v>
      </c>
      <c r="I65" s="110">
        <f t="shared" si="7"/>
        <v>5.1390522286030582E-2</v>
      </c>
      <c r="J65" s="110">
        <f t="shared" si="7"/>
        <v>4.3841655729766248E-2</v>
      </c>
      <c r="K65" s="110">
        <f t="shared" si="7"/>
        <v>3.8782864802845686E-2</v>
      </c>
      <c r="L65" s="110">
        <f t="shared" si="8"/>
        <v>3.0457324725269488E-2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3" t="str">
        <f t="shared" si="5"/>
        <v/>
      </c>
      <c r="D66" s="110">
        <f t="shared" si="5"/>
        <v>3.6986532151432961E-3</v>
      </c>
      <c r="E66" s="110">
        <f t="shared" si="6"/>
        <v>1.1070998855491794E-3</v>
      </c>
      <c r="F66" s="110">
        <f t="shared" si="7"/>
        <v>2.4351646864582171E-2</v>
      </c>
      <c r="G66" s="110">
        <f t="shared" si="7"/>
        <v>4.6080196189133844E-2</v>
      </c>
      <c r="H66" s="110">
        <f t="shared" si="7"/>
        <v>4.4666622522836805E-2</v>
      </c>
      <c r="I66" s="110">
        <f t="shared" si="7"/>
        <v>4.7596496300023571E-2</v>
      </c>
      <c r="J66" s="110">
        <f t="shared" si="7"/>
        <v>4.0789789195222519E-2</v>
      </c>
      <c r="K66" s="110">
        <f t="shared" si="7"/>
        <v>3.6555903330776331E-2</v>
      </c>
      <c r="L66" s="110">
        <f t="shared" si="8"/>
        <v>2.9185875758471563E-2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11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110">
        <f t="shared" si="7"/>
        <v>1.8976671367420556E-2</v>
      </c>
      <c r="G67" s="110">
        <f t="shared" si="7"/>
        <v>4.1126947526226226E-2</v>
      </c>
      <c r="H67" s="110">
        <f t="shared" si="7"/>
        <v>4.0277783416474269E-2</v>
      </c>
      <c r="I67" s="110">
        <f t="shared" si="7"/>
        <v>4.3819324291215024E-2</v>
      </c>
      <c r="J67" s="110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 x14ac:dyDescent="0.15">
      <c r="A70" s="1" t="s">
        <v>22</v>
      </c>
      <c r="B70" s="11"/>
      <c r="C70" s="18">
        <v>0.11650000000000001</v>
      </c>
      <c r="D70" s="1" t="s">
        <v>30</v>
      </c>
    </row>
    <row r="71" spans="1:16" x14ac:dyDescent="0.15">
      <c r="A71" s="1" t="s">
        <v>23</v>
      </c>
      <c r="C71" s="19">
        <v>2</v>
      </c>
      <c r="D71" s="1" t="s">
        <v>26</v>
      </c>
    </row>
    <row r="72" spans="1:16" x14ac:dyDescent="0.15">
      <c r="A72" s="1" t="s">
        <v>24</v>
      </c>
      <c r="C72" s="14">
        <v>10</v>
      </c>
      <c r="D72" s="1" t="s">
        <v>27</v>
      </c>
    </row>
    <row r="73" spans="1:16" x14ac:dyDescent="0.15">
      <c r="A73" s="1" t="s">
        <v>25</v>
      </c>
      <c r="C73" s="15">
        <v>0</v>
      </c>
      <c r="D73" s="1" t="s">
        <v>31</v>
      </c>
    </row>
    <row r="74" spans="1:16" x14ac:dyDescent="0.15">
      <c r="A74" s="1" t="s">
        <v>29</v>
      </c>
      <c r="C74" s="14">
        <v>1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Homework_4</vt:lpstr>
      <vt:lpstr>ZCB+Options</vt:lpstr>
      <vt:lpstr>BondForward+Futures</vt:lpstr>
      <vt:lpstr>Caplets</vt:lpstr>
      <vt:lpstr>Swaps+Swaptions</vt:lpstr>
      <vt:lpstr>Elementary Prices</vt:lpstr>
      <vt:lpstr>BDT</vt:lpstr>
      <vt:lpstr>BDT_b=.005</vt:lpstr>
      <vt:lpstr>BDT_b=.01</vt:lpstr>
    </vt:vector>
  </TitlesOfParts>
  <Company>London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Microsoft Office User</cp:lastModifiedBy>
  <cp:lastPrinted>2004-05-18T03:27:22Z</cp:lastPrinted>
  <dcterms:created xsi:type="dcterms:W3CDTF">2000-07-13T16:13:54Z</dcterms:created>
  <dcterms:modified xsi:type="dcterms:W3CDTF">2016-04-02T23:40:52Z</dcterms:modified>
</cp:coreProperties>
</file>