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/Documents/GitHub/Jellyfish_DF/Google_images/"/>
    </mc:Choice>
  </mc:AlternateContent>
  <xr:revisionPtr revIDLastSave="0" documentId="8_{B86ED808-6D22-A540-9F05-545B147A6FFC}" xr6:coauthVersionLast="47" xr6:coauthVersionMax="47" xr10:uidLastSave="{00000000-0000-0000-0000-000000000000}"/>
  <bookViews>
    <workbookView xWindow="480" yWindow="1000" windowWidth="25040" windowHeight="14400" xr2:uid="{0E6DE00B-A2D6-B149-8DA1-63DF7421C566}"/>
  </bookViews>
  <sheets>
    <sheet name="googleimages" sheetId="1" r:id="rId1"/>
  </sheets>
  <definedNames>
    <definedName name="_xlnm._FilterDatabase" localSheetId="0" hidden="1">googleimages!$A$1:$BC$997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97" i="1" l="1"/>
  <c r="J997" i="1"/>
  <c r="I997" i="1"/>
  <c r="O996" i="1"/>
  <c r="J996" i="1"/>
  <c r="I996" i="1"/>
  <c r="O995" i="1"/>
  <c r="J995" i="1"/>
  <c r="I995" i="1"/>
  <c r="O994" i="1"/>
  <c r="J994" i="1"/>
  <c r="I994" i="1"/>
  <c r="O993" i="1"/>
  <c r="J993" i="1"/>
  <c r="I993" i="1"/>
  <c r="O992" i="1"/>
  <c r="J992" i="1"/>
  <c r="I992" i="1"/>
  <c r="O991" i="1"/>
  <c r="J991" i="1"/>
  <c r="I991" i="1"/>
  <c r="O990" i="1"/>
  <c r="J990" i="1"/>
  <c r="I990" i="1"/>
  <c r="O989" i="1"/>
  <c r="J989" i="1"/>
  <c r="I989" i="1"/>
  <c r="O988" i="1"/>
  <c r="J988" i="1"/>
  <c r="I988" i="1"/>
  <c r="O987" i="1"/>
  <c r="J987" i="1"/>
  <c r="I987" i="1"/>
  <c r="O986" i="1"/>
  <c r="J986" i="1"/>
  <c r="I986" i="1"/>
  <c r="O985" i="1"/>
  <c r="J985" i="1"/>
  <c r="I985" i="1"/>
  <c r="O984" i="1"/>
  <c r="J984" i="1"/>
  <c r="I984" i="1"/>
  <c r="O983" i="1"/>
  <c r="J983" i="1"/>
  <c r="I983" i="1"/>
  <c r="O982" i="1"/>
  <c r="J982" i="1"/>
  <c r="I982" i="1"/>
  <c r="O981" i="1"/>
  <c r="J981" i="1"/>
  <c r="I981" i="1"/>
  <c r="O980" i="1"/>
  <c r="J980" i="1"/>
  <c r="I980" i="1"/>
  <c r="O979" i="1"/>
  <c r="J979" i="1"/>
  <c r="I979" i="1"/>
  <c r="O978" i="1"/>
  <c r="J978" i="1"/>
  <c r="I978" i="1"/>
  <c r="O977" i="1"/>
  <c r="J977" i="1"/>
  <c r="I977" i="1"/>
  <c r="O976" i="1"/>
  <c r="J976" i="1"/>
  <c r="I976" i="1"/>
  <c r="O975" i="1"/>
  <c r="J975" i="1"/>
  <c r="I975" i="1"/>
  <c r="O974" i="1"/>
  <c r="J974" i="1"/>
  <c r="I974" i="1"/>
  <c r="O973" i="1"/>
  <c r="J973" i="1"/>
  <c r="I973" i="1"/>
  <c r="O972" i="1"/>
  <c r="J972" i="1"/>
  <c r="I972" i="1"/>
  <c r="O971" i="1"/>
  <c r="J971" i="1"/>
  <c r="I971" i="1"/>
  <c r="O970" i="1"/>
  <c r="J970" i="1"/>
  <c r="I970" i="1"/>
  <c r="O969" i="1"/>
  <c r="J969" i="1"/>
  <c r="I969" i="1"/>
  <c r="O968" i="1"/>
  <c r="J968" i="1"/>
  <c r="I968" i="1"/>
  <c r="O967" i="1"/>
  <c r="J967" i="1"/>
  <c r="I967" i="1"/>
  <c r="O966" i="1"/>
  <c r="J966" i="1"/>
  <c r="I966" i="1"/>
  <c r="O965" i="1"/>
  <c r="J965" i="1"/>
  <c r="I965" i="1"/>
  <c r="O964" i="1"/>
  <c r="J964" i="1"/>
  <c r="I964" i="1"/>
  <c r="O963" i="1"/>
  <c r="J963" i="1"/>
  <c r="I963" i="1"/>
  <c r="O962" i="1"/>
  <c r="J962" i="1"/>
  <c r="I962" i="1"/>
  <c r="O961" i="1"/>
  <c r="J961" i="1"/>
  <c r="I961" i="1"/>
  <c r="O960" i="1"/>
  <c r="J960" i="1"/>
  <c r="I960" i="1"/>
  <c r="O959" i="1"/>
  <c r="J959" i="1"/>
  <c r="I959" i="1"/>
  <c r="O958" i="1"/>
  <c r="J958" i="1"/>
  <c r="I958" i="1"/>
  <c r="O957" i="1"/>
  <c r="J957" i="1"/>
  <c r="I957" i="1"/>
  <c r="O956" i="1"/>
  <c r="J956" i="1"/>
  <c r="I956" i="1"/>
  <c r="O955" i="1"/>
  <c r="J955" i="1"/>
  <c r="I955" i="1"/>
  <c r="O954" i="1"/>
  <c r="J954" i="1"/>
  <c r="I954" i="1"/>
  <c r="O953" i="1"/>
  <c r="J953" i="1"/>
  <c r="I953" i="1"/>
  <c r="O952" i="1"/>
  <c r="J952" i="1"/>
  <c r="I952" i="1"/>
  <c r="J951" i="1"/>
  <c r="I951" i="1"/>
  <c r="O950" i="1"/>
  <c r="J950" i="1"/>
  <c r="I950" i="1"/>
  <c r="J949" i="1"/>
  <c r="I949" i="1"/>
  <c r="O948" i="1"/>
  <c r="J948" i="1"/>
  <c r="I948" i="1"/>
  <c r="O947" i="1"/>
  <c r="J947" i="1"/>
  <c r="I947" i="1"/>
  <c r="O946" i="1"/>
  <c r="J946" i="1"/>
  <c r="I946" i="1"/>
  <c r="O945" i="1"/>
  <c r="J945" i="1"/>
  <c r="I945" i="1"/>
  <c r="O944" i="1"/>
  <c r="J944" i="1"/>
  <c r="I944" i="1"/>
  <c r="O943" i="1"/>
  <c r="J943" i="1"/>
  <c r="I943" i="1"/>
  <c r="O942" i="1"/>
  <c r="J942" i="1"/>
  <c r="I942" i="1"/>
  <c r="O941" i="1"/>
  <c r="J941" i="1"/>
  <c r="I941" i="1"/>
  <c r="O940" i="1"/>
  <c r="J940" i="1"/>
  <c r="I940" i="1"/>
  <c r="O939" i="1"/>
  <c r="J939" i="1"/>
  <c r="I939" i="1"/>
  <c r="O938" i="1"/>
  <c r="J938" i="1"/>
  <c r="I938" i="1"/>
  <c r="O937" i="1"/>
  <c r="J937" i="1"/>
  <c r="I937" i="1"/>
  <c r="O936" i="1"/>
  <c r="J936" i="1"/>
  <c r="I936" i="1"/>
  <c r="O935" i="1"/>
  <c r="J935" i="1"/>
  <c r="I935" i="1"/>
  <c r="O934" i="1"/>
  <c r="J934" i="1"/>
  <c r="I934" i="1"/>
  <c r="O933" i="1"/>
  <c r="J933" i="1"/>
  <c r="I933" i="1"/>
  <c r="O932" i="1"/>
  <c r="J932" i="1"/>
  <c r="I932" i="1"/>
  <c r="O931" i="1"/>
  <c r="J931" i="1"/>
  <c r="I931" i="1"/>
  <c r="O930" i="1"/>
  <c r="J930" i="1"/>
  <c r="I930" i="1"/>
  <c r="O929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O923" i="1"/>
  <c r="J923" i="1"/>
  <c r="I923" i="1"/>
  <c r="O922" i="1"/>
  <c r="J922" i="1"/>
  <c r="I922" i="1"/>
  <c r="O921" i="1"/>
  <c r="J921" i="1"/>
  <c r="I921" i="1"/>
  <c r="J920" i="1"/>
  <c r="I920" i="1"/>
  <c r="J919" i="1"/>
  <c r="I919" i="1"/>
  <c r="J918" i="1"/>
  <c r="I918" i="1"/>
  <c r="J917" i="1"/>
  <c r="I917" i="1"/>
  <c r="O916" i="1"/>
  <c r="J916" i="1"/>
  <c r="I916" i="1"/>
  <c r="O915" i="1"/>
  <c r="J915" i="1"/>
  <c r="I915" i="1"/>
  <c r="J914" i="1"/>
  <c r="I914" i="1"/>
  <c r="O913" i="1"/>
  <c r="J913" i="1"/>
  <c r="I913" i="1"/>
  <c r="O912" i="1"/>
  <c r="J912" i="1"/>
  <c r="I912" i="1"/>
  <c r="O911" i="1"/>
  <c r="J911" i="1"/>
  <c r="O910" i="1"/>
  <c r="J910" i="1"/>
  <c r="I910" i="1"/>
  <c r="J909" i="1"/>
  <c r="I909" i="1"/>
  <c r="O908" i="1"/>
  <c r="J908" i="1"/>
  <c r="I908" i="1"/>
  <c r="J907" i="1"/>
  <c r="I907" i="1"/>
  <c r="O906" i="1"/>
  <c r="J906" i="1"/>
  <c r="I906" i="1"/>
  <c r="J905" i="1"/>
  <c r="I905" i="1"/>
  <c r="J904" i="1"/>
  <c r="I904" i="1"/>
  <c r="J903" i="1"/>
  <c r="I903" i="1"/>
  <c r="J902" i="1"/>
  <c r="I902" i="1"/>
  <c r="O901" i="1"/>
  <c r="J901" i="1"/>
  <c r="I901" i="1"/>
  <c r="O900" i="1"/>
  <c r="J900" i="1"/>
  <c r="I900" i="1"/>
  <c r="J899" i="1"/>
  <c r="I899" i="1"/>
  <c r="J898" i="1"/>
  <c r="I898" i="1"/>
  <c r="O897" i="1"/>
  <c r="J897" i="1"/>
  <c r="I897" i="1"/>
  <c r="O896" i="1"/>
  <c r="J896" i="1"/>
  <c r="I896" i="1"/>
  <c r="O895" i="1"/>
  <c r="J895" i="1"/>
  <c r="I895" i="1"/>
  <c r="O894" i="1"/>
  <c r="J894" i="1"/>
  <c r="I894" i="1"/>
  <c r="O893" i="1"/>
  <c r="J893" i="1"/>
  <c r="I893" i="1"/>
  <c r="J892" i="1"/>
  <c r="I892" i="1"/>
  <c r="O891" i="1"/>
  <c r="J891" i="1"/>
  <c r="I891" i="1"/>
  <c r="O890" i="1"/>
  <c r="J890" i="1"/>
  <c r="I890" i="1"/>
  <c r="J889" i="1"/>
  <c r="I889" i="1"/>
  <c r="O888" i="1"/>
  <c r="J888" i="1"/>
  <c r="I888" i="1"/>
  <c r="J887" i="1"/>
  <c r="I887" i="1"/>
  <c r="J886" i="1"/>
  <c r="I886" i="1"/>
  <c r="O885" i="1"/>
  <c r="J885" i="1"/>
  <c r="I885" i="1"/>
  <c r="O884" i="1"/>
  <c r="J884" i="1"/>
  <c r="I884" i="1"/>
  <c r="J883" i="1"/>
  <c r="I883" i="1"/>
  <c r="O882" i="1"/>
  <c r="J882" i="1"/>
  <c r="I882" i="1"/>
  <c r="O881" i="1"/>
  <c r="J881" i="1"/>
  <c r="I881" i="1"/>
  <c r="O880" i="1"/>
  <c r="J880" i="1"/>
  <c r="I880" i="1"/>
  <c r="O879" i="1"/>
  <c r="J879" i="1"/>
  <c r="I879" i="1"/>
  <c r="O878" i="1"/>
  <c r="J878" i="1"/>
  <c r="I878" i="1"/>
  <c r="O877" i="1"/>
  <c r="J877" i="1"/>
  <c r="I877" i="1"/>
  <c r="O876" i="1"/>
  <c r="J876" i="1"/>
  <c r="I876" i="1"/>
  <c r="O875" i="1"/>
  <c r="J875" i="1"/>
  <c r="I875" i="1"/>
  <c r="O874" i="1"/>
  <c r="J874" i="1"/>
  <c r="I874" i="1"/>
  <c r="O873" i="1"/>
  <c r="J873" i="1"/>
  <c r="I873" i="1"/>
  <c r="O872" i="1"/>
  <c r="J872" i="1"/>
  <c r="I872" i="1"/>
  <c r="O871" i="1"/>
  <c r="J871" i="1"/>
  <c r="I871" i="1"/>
  <c r="O870" i="1"/>
  <c r="J870" i="1"/>
  <c r="I870" i="1"/>
  <c r="O869" i="1"/>
  <c r="J869" i="1"/>
  <c r="I869" i="1"/>
  <c r="O868" i="1"/>
  <c r="J868" i="1"/>
  <c r="I868" i="1"/>
  <c r="O867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O857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O849" i="1"/>
  <c r="J849" i="1"/>
  <c r="I849" i="1"/>
  <c r="O848" i="1"/>
  <c r="J848" i="1"/>
  <c r="I848" i="1"/>
  <c r="O847" i="1"/>
  <c r="J847" i="1"/>
  <c r="I847" i="1"/>
  <c r="J846" i="1"/>
  <c r="I846" i="1"/>
  <c r="J845" i="1"/>
  <c r="I845" i="1"/>
  <c r="O844" i="1"/>
  <c r="J844" i="1"/>
  <c r="I844" i="1"/>
  <c r="O843" i="1"/>
  <c r="J843" i="1"/>
  <c r="I843" i="1"/>
  <c r="O842" i="1"/>
  <c r="J842" i="1"/>
  <c r="I842" i="1"/>
  <c r="O841" i="1"/>
  <c r="J841" i="1"/>
  <c r="I841" i="1"/>
  <c r="O840" i="1"/>
  <c r="J840" i="1"/>
  <c r="I840" i="1"/>
  <c r="O839" i="1"/>
  <c r="J839" i="1"/>
  <c r="I839" i="1"/>
  <c r="O838" i="1"/>
  <c r="J838" i="1"/>
  <c r="I838" i="1"/>
  <c r="O837" i="1"/>
  <c r="J837" i="1"/>
  <c r="I837" i="1"/>
  <c r="O836" i="1"/>
  <c r="J836" i="1"/>
  <c r="I836" i="1"/>
  <c r="O835" i="1"/>
  <c r="J835" i="1"/>
  <c r="I835" i="1"/>
  <c r="O834" i="1"/>
  <c r="J834" i="1"/>
  <c r="I834" i="1"/>
  <c r="O833" i="1"/>
  <c r="J833" i="1"/>
  <c r="I833" i="1"/>
  <c r="O832" i="1"/>
  <c r="J832" i="1"/>
  <c r="I832" i="1"/>
  <c r="O831" i="1"/>
  <c r="J831" i="1"/>
  <c r="I831" i="1"/>
  <c r="O830" i="1"/>
  <c r="J830" i="1"/>
  <c r="I830" i="1"/>
  <c r="O829" i="1"/>
  <c r="J829" i="1"/>
  <c r="I829" i="1"/>
  <c r="O828" i="1"/>
  <c r="J828" i="1"/>
  <c r="I828" i="1"/>
  <c r="O827" i="1"/>
  <c r="J827" i="1"/>
  <c r="I827" i="1"/>
  <c r="O826" i="1"/>
  <c r="J826" i="1"/>
  <c r="I826" i="1"/>
  <c r="O825" i="1"/>
  <c r="J825" i="1"/>
  <c r="I825" i="1"/>
  <c r="O824" i="1"/>
  <c r="J824" i="1"/>
  <c r="I824" i="1"/>
  <c r="O823" i="1"/>
  <c r="J823" i="1"/>
  <c r="I823" i="1"/>
  <c r="O822" i="1"/>
  <c r="J822" i="1"/>
  <c r="I822" i="1"/>
  <c r="O821" i="1"/>
  <c r="J821" i="1"/>
  <c r="I821" i="1"/>
  <c r="O820" i="1"/>
  <c r="J820" i="1"/>
  <c r="I820" i="1"/>
  <c r="O819" i="1"/>
  <c r="J819" i="1"/>
  <c r="I819" i="1"/>
  <c r="O818" i="1"/>
  <c r="J818" i="1"/>
  <c r="I818" i="1"/>
  <c r="O817" i="1"/>
  <c r="J817" i="1"/>
  <c r="I817" i="1"/>
  <c r="O816" i="1"/>
  <c r="J816" i="1"/>
  <c r="I816" i="1"/>
  <c r="O815" i="1"/>
  <c r="J815" i="1"/>
  <c r="I815" i="1"/>
  <c r="O814" i="1"/>
  <c r="J814" i="1"/>
  <c r="I814" i="1"/>
  <c r="O813" i="1"/>
  <c r="J813" i="1"/>
  <c r="I813" i="1"/>
  <c r="O812" i="1"/>
  <c r="J812" i="1"/>
  <c r="I812" i="1"/>
  <c r="O811" i="1"/>
  <c r="J811" i="1"/>
  <c r="I811" i="1"/>
  <c r="O810" i="1"/>
  <c r="J810" i="1"/>
  <c r="I810" i="1"/>
  <c r="O809" i="1"/>
  <c r="J809" i="1"/>
  <c r="I809" i="1"/>
  <c r="O808" i="1"/>
  <c r="J808" i="1"/>
  <c r="I808" i="1"/>
  <c r="O807" i="1"/>
  <c r="J807" i="1"/>
  <c r="I807" i="1"/>
  <c r="O806" i="1"/>
  <c r="J806" i="1"/>
  <c r="I806" i="1"/>
  <c r="O805" i="1"/>
  <c r="J805" i="1"/>
  <c r="I805" i="1"/>
  <c r="O804" i="1"/>
  <c r="J804" i="1"/>
  <c r="I804" i="1"/>
  <c r="O803" i="1"/>
  <c r="J803" i="1"/>
  <c r="I803" i="1"/>
  <c r="O802" i="1"/>
  <c r="J802" i="1"/>
  <c r="I802" i="1"/>
  <c r="O801" i="1"/>
  <c r="J801" i="1"/>
  <c r="I801" i="1"/>
  <c r="O800" i="1"/>
  <c r="J800" i="1"/>
  <c r="I800" i="1"/>
  <c r="O799" i="1"/>
  <c r="J799" i="1"/>
  <c r="I799" i="1"/>
  <c r="O798" i="1"/>
  <c r="J798" i="1"/>
  <c r="I798" i="1"/>
  <c r="O797" i="1"/>
  <c r="J797" i="1"/>
  <c r="I797" i="1"/>
  <c r="O796" i="1"/>
  <c r="J796" i="1"/>
  <c r="I796" i="1"/>
  <c r="O795" i="1"/>
  <c r="J795" i="1"/>
  <c r="I795" i="1"/>
  <c r="O794" i="1"/>
  <c r="J794" i="1"/>
  <c r="I794" i="1"/>
  <c r="O793" i="1"/>
  <c r="J793" i="1"/>
  <c r="I793" i="1"/>
  <c r="O792" i="1"/>
  <c r="J792" i="1"/>
  <c r="I792" i="1"/>
  <c r="O791" i="1"/>
  <c r="J791" i="1"/>
  <c r="I791" i="1"/>
  <c r="O790" i="1"/>
  <c r="J790" i="1"/>
  <c r="I790" i="1"/>
  <c r="O789" i="1"/>
  <c r="J789" i="1"/>
  <c r="I789" i="1"/>
  <c r="O788" i="1"/>
  <c r="J788" i="1"/>
  <c r="I788" i="1"/>
  <c r="O787" i="1"/>
  <c r="J787" i="1"/>
  <c r="I787" i="1"/>
  <c r="O786" i="1"/>
  <c r="J786" i="1"/>
  <c r="I786" i="1"/>
  <c r="O785" i="1"/>
  <c r="J785" i="1"/>
  <c r="I785" i="1"/>
  <c r="O784" i="1"/>
  <c r="J784" i="1"/>
  <c r="I784" i="1"/>
  <c r="O783" i="1"/>
  <c r="J783" i="1"/>
  <c r="I783" i="1"/>
  <c r="O782" i="1"/>
  <c r="J782" i="1"/>
  <c r="I782" i="1"/>
  <c r="O781" i="1"/>
  <c r="J781" i="1"/>
  <c r="I781" i="1"/>
  <c r="O780" i="1"/>
  <c r="J780" i="1"/>
  <c r="I780" i="1"/>
  <c r="O779" i="1"/>
  <c r="J779" i="1"/>
  <c r="I779" i="1"/>
  <c r="O778" i="1"/>
  <c r="J778" i="1"/>
  <c r="I778" i="1"/>
  <c r="O777" i="1"/>
  <c r="J777" i="1"/>
  <c r="I777" i="1"/>
  <c r="O776" i="1"/>
  <c r="J776" i="1"/>
  <c r="I776" i="1"/>
  <c r="O775" i="1"/>
  <c r="J775" i="1"/>
  <c r="I775" i="1"/>
  <c r="O774" i="1"/>
  <c r="J774" i="1"/>
  <c r="I774" i="1"/>
  <c r="O773" i="1"/>
  <c r="J773" i="1"/>
  <c r="I773" i="1"/>
  <c r="O772" i="1"/>
  <c r="J772" i="1"/>
  <c r="I772" i="1"/>
  <c r="O771" i="1"/>
  <c r="J771" i="1"/>
  <c r="I771" i="1"/>
  <c r="O770" i="1"/>
  <c r="J770" i="1"/>
  <c r="I770" i="1"/>
  <c r="O769" i="1"/>
  <c r="J769" i="1"/>
  <c r="I769" i="1"/>
  <c r="O768" i="1"/>
  <c r="J768" i="1"/>
  <c r="I768" i="1"/>
  <c r="O767" i="1"/>
  <c r="J767" i="1"/>
  <c r="I767" i="1"/>
  <c r="J766" i="1"/>
  <c r="I766" i="1"/>
  <c r="O765" i="1"/>
  <c r="J765" i="1"/>
  <c r="I765" i="1"/>
  <c r="O764" i="1"/>
  <c r="J764" i="1"/>
  <c r="I764" i="1"/>
  <c r="O763" i="1"/>
  <c r="J763" i="1"/>
  <c r="I763" i="1"/>
  <c r="O762" i="1"/>
  <c r="J762" i="1"/>
  <c r="I762" i="1"/>
  <c r="O761" i="1"/>
  <c r="J761" i="1"/>
  <c r="I761" i="1"/>
  <c r="O760" i="1"/>
  <c r="J760" i="1"/>
  <c r="I760" i="1"/>
  <c r="O759" i="1"/>
  <c r="J759" i="1"/>
  <c r="I759" i="1"/>
  <c r="J758" i="1"/>
  <c r="I758" i="1"/>
  <c r="J757" i="1"/>
  <c r="I757" i="1"/>
  <c r="O756" i="1"/>
  <c r="J756" i="1"/>
  <c r="I756" i="1"/>
  <c r="O755" i="1"/>
  <c r="J755" i="1"/>
  <c r="I755" i="1"/>
  <c r="O754" i="1"/>
  <c r="J754" i="1"/>
  <c r="I754" i="1"/>
  <c r="O753" i="1"/>
  <c r="J753" i="1"/>
  <c r="I753" i="1"/>
  <c r="O752" i="1"/>
  <c r="J752" i="1"/>
  <c r="I752" i="1"/>
  <c r="O751" i="1"/>
  <c r="J751" i="1"/>
  <c r="I751" i="1"/>
  <c r="O750" i="1"/>
  <c r="J750" i="1"/>
  <c r="I750" i="1"/>
  <c r="O749" i="1"/>
  <c r="J749" i="1"/>
  <c r="I749" i="1"/>
  <c r="O748" i="1"/>
  <c r="J748" i="1"/>
  <c r="I748" i="1"/>
  <c r="O747" i="1"/>
  <c r="J747" i="1"/>
  <c r="I747" i="1"/>
  <c r="O746" i="1"/>
  <c r="J746" i="1"/>
  <c r="I746" i="1"/>
  <c r="O745" i="1"/>
  <c r="J745" i="1"/>
  <c r="I745" i="1"/>
  <c r="O744" i="1"/>
  <c r="J744" i="1"/>
  <c r="I744" i="1"/>
  <c r="O743" i="1"/>
  <c r="J743" i="1"/>
  <c r="I743" i="1"/>
  <c r="O742" i="1"/>
  <c r="J742" i="1"/>
  <c r="I742" i="1"/>
  <c r="O741" i="1"/>
  <c r="J741" i="1"/>
  <c r="I741" i="1"/>
  <c r="O740" i="1"/>
  <c r="J740" i="1"/>
  <c r="I740" i="1"/>
  <c r="O739" i="1"/>
  <c r="J739" i="1"/>
  <c r="I739" i="1"/>
  <c r="J738" i="1"/>
  <c r="I738" i="1"/>
  <c r="O737" i="1"/>
  <c r="J737" i="1"/>
  <c r="I737" i="1"/>
  <c r="O736" i="1"/>
  <c r="J736" i="1"/>
  <c r="I736" i="1"/>
  <c r="O735" i="1"/>
  <c r="J735" i="1"/>
  <c r="I735" i="1"/>
  <c r="O734" i="1"/>
  <c r="J734" i="1"/>
  <c r="I734" i="1"/>
  <c r="O733" i="1"/>
  <c r="J733" i="1"/>
  <c r="I733" i="1"/>
  <c r="O732" i="1"/>
  <c r="J732" i="1"/>
  <c r="I732" i="1"/>
  <c r="O731" i="1"/>
  <c r="J731" i="1"/>
  <c r="I731" i="1"/>
  <c r="O730" i="1"/>
  <c r="J730" i="1"/>
  <c r="I730" i="1"/>
  <c r="O729" i="1"/>
  <c r="J729" i="1"/>
  <c r="I729" i="1"/>
  <c r="O728" i="1"/>
  <c r="J728" i="1"/>
  <c r="I728" i="1"/>
  <c r="O727" i="1"/>
  <c r="J727" i="1"/>
  <c r="I727" i="1"/>
  <c r="O726" i="1"/>
  <c r="J726" i="1"/>
  <c r="I726" i="1"/>
  <c r="O725" i="1"/>
  <c r="J725" i="1"/>
  <c r="I725" i="1"/>
  <c r="O724" i="1"/>
  <c r="J724" i="1"/>
  <c r="I724" i="1"/>
  <c r="J723" i="1"/>
  <c r="I723" i="1"/>
  <c r="O722" i="1"/>
  <c r="J722" i="1"/>
  <c r="I722" i="1"/>
  <c r="J721" i="1"/>
  <c r="I721" i="1"/>
  <c r="O720" i="1"/>
  <c r="J720" i="1"/>
  <c r="I720" i="1"/>
  <c r="J719" i="1"/>
  <c r="I719" i="1"/>
  <c r="O718" i="1"/>
  <c r="J718" i="1"/>
  <c r="I718" i="1"/>
  <c r="O717" i="1"/>
  <c r="J717" i="1"/>
  <c r="I717" i="1"/>
  <c r="O716" i="1"/>
  <c r="J716" i="1"/>
  <c r="I716" i="1"/>
  <c r="O715" i="1"/>
  <c r="J715" i="1"/>
  <c r="I715" i="1"/>
  <c r="O714" i="1"/>
  <c r="J714" i="1"/>
  <c r="I714" i="1"/>
  <c r="O713" i="1"/>
  <c r="J713" i="1"/>
  <c r="I713" i="1"/>
  <c r="J712" i="1"/>
  <c r="I712" i="1"/>
  <c r="O711" i="1"/>
  <c r="J711" i="1"/>
  <c r="I711" i="1"/>
  <c r="O710" i="1"/>
  <c r="J710" i="1"/>
  <c r="I710" i="1"/>
  <c r="O709" i="1"/>
  <c r="J709" i="1"/>
  <c r="I709" i="1"/>
  <c r="O708" i="1"/>
  <c r="J708" i="1"/>
  <c r="I708" i="1"/>
  <c r="O707" i="1"/>
  <c r="J707" i="1"/>
  <c r="I707" i="1"/>
  <c r="O706" i="1"/>
  <c r="J706" i="1"/>
  <c r="I706" i="1"/>
  <c r="O705" i="1"/>
  <c r="J705" i="1"/>
  <c r="I705" i="1"/>
  <c r="O704" i="1"/>
  <c r="J704" i="1"/>
  <c r="I704" i="1"/>
  <c r="O703" i="1"/>
  <c r="J703" i="1"/>
  <c r="I703" i="1"/>
  <c r="O702" i="1"/>
  <c r="J702" i="1"/>
  <c r="I702" i="1"/>
  <c r="O701" i="1"/>
  <c r="J701" i="1"/>
  <c r="I701" i="1"/>
  <c r="O700" i="1"/>
  <c r="J700" i="1"/>
  <c r="I700" i="1"/>
  <c r="O699" i="1"/>
  <c r="J699" i="1"/>
  <c r="I699" i="1"/>
  <c r="O698" i="1"/>
  <c r="J698" i="1"/>
  <c r="I698" i="1"/>
  <c r="O697" i="1"/>
  <c r="J697" i="1"/>
  <c r="I697" i="1"/>
  <c r="O696" i="1"/>
  <c r="J696" i="1"/>
  <c r="I696" i="1"/>
  <c r="J695" i="1"/>
  <c r="I695" i="1"/>
  <c r="J694" i="1"/>
  <c r="I694" i="1"/>
  <c r="J693" i="1"/>
  <c r="I693" i="1"/>
  <c r="O692" i="1"/>
  <c r="J692" i="1"/>
  <c r="I692" i="1"/>
  <c r="O691" i="1"/>
  <c r="J691" i="1"/>
  <c r="I691" i="1"/>
  <c r="O690" i="1"/>
  <c r="J690" i="1"/>
  <c r="I690" i="1"/>
  <c r="O689" i="1"/>
  <c r="J689" i="1"/>
  <c r="I689" i="1"/>
  <c r="O688" i="1"/>
  <c r="J688" i="1"/>
  <c r="I688" i="1"/>
  <c r="O687" i="1"/>
  <c r="J687" i="1"/>
  <c r="I687" i="1"/>
  <c r="O686" i="1"/>
  <c r="J686" i="1"/>
  <c r="I686" i="1"/>
  <c r="O685" i="1"/>
  <c r="J685" i="1"/>
  <c r="I685" i="1"/>
  <c r="O684" i="1"/>
  <c r="J684" i="1"/>
  <c r="I684" i="1"/>
  <c r="O683" i="1"/>
  <c r="J683" i="1"/>
  <c r="I683" i="1"/>
  <c r="J682" i="1"/>
  <c r="I682" i="1"/>
  <c r="J681" i="1"/>
  <c r="I681" i="1"/>
  <c r="O680" i="1"/>
  <c r="J680" i="1"/>
  <c r="I680" i="1"/>
  <c r="O679" i="1"/>
  <c r="J679" i="1"/>
  <c r="I679" i="1"/>
  <c r="O678" i="1"/>
  <c r="J678" i="1"/>
  <c r="I678" i="1"/>
  <c r="O677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S449" i="1"/>
  <c r="J449" i="1"/>
  <c r="I449" i="1"/>
  <c r="J448" i="1"/>
  <c r="I448" i="1"/>
  <c r="J447" i="1"/>
  <c r="I447" i="1"/>
  <c r="J446" i="1"/>
  <c r="I446" i="1"/>
  <c r="S445" i="1"/>
  <c r="J445" i="1"/>
  <c r="I445" i="1"/>
  <c r="J444" i="1"/>
  <c r="I444" i="1"/>
  <c r="J443" i="1"/>
  <c r="I443" i="1"/>
  <c r="J442" i="1"/>
  <c r="I442" i="1"/>
  <c r="S441" i="1"/>
  <c r="J441" i="1"/>
  <c r="I441" i="1"/>
  <c r="J440" i="1"/>
  <c r="I440" i="1"/>
  <c r="J439" i="1"/>
  <c r="I439" i="1"/>
  <c r="J438" i="1"/>
  <c r="I438" i="1"/>
  <c r="S437" i="1"/>
  <c r="J437" i="1"/>
  <c r="I437" i="1"/>
  <c r="J436" i="1"/>
  <c r="I436" i="1"/>
  <c r="J435" i="1"/>
  <c r="I435" i="1"/>
  <c r="J434" i="1"/>
  <c r="I434" i="1"/>
  <c r="S433" i="1"/>
  <c r="J433" i="1"/>
  <c r="I433" i="1"/>
  <c r="J432" i="1"/>
  <c r="I432" i="1"/>
  <c r="J431" i="1"/>
  <c r="I431" i="1"/>
  <c r="J430" i="1"/>
  <c r="I430" i="1"/>
  <c r="S429" i="1"/>
  <c r="J429" i="1"/>
  <c r="I429" i="1"/>
  <c r="J428" i="1"/>
  <c r="I428" i="1"/>
  <c r="J427" i="1"/>
  <c r="I427" i="1"/>
  <c r="J426" i="1"/>
  <c r="I426" i="1"/>
  <c r="S425" i="1"/>
  <c r="J425" i="1"/>
  <c r="I425" i="1"/>
  <c r="J424" i="1"/>
  <c r="I424" i="1"/>
  <c r="J423" i="1"/>
  <c r="I423" i="1"/>
  <c r="J422" i="1"/>
  <c r="I422" i="1"/>
  <c r="S421" i="1"/>
  <c r="J421" i="1"/>
  <c r="I421" i="1"/>
  <c r="J420" i="1"/>
  <c r="I420" i="1"/>
  <c r="J419" i="1"/>
  <c r="I419" i="1"/>
  <c r="J418" i="1"/>
  <c r="I418" i="1"/>
  <c r="S417" i="1"/>
  <c r="J417" i="1"/>
  <c r="I417" i="1"/>
  <c r="J416" i="1"/>
  <c r="I416" i="1"/>
  <c r="J415" i="1"/>
  <c r="I415" i="1"/>
  <c r="J414" i="1"/>
  <c r="I414" i="1"/>
  <c r="S413" i="1"/>
  <c r="J413" i="1"/>
  <c r="I413" i="1"/>
  <c r="J412" i="1"/>
  <c r="I412" i="1"/>
  <c r="J411" i="1"/>
  <c r="I411" i="1"/>
  <c r="S410" i="1"/>
  <c r="J410" i="1"/>
  <c r="I410" i="1"/>
  <c r="S409" i="1"/>
  <c r="J409" i="1"/>
  <c r="I409" i="1"/>
  <c r="S408" i="1"/>
  <c r="J408" i="1"/>
  <c r="I408" i="1"/>
  <c r="S407" i="1"/>
  <c r="J407" i="1"/>
  <c r="I407" i="1"/>
  <c r="J406" i="1"/>
  <c r="I406" i="1"/>
  <c r="S405" i="1"/>
  <c r="J405" i="1"/>
  <c r="I405" i="1"/>
  <c r="J404" i="1"/>
  <c r="I404" i="1"/>
  <c r="S403" i="1"/>
  <c r="J403" i="1"/>
  <c r="I403" i="1"/>
  <c r="S402" i="1"/>
  <c r="J402" i="1"/>
  <c r="I402" i="1"/>
  <c r="S401" i="1"/>
  <c r="J401" i="1"/>
  <c r="I401" i="1"/>
  <c r="J400" i="1"/>
  <c r="I400" i="1"/>
  <c r="J399" i="1"/>
  <c r="I399" i="1"/>
  <c r="J398" i="1"/>
  <c r="I398" i="1"/>
  <c r="S397" i="1"/>
  <c r="J397" i="1"/>
  <c r="I397" i="1"/>
  <c r="J396" i="1"/>
  <c r="I396" i="1"/>
  <c r="S395" i="1"/>
  <c r="J395" i="1"/>
  <c r="I395" i="1"/>
  <c r="J394" i="1"/>
  <c r="I394" i="1"/>
  <c r="S393" i="1"/>
  <c r="J393" i="1"/>
  <c r="I393" i="1"/>
  <c r="J392" i="1"/>
  <c r="I392" i="1"/>
  <c r="J391" i="1"/>
  <c r="I391" i="1"/>
  <c r="J390" i="1"/>
  <c r="I390" i="1"/>
  <c r="S389" i="1"/>
  <c r="J389" i="1"/>
  <c r="I389" i="1"/>
  <c r="J388" i="1"/>
  <c r="I388" i="1"/>
  <c r="J387" i="1"/>
  <c r="I387" i="1"/>
  <c r="J386" i="1"/>
  <c r="I386" i="1"/>
  <c r="S385" i="1"/>
  <c r="J385" i="1"/>
  <c r="I385" i="1"/>
  <c r="S384" i="1"/>
  <c r="J384" i="1"/>
  <c r="I384" i="1"/>
  <c r="J383" i="1"/>
  <c r="I383" i="1"/>
  <c r="J382" i="1"/>
  <c r="I382" i="1"/>
  <c r="S381" i="1"/>
  <c r="J381" i="1"/>
  <c r="I381" i="1"/>
  <c r="S380" i="1"/>
  <c r="J380" i="1"/>
  <c r="I380" i="1"/>
  <c r="J379" i="1"/>
  <c r="I379" i="1"/>
  <c r="J378" i="1"/>
  <c r="I378" i="1"/>
  <c r="S377" i="1"/>
  <c r="J377" i="1"/>
  <c r="I377" i="1"/>
  <c r="J376" i="1"/>
  <c r="I376" i="1"/>
  <c r="S375" i="1"/>
  <c r="J375" i="1"/>
  <c r="I375" i="1"/>
  <c r="S374" i="1"/>
  <c r="J374" i="1"/>
  <c r="I374" i="1"/>
  <c r="S373" i="1"/>
  <c r="J373" i="1"/>
  <c r="I373" i="1"/>
  <c r="J372" i="1"/>
  <c r="I372" i="1"/>
  <c r="J371" i="1"/>
  <c r="I371" i="1"/>
  <c r="J370" i="1"/>
  <c r="I370" i="1"/>
  <c r="S369" i="1"/>
  <c r="J369" i="1"/>
  <c r="I369" i="1"/>
  <c r="S368" i="1"/>
  <c r="J368" i="1"/>
  <c r="I368" i="1"/>
  <c r="S367" i="1"/>
  <c r="J367" i="1"/>
  <c r="I367" i="1"/>
  <c r="S366" i="1"/>
  <c r="J366" i="1"/>
  <c r="I366" i="1"/>
  <c r="S365" i="1"/>
  <c r="J365" i="1"/>
  <c r="I365" i="1"/>
  <c r="S364" i="1"/>
  <c r="J364" i="1"/>
  <c r="I364" i="1"/>
  <c r="J363" i="1"/>
  <c r="I363" i="1"/>
  <c r="J362" i="1"/>
  <c r="I362" i="1"/>
  <c r="S361" i="1"/>
  <c r="J361" i="1"/>
  <c r="I361" i="1"/>
  <c r="S360" i="1"/>
  <c r="J360" i="1"/>
  <c r="I360" i="1"/>
  <c r="S359" i="1"/>
  <c r="J359" i="1"/>
  <c r="I359" i="1"/>
  <c r="S358" i="1"/>
  <c r="J358" i="1"/>
  <c r="I358" i="1"/>
  <c r="S357" i="1"/>
  <c r="J357" i="1"/>
  <c r="I357" i="1"/>
  <c r="S356" i="1"/>
  <c r="J356" i="1"/>
  <c r="I356" i="1"/>
  <c r="S355" i="1"/>
  <c r="J355" i="1"/>
  <c r="I355" i="1"/>
  <c r="S354" i="1"/>
  <c r="J354" i="1"/>
  <c r="I354" i="1"/>
  <c r="S353" i="1"/>
  <c r="J353" i="1"/>
  <c r="I353" i="1"/>
  <c r="S352" i="1"/>
  <c r="J352" i="1"/>
  <c r="I352" i="1"/>
  <c r="S351" i="1"/>
  <c r="J351" i="1"/>
  <c r="I351" i="1"/>
  <c r="S350" i="1"/>
  <c r="J350" i="1"/>
  <c r="I350" i="1"/>
  <c r="S349" i="1"/>
  <c r="J349" i="1"/>
  <c r="I349" i="1"/>
  <c r="S348" i="1"/>
  <c r="J348" i="1"/>
  <c r="I348" i="1"/>
  <c r="S347" i="1"/>
  <c r="J347" i="1"/>
  <c r="I347" i="1"/>
  <c r="S346" i="1"/>
  <c r="J346" i="1"/>
  <c r="I346" i="1"/>
  <c r="S345" i="1"/>
  <c r="J345" i="1"/>
  <c r="I345" i="1"/>
  <c r="S344" i="1"/>
  <c r="J344" i="1"/>
  <c r="I344" i="1"/>
  <c r="S343" i="1"/>
  <c r="J343" i="1"/>
  <c r="I343" i="1"/>
  <c r="S342" i="1"/>
  <c r="J342" i="1"/>
  <c r="I342" i="1"/>
  <c r="S341" i="1"/>
  <c r="J341" i="1"/>
  <c r="I341" i="1"/>
  <c r="S340" i="1"/>
  <c r="J340" i="1"/>
  <c r="I340" i="1"/>
  <c r="S339" i="1"/>
  <c r="J339" i="1"/>
  <c r="I339" i="1"/>
  <c r="S338" i="1"/>
  <c r="J338" i="1"/>
  <c r="I338" i="1"/>
  <c r="S337" i="1"/>
  <c r="J337" i="1"/>
  <c r="I337" i="1"/>
  <c r="S336" i="1"/>
  <c r="J336" i="1"/>
  <c r="I336" i="1"/>
  <c r="S335" i="1"/>
  <c r="J335" i="1"/>
  <c r="I335" i="1"/>
  <c r="S334" i="1"/>
  <c r="J334" i="1"/>
  <c r="I334" i="1"/>
  <c r="S333" i="1"/>
  <c r="J333" i="1"/>
  <c r="I333" i="1"/>
  <c r="S332" i="1"/>
  <c r="J332" i="1"/>
  <c r="I332" i="1"/>
  <c r="S331" i="1"/>
  <c r="J331" i="1"/>
  <c r="I331" i="1"/>
  <c r="S330" i="1"/>
  <c r="J330" i="1"/>
  <c r="I330" i="1"/>
  <c r="S329" i="1"/>
  <c r="J329" i="1"/>
  <c r="I329" i="1"/>
  <c r="S328" i="1"/>
  <c r="J328" i="1"/>
  <c r="I328" i="1"/>
  <c r="S327" i="1"/>
  <c r="J327" i="1"/>
  <c r="I327" i="1"/>
  <c r="S326" i="1"/>
  <c r="J326" i="1"/>
  <c r="I326" i="1"/>
  <c r="S325" i="1"/>
  <c r="J325" i="1"/>
  <c r="I325" i="1"/>
  <c r="S324" i="1"/>
  <c r="J324" i="1"/>
  <c r="I324" i="1"/>
  <c r="S323" i="1"/>
  <c r="J323" i="1"/>
  <c r="I323" i="1"/>
  <c r="S322" i="1"/>
  <c r="J322" i="1"/>
  <c r="I322" i="1"/>
  <c r="S321" i="1"/>
  <c r="J321" i="1"/>
  <c r="I321" i="1"/>
  <c r="S320" i="1"/>
  <c r="J320" i="1"/>
  <c r="I320" i="1"/>
  <c r="S319" i="1"/>
  <c r="J319" i="1"/>
  <c r="I319" i="1"/>
  <c r="S318" i="1"/>
  <c r="J318" i="1"/>
  <c r="I318" i="1"/>
  <c r="S317" i="1"/>
  <c r="J317" i="1"/>
  <c r="I317" i="1"/>
  <c r="S316" i="1"/>
  <c r="J316" i="1"/>
  <c r="I316" i="1"/>
  <c r="S315" i="1"/>
  <c r="J315" i="1"/>
  <c r="I315" i="1"/>
  <c r="S314" i="1"/>
  <c r="J314" i="1"/>
  <c r="I314" i="1"/>
  <c r="S313" i="1"/>
  <c r="J313" i="1"/>
  <c r="I313" i="1"/>
  <c r="S312" i="1"/>
  <c r="J312" i="1"/>
  <c r="I312" i="1"/>
  <c r="S311" i="1"/>
  <c r="J311" i="1"/>
  <c r="I311" i="1"/>
  <c r="S310" i="1"/>
  <c r="R310" i="1"/>
  <c r="J310" i="1"/>
  <c r="I310" i="1"/>
  <c r="S309" i="1"/>
  <c r="R309" i="1"/>
  <c r="J309" i="1"/>
  <c r="I309" i="1"/>
  <c r="S308" i="1"/>
  <c r="R308" i="1"/>
  <c r="J308" i="1"/>
  <c r="I308" i="1"/>
  <c r="S307" i="1"/>
  <c r="R307" i="1"/>
  <c r="J307" i="1"/>
  <c r="I307" i="1"/>
  <c r="S306" i="1"/>
  <c r="R306" i="1"/>
  <c r="J306" i="1"/>
  <c r="I306" i="1"/>
  <c r="S305" i="1"/>
  <c r="R305" i="1"/>
  <c r="J305" i="1"/>
  <c r="I305" i="1"/>
  <c r="S304" i="1"/>
  <c r="R304" i="1"/>
  <c r="J304" i="1"/>
  <c r="I304" i="1"/>
  <c r="S303" i="1"/>
  <c r="R303" i="1"/>
  <c r="J303" i="1"/>
  <c r="I303" i="1"/>
  <c r="S302" i="1"/>
  <c r="R302" i="1"/>
  <c r="J302" i="1"/>
  <c r="I302" i="1"/>
  <c r="S301" i="1"/>
  <c r="R301" i="1"/>
  <c r="J301" i="1"/>
  <c r="I301" i="1"/>
  <c r="S300" i="1"/>
  <c r="R300" i="1"/>
  <c r="J300" i="1"/>
  <c r="I300" i="1"/>
  <c r="S299" i="1"/>
  <c r="R299" i="1"/>
  <c r="J299" i="1"/>
  <c r="I299" i="1"/>
  <c r="S298" i="1"/>
  <c r="R298" i="1"/>
  <c r="J298" i="1"/>
  <c r="I298" i="1"/>
  <c r="S297" i="1"/>
  <c r="R297" i="1"/>
  <c r="J297" i="1"/>
  <c r="I297" i="1"/>
  <c r="S296" i="1"/>
  <c r="R296" i="1"/>
  <c r="J296" i="1"/>
  <c r="I296" i="1"/>
  <c r="S295" i="1"/>
  <c r="R295" i="1"/>
  <c r="J295" i="1"/>
  <c r="I295" i="1"/>
  <c r="S294" i="1"/>
  <c r="R294" i="1"/>
  <c r="J294" i="1"/>
  <c r="I294" i="1"/>
  <c r="S293" i="1"/>
  <c r="R293" i="1"/>
  <c r="J293" i="1"/>
  <c r="I293" i="1"/>
  <c r="S292" i="1"/>
  <c r="R292" i="1"/>
  <c r="J292" i="1"/>
  <c r="I292" i="1"/>
  <c r="S291" i="1"/>
  <c r="R291" i="1"/>
  <c r="J291" i="1"/>
  <c r="I291" i="1"/>
  <c r="S290" i="1"/>
  <c r="R290" i="1"/>
  <c r="J290" i="1"/>
  <c r="I290" i="1"/>
  <c r="S289" i="1"/>
  <c r="R289" i="1"/>
  <c r="J289" i="1"/>
  <c r="I289" i="1"/>
  <c r="S288" i="1"/>
  <c r="R288" i="1"/>
  <c r="J288" i="1"/>
  <c r="I288" i="1"/>
  <c r="S287" i="1"/>
  <c r="R287" i="1"/>
  <c r="J287" i="1"/>
  <c r="I287" i="1"/>
  <c r="S286" i="1"/>
  <c r="R286" i="1"/>
  <c r="J286" i="1"/>
  <c r="I286" i="1"/>
  <c r="S285" i="1"/>
  <c r="R285" i="1"/>
  <c r="J285" i="1"/>
  <c r="I285" i="1"/>
  <c r="S284" i="1"/>
  <c r="R284" i="1"/>
  <c r="J284" i="1"/>
  <c r="I284" i="1"/>
  <c r="S283" i="1"/>
  <c r="R283" i="1"/>
  <c r="J283" i="1"/>
  <c r="I283" i="1"/>
  <c r="S282" i="1"/>
  <c r="R282" i="1"/>
  <c r="J282" i="1"/>
  <c r="I282" i="1"/>
  <c r="S281" i="1"/>
  <c r="R281" i="1"/>
  <c r="J281" i="1"/>
  <c r="I281" i="1"/>
  <c r="S280" i="1"/>
  <c r="R280" i="1"/>
  <c r="J280" i="1"/>
  <c r="I280" i="1"/>
  <c r="S279" i="1"/>
  <c r="R279" i="1"/>
  <c r="J279" i="1"/>
  <c r="I279" i="1"/>
  <c r="S278" i="1"/>
  <c r="R278" i="1"/>
  <c r="J278" i="1"/>
  <c r="I278" i="1"/>
  <c r="S277" i="1"/>
  <c r="R277" i="1"/>
  <c r="J277" i="1"/>
  <c r="I277" i="1"/>
  <c r="S276" i="1"/>
  <c r="R276" i="1"/>
  <c r="J276" i="1"/>
  <c r="I276" i="1"/>
  <c r="S275" i="1"/>
  <c r="R275" i="1"/>
  <c r="J275" i="1"/>
  <c r="I275" i="1"/>
  <c r="S274" i="1"/>
  <c r="R274" i="1"/>
  <c r="J274" i="1"/>
  <c r="I274" i="1"/>
  <c r="S273" i="1"/>
  <c r="R273" i="1"/>
  <c r="J273" i="1"/>
  <c r="I273" i="1"/>
  <c r="S272" i="1"/>
  <c r="R272" i="1"/>
  <c r="J272" i="1"/>
  <c r="I272" i="1"/>
  <c r="S271" i="1"/>
  <c r="R271" i="1"/>
  <c r="J271" i="1"/>
  <c r="I271" i="1"/>
  <c r="S270" i="1"/>
  <c r="R270" i="1"/>
  <c r="J270" i="1"/>
  <c r="I270" i="1"/>
  <c r="S269" i="1"/>
  <c r="R269" i="1"/>
  <c r="J269" i="1"/>
  <c r="I269" i="1"/>
  <c r="S268" i="1"/>
  <c r="R268" i="1"/>
  <c r="J268" i="1"/>
  <c r="I268" i="1"/>
  <c r="S267" i="1"/>
  <c r="R267" i="1"/>
  <c r="J267" i="1"/>
  <c r="I267" i="1"/>
  <c r="S266" i="1"/>
  <c r="R266" i="1"/>
  <c r="J266" i="1"/>
  <c r="I266" i="1"/>
  <c r="S265" i="1"/>
  <c r="R265" i="1"/>
  <c r="J265" i="1"/>
  <c r="I265" i="1"/>
  <c r="S264" i="1"/>
  <c r="R264" i="1"/>
  <c r="J264" i="1"/>
  <c r="I264" i="1"/>
  <c r="S263" i="1"/>
  <c r="R263" i="1"/>
  <c r="J263" i="1"/>
  <c r="I263" i="1"/>
  <c r="S262" i="1"/>
  <c r="R262" i="1"/>
  <c r="J262" i="1"/>
  <c r="I262" i="1"/>
  <c r="S261" i="1"/>
  <c r="R261" i="1"/>
  <c r="J261" i="1"/>
  <c r="I261" i="1"/>
  <c r="S260" i="1"/>
  <c r="R260" i="1"/>
  <c r="J260" i="1"/>
  <c r="I260" i="1"/>
  <c r="S259" i="1"/>
  <c r="R259" i="1"/>
  <c r="J259" i="1"/>
  <c r="I259" i="1"/>
  <c r="S258" i="1"/>
  <c r="R258" i="1"/>
  <c r="J258" i="1"/>
  <c r="I258" i="1"/>
  <c r="S257" i="1"/>
  <c r="R257" i="1"/>
  <c r="J257" i="1"/>
  <c r="I257" i="1"/>
  <c r="S256" i="1"/>
  <c r="R256" i="1"/>
  <c r="J256" i="1"/>
  <c r="I256" i="1"/>
  <c r="S255" i="1"/>
  <c r="R255" i="1"/>
  <c r="J255" i="1"/>
  <c r="I255" i="1"/>
  <c r="S254" i="1"/>
  <c r="R254" i="1"/>
  <c r="J254" i="1"/>
  <c r="I254" i="1"/>
  <c r="S253" i="1"/>
  <c r="R253" i="1"/>
  <c r="J253" i="1"/>
  <c r="I253" i="1"/>
  <c r="S252" i="1"/>
  <c r="R252" i="1"/>
  <c r="J252" i="1"/>
  <c r="I252" i="1"/>
  <c r="S251" i="1"/>
  <c r="R251" i="1"/>
  <c r="J251" i="1"/>
  <c r="I251" i="1"/>
  <c r="S250" i="1"/>
  <c r="R250" i="1"/>
  <c r="J250" i="1"/>
  <c r="I250" i="1"/>
  <c r="S249" i="1"/>
  <c r="R249" i="1"/>
  <c r="J249" i="1"/>
  <c r="I249" i="1"/>
  <c r="S248" i="1"/>
  <c r="R248" i="1"/>
  <c r="J248" i="1"/>
  <c r="I248" i="1"/>
  <c r="S247" i="1"/>
  <c r="R247" i="1"/>
  <c r="J247" i="1"/>
  <c r="I247" i="1"/>
  <c r="S246" i="1"/>
  <c r="R246" i="1"/>
  <c r="J246" i="1"/>
  <c r="I246" i="1"/>
  <c r="S245" i="1"/>
  <c r="R245" i="1"/>
  <c r="J245" i="1"/>
  <c r="I245" i="1"/>
  <c r="S244" i="1"/>
  <c r="R244" i="1"/>
  <c r="J244" i="1"/>
  <c r="I244" i="1"/>
  <c r="S243" i="1"/>
  <c r="R243" i="1"/>
  <c r="J243" i="1"/>
  <c r="I243" i="1"/>
  <c r="S242" i="1"/>
  <c r="R242" i="1"/>
  <c r="J242" i="1"/>
  <c r="I242" i="1"/>
  <c r="S241" i="1"/>
  <c r="R241" i="1"/>
  <c r="J241" i="1"/>
  <c r="I241" i="1"/>
  <c r="S240" i="1"/>
  <c r="R240" i="1"/>
  <c r="J240" i="1"/>
  <c r="I240" i="1"/>
  <c r="S239" i="1"/>
  <c r="R239" i="1"/>
  <c r="J239" i="1"/>
  <c r="I239" i="1"/>
  <c r="S238" i="1"/>
  <c r="R238" i="1"/>
  <c r="J238" i="1"/>
  <c r="I238" i="1"/>
  <c r="S237" i="1"/>
  <c r="R237" i="1"/>
  <c r="J237" i="1"/>
  <c r="I237" i="1"/>
  <c r="S236" i="1"/>
  <c r="R236" i="1"/>
  <c r="J236" i="1"/>
  <c r="I236" i="1"/>
  <c r="S235" i="1"/>
  <c r="R235" i="1"/>
  <c r="J235" i="1"/>
  <c r="I235" i="1"/>
  <c r="S234" i="1"/>
  <c r="R234" i="1"/>
  <c r="J234" i="1"/>
  <c r="I234" i="1"/>
  <c r="S233" i="1"/>
  <c r="R233" i="1"/>
  <c r="J233" i="1"/>
  <c r="I233" i="1"/>
  <c r="S232" i="1"/>
  <c r="R232" i="1"/>
  <c r="J232" i="1"/>
  <c r="I232" i="1"/>
  <c r="S231" i="1"/>
  <c r="R231" i="1"/>
  <c r="J231" i="1"/>
  <c r="I231" i="1"/>
  <c r="S230" i="1"/>
  <c r="R230" i="1"/>
  <c r="J230" i="1"/>
  <c r="I230" i="1"/>
  <c r="S229" i="1"/>
  <c r="R229" i="1"/>
  <c r="J229" i="1"/>
  <c r="I229" i="1"/>
  <c r="S228" i="1"/>
  <c r="R228" i="1"/>
  <c r="J228" i="1"/>
  <c r="I228" i="1"/>
  <c r="S227" i="1"/>
  <c r="R227" i="1"/>
  <c r="J227" i="1"/>
  <c r="I227" i="1"/>
  <c r="S226" i="1"/>
  <c r="R226" i="1"/>
  <c r="J226" i="1"/>
  <c r="I226" i="1"/>
  <c r="S225" i="1"/>
  <c r="R225" i="1"/>
  <c r="J225" i="1"/>
  <c r="I225" i="1"/>
  <c r="S224" i="1"/>
  <c r="R224" i="1"/>
  <c r="J224" i="1"/>
  <c r="I224" i="1"/>
  <c r="S223" i="1"/>
  <c r="R223" i="1"/>
  <c r="J223" i="1"/>
  <c r="I223" i="1"/>
  <c r="S222" i="1"/>
  <c r="R222" i="1"/>
  <c r="J222" i="1"/>
  <c r="I222" i="1"/>
  <c r="S221" i="1"/>
  <c r="R221" i="1"/>
  <c r="J221" i="1"/>
  <c r="I221" i="1"/>
  <c r="S220" i="1"/>
  <c r="R220" i="1"/>
  <c r="J220" i="1"/>
  <c r="I220" i="1"/>
  <c r="S219" i="1"/>
  <c r="R219" i="1"/>
  <c r="J219" i="1"/>
  <c r="I219" i="1"/>
  <c r="S218" i="1"/>
  <c r="R218" i="1"/>
  <c r="J218" i="1"/>
  <c r="I218" i="1"/>
  <c r="S217" i="1"/>
  <c r="R217" i="1"/>
  <c r="J217" i="1"/>
  <c r="I217" i="1"/>
  <c r="S216" i="1"/>
  <c r="R216" i="1"/>
  <c r="J216" i="1"/>
  <c r="I216" i="1"/>
  <c r="S215" i="1"/>
  <c r="R215" i="1"/>
  <c r="J215" i="1"/>
  <c r="I215" i="1"/>
  <c r="S214" i="1"/>
  <c r="R214" i="1"/>
  <c r="J214" i="1"/>
  <c r="I214" i="1"/>
  <c r="S213" i="1"/>
  <c r="R213" i="1"/>
  <c r="J213" i="1"/>
  <c r="I213" i="1"/>
  <c r="S212" i="1"/>
  <c r="R212" i="1"/>
  <c r="J212" i="1"/>
  <c r="I212" i="1"/>
  <c r="S211" i="1"/>
  <c r="R211" i="1"/>
  <c r="J211" i="1"/>
  <c r="I211" i="1"/>
  <c r="S210" i="1"/>
  <c r="R210" i="1"/>
  <c r="J210" i="1"/>
  <c r="I210" i="1"/>
  <c r="S209" i="1"/>
  <c r="R209" i="1"/>
  <c r="J209" i="1"/>
  <c r="I209" i="1"/>
  <c r="S208" i="1"/>
  <c r="R208" i="1"/>
  <c r="J208" i="1"/>
  <c r="I208" i="1"/>
  <c r="S207" i="1"/>
  <c r="R207" i="1"/>
  <c r="J207" i="1"/>
  <c r="I207" i="1"/>
  <c r="S206" i="1"/>
  <c r="R206" i="1"/>
  <c r="J206" i="1"/>
  <c r="I206" i="1"/>
  <c r="S205" i="1"/>
  <c r="R205" i="1"/>
  <c r="J205" i="1"/>
  <c r="I205" i="1"/>
  <c r="S204" i="1"/>
  <c r="R204" i="1"/>
  <c r="J204" i="1"/>
  <c r="I204" i="1"/>
  <c r="S203" i="1"/>
  <c r="R203" i="1"/>
  <c r="J203" i="1"/>
  <c r="I203" i="1"/>
  <c r="S202" i="1"/>
  <c r="R202" i="1"/>
  <c r="J202" i="1"/>
  <c r="I202" i="1"/>
  <c r="S201" i="1"/>
  <c r="R201" i="1"/>
  <c r="J201" i="1"/>
  <c r="I201" i="1"/>
  <c r="S200" i="1"/>
  <c r="R200" i="1"/>
  <c r="J200" i="1"/>
  <c r="I200" i="1"/>
  <c r="S199" i="1"/>
  <c r="R199" i="1"/>
  <c r="J199" i="1"/>
  <c r="I199" i="1"/>
  <c r="S198" i="1"/>
  <c r="R198" i="1"/>
  <c r="J198" i="1"/>
  <c r="I198" i="1"/>
  <c r="S197" i="1"/>
  <c r="R197" i="1"/>
  <c r="J197" i="1"/>
  <c r="I197" i="1"/>
  <c r="S196" i="1"/>
  <c r="R196" i="1"/>
  <c r="J196" i="1"/>
  <c r="I196" i="1"/>
  <c r="S195" i="1"/>
  <c r="R195" i="1"/>
  <c r="J195" i="1"/>
  <c r="I195" i="1"/>
  <c r="S194" i="1"/>
  <c r="R194" i="1"/>
  <c r="J194" i="1"/>
  <c r="I194" i="1"/>
  <c r="S193" i="1"/>
  <c r="R193" i="1"/>
  <c r="J193" i="1"/>
  <c r="I193" i="1"/>
  <c r="S192" i="1"/>
  <c r="R192" i="1"/>
  <c r="J192" i="1"/>
  <c r="I192" i="1"/>
  <c r="S191" i="1"/>
  <c r="R191" i="1"/>
  <c r="J191" i="1"/>
  <c r="I191" i="1"/>
  <c r="S190" i="1"/>
  <c r="R190" i="1"/>
  <c r="J190" i="1"/>
  <c r="I190" i="1"/>
  <c r="S189" i="1"/>
  <c r="R189" i="1"/>
  <c r="J189" i="1"/>
  <c r="I189" i="1"/>
  <c r="S188" i="1"/>
  <c r="R188" i="1"/>
  <c r="J188" i="1"/>
  <c r="I188" i="1"/>
  <c r="S187" i="1"/>
  <c r="R187" i="1"/>
  <c r="J187" i="1"/>
  <c r="I187" i="1"/>
  <c r="S186" i="1"/>
  <c r="R186" i="1"/>
  <c r="J186" i="1"/>
  <c r="I186" i="1"/>
  <c r="S185" i="1"/>
  <c r="R185" i="1"/>
  <c r="J185" i="1"/>
  <c r="I185" i="1"/>
  <c r="S184" i="1"/>
  <c r="R184" i="1"/>
  <c r="J184" i="1"/>
  <c r="I184" i="1"/>
  <c r="S183" i="1"/>
  <c r="R183" i="1"/>
  <c r="J183" i="1"/>
  <c r="I183" i="1"/>
  <c r="S182" i="1"/>
  <c r="R182" i="1"/>
  <c r="J182" i="1"/>
  <c r="I182" i="1"/>
  <c r="S181" i="1"/>
  <c r="R181" i="1"/>
  <c r="J181" i="1"/>
  <c r="I181" i="1"/>
  <c r="S180" i="1"/>
  <c r="R180" i="1"/>
  <c r="J180" i="1"/>
  <c r="I180" i="1"/>
  <c r="S179" i="1"/>
  <c r="R179" i="1"/>
  <c r="J179" i="1"/>
  <c r="I179" i="1"/>
  <c r="S178" i="1"/>
  <c r="R178" i="1"/>
  <c r="J178" i="1"/>
  <c r="I178" i="1"/>
  <c r="S177" i="1"/>
  <c r="R177" i="1"/>
  <c r="J177" i="1"/>
  <c r="I177" i="1"/>
  <c r="S176" i="1"/>
  <c r="R176" i="1"/>
  <c r="J176" i="1"/>
  <c r="I176" i="1"/>
  <c r="S175" i="1"/>
  <c r="R175" i="1"/>
  <c r="J175" i="1"/>
  <c r="I175" i="1"/>
  <c r="S174" i="1"/>
  <c r="R174" i="1"/>
  <c r="J174" i="1"/>
  <c r="I174" i="1"/>
  <c r="S173" i="1"/>
  <c r="R173" i="1"/>
  <c r="J173" i="1"/>
  <c r="I173" i="1"/>
  <c r="S172" i="1"/>
  <c r="R172" i="1"/>
  <c r="J172" i="1"/>
  <c r="I172" i="1"/>
  <c r="S171" i="1"/>
  <c r="R171" i="1"/>
  <c r="J171" i="1"/>
  <c r="I171" i="1"/>
  <c r="S170" i="1"/>
  <c r="R170" i="1"/>
  <c r="J170" i="1"/>
  <c r="I170" i="1"/>
  <c r="S169" i="1"/>
  <c r="R169" i="1"/>
  <c r="J169" i="1"/>
  <c r="I169" i="1"/>
  <c r="S168" i="1"/>
  <c r="R168" i="1"/>
  <c r="J168" i="1"/>
  <c r="I168" i="1"/>
  <c r="S167" i="1"/>
  <c r="R167" i="1"/>
  <c r="J167" i="1"/>
  <c r="I167" i="1"/>
  <c r="S166" i="1"/>
  <c r="R166" i="1"/>
  <c r="J166" i="1"/>
  <c r="I166" i="1"/>
  <c r="S165" i="1"/>
  <c r="R165" i="1"/>
  <c r="J165" i="1"/>
  <c r="I165" i="1"/>
  <c r="S164" i="1"/>
  <c r="R164" i="1"/>
  <c r="J164" i="1"/>
  <c r="I164" i="1"/>
  <c r="S163" i="1"/>
  <c r="R163" i="1"/>
  <c r="J163" i="1"/>
  <c r="I163" i="1"/>
  <c r="S162" i="1"/>
  <c r="R162" i="1"/>
  <c r="J162" i="1"/>
  <c r="I162" i="1"/>
  <c r="S161" i="1"/>
  <c r="R161" i="1"/>
  <c r="J161" i="1"/>
  <c r="I161" i="1"/>
  <c r="S160" i="1"/>
  <c r="R160" i="1"/>
  <c r="J160" i="1"/>
  <c r="I160" i="1"/>
  <c r="S159" i="1"/>
  <c r="R159" i="1"/>
  <c r="J159" i="1"/>
  <c r="I159" i="1"/>
  <c r="S158" i="1"/>
  <c r="R158" i="1"/>
  <c r="J158" i="1"/>
  <c r="I158" i="1"/>
  <c r="S157" i="1"/>
  <c r="R157" i="1"/>
  <c r="J157" i="1"/>
  <c r="I157" i="1"/>
  <c r="S156" i="1"/>
  <c r="R156" i="1"/>
  <c r="J156" i="1"/>
  <c r="I156" i="1"/>
  <c r="S155" i="1"/>
  <c r="R155" i="1"/>
  <c r="J155" i="1"/>
  <c r="I155" i="1"/>
  <c r="S154" i="1"/>
  <c r="R154" i="1"/>
  <c r="J154" i="1"/>
  <c r="I154" i="1"/>
  <c r="S153" i="1"/>
  <c r="R153" i="1"/>
  <c r="J153" i="1"/>
  <c r="I153" i="1"/>
  <c r="S152" i="1"/>
  <c r="R152" i="1"/>
  <c r="J152" i="1"/>
  <c r="I152" i="1"/>
  <c r="S151" i="1"/>
  <c r="R151" i="1"/>
  <c r="J151" i="1"/>
  <c r="I151" i="1"/>
  <c r="S150" i="1"/>
  <c r="R150" i="1"/>
  <c r="J150" i="1"/>
  <c r="I150" i="1"/>
  <c r="S149" i="1"/>
  <c r="R149" i="1"/>
  <c r="J149" i="1"/>
  <c r="I149" i="1"/>
  <c r="S148" i="1"/>
  <c r="R148" i="1"/>
  <c r="J148" i="1"/>
  <c r="I148" i="1"/>
  <c r="S147" i="1"/>
  <c r="R147" i="1"/>
  <c r="J147" i="1"/>
  <c r="I147" i="1"/>
  <c r="S146" i="1"/>
  <c r="R146" i="1"/>
  <c r="J146" i="1"/>
  <c r="I146" i="1"/>
  <c r="S145" i="1"/>
  <c r="R145" i="1"/>
  <c r="J145" i="1"/>
  <c r="I145" i="1"/>
  <c r="S144" i="1"/>
  <c r="R144" i="1"/>
  <c r="J144" i="1"/>
  <c r="I144" i="1"/>
  <c r="S143" i="1"/>
  <c r="R143" i="1"/>
  <c r="J143" i="1"/>
  <c r="I143" i="1"/>
  <c r="S142" i="1"/>
  <c r="R142" i="1"/>
  <c r="J142" i="1"/>
  <c r="I142" i="1"/>
  <c r="S141" i="1"/>
  <c r="R141" i="1"/>
  <c r="J141" i="1"/>
  <c r="I141" i="1"/>
  <c r="S140" i="1"/>
  <c r="R140" i="1"/>
  <c r="J140" i="1"/>
  <c r="I140" i="1"/>
  <c r="S139" i="1"/>
  <c r="R139" i="1"/>
  <c r="J139" i="1"/>
  <c r="I139" i="1"/>
  <c r="S138" i="1"/>
  <c r="R138" i="1"/>
  <c r="J138" i="1"/>
  <c r="I138" i="1"/>
  <c r="S137" i="1"/>
  <c r="R137" i="1"/>
  <c r="J137" i="1"/>
  <c r="I137" i="1"/>
  <c r="S136" i="1"/>
  <c r="R136" i="1"/>
  <c r="J136" i="1"/>
  <c r="I136" i="1"/>
  <c r="S135" i="1"/>
  <c r="R135" i="1"/>
  <c r="J135" i="1"/>
  <c r="I135" i="1"/>
  <c r="S134" i="1"/>
  <c r="R134" i="1"/>
  <c r="J134" i="1"/>
  <c r="I134" i="1"/>
  <c r="S133" i="1"/>
  <c r="R133" i="1"/>
  <c r="J133" i="1"/>
  <c r="I133" i="1"/>
  <c r="S132" i="1"/>
  <c r="R132" i="1"/>
  <c r="J132" i="1"/>
  <c r="I132" i="1"/>
  <c r="S131" i="1"/>
  <c r="R131" i="1"/>
  <c r="J131" i="1"/>
  <c r="I131" i="1"/>
  <c r="S130" i="1"/>
  <c r="R130" i="1"/>
  <c r="J130" i="1"/>
  <c r="I130" i="1"/>
  <c r="S129" i="1"/>
  <c r="R129" i="1"/>
  <c r="J129" i="1"/>
  <c r="I129" i="1"/>
  <c r="S128" i="1"/>
  <c r="R128" i="1"/>
  <c r="J128" i="1"/>
  <c r="I128" i="1"/>
  <c r="S127" i="1"/>
  <c r="R127" i="1"/>
  <c r="J127" i="1"/>
  <c r="I127" i="1"/>
  <c r="S126" i="1"/>
  <c r="R126" i="1"/>
  <c r="J126" i="1"/>
  <c r="I126" i="1"/>
  <c r="S125" i="1"/>
  <c r="R125" i="1"/>
  <c r="J125" i="1"/>
  <c r="I125" i="1"/>
  <c r="S124" i="1"/>
  <c r="R124" i="1"/>
  <c r="J124" i="1"/>
  <c r="I124" i="1"/>
  <c r="S123" i="1"/>
  <c r="R123" i="1"/>
  <c r="J123" i="1"/>
  <c r="I123" i="1"/>
  <c r="S122" i="1"/>
  <c r="R122" i="1"/>
  <c r="J122" i="1"/>
  <c r="I122" i="1"/>
  <c r="S121" i="1"/>
  <c r="R121" i="1"/>
  <c r="J121" i="1"/>
  <c r="I121" i="1"/>
  <c r="S120" i="1"/>
  <c r="R120" i="1"/>
  <c r="J120" i="1"/>
  <c r="I120" i="1"/>
  <c r="S119" i="1"/>
  <c r="R119" i="1"/>
  <c r="J119" i="1"/>
  <c r="I119" i="1"/>
  <c r="S118" i="1"/>
  <c r="R118" i="1"/>
  <c r="J118" i="1"/>
  <c r="I118" i="1"/>
  <c r="S117" i="1"/>
  <c r="R117" i="1"/>
  <c r="J117" i="1"/>
  <c r="I117" i="1"/>
  <c r="S116" i="1"/>
  <c r="R116" i="1"/>
  <c r="J116" i="1"/>
  <c r="I116" i="1"/>
  <c r="S115" i="1"/>
  <c r="R115" i="1"/>
  <c r="J115" i="1"/>
  <c r="I115" i="1"/>
  <c r="S114" i="1"/>
  <c r="R114" i="1"/>
  <c r="J114" i="1"/>
  <c r="I114" i="1"/>
  <c r="S113" i="1"/>
  <c r="R113" i="1"/>
  <c r="J113" i="1"/>
  <c r="I113" i="1"/>
  <c r="S112" i="1"/>
  <c r="R112" i="1"/>
  <c r="J112" i="1"/>
  <c r="I112" i="1"/>
  <c r="S111" i="1"/>
  <c r="R111" i="1"/>
  <c r="J111" i="1"/>
  <c r="I111" i="1"/>
  <c r="S110" i="1"/>
  <c r="R110" i="1"/>
  <c r="J110" i="1"/>
  <c r="I110" i="1"/>
  <c r="S109" i="1"/>
  <c r="R109" i="1"/>
  <c r="J109" i="1"/>
  <c r="I109" i="1"/>
  <c r="S108" i="1"/>
  <c r="R108" i="1"/>
  <c r="J108" i="1"/>
  <c r="I108" i="1"/>
  <c r="S107" i="1"/>
  <c r="R107" i="1"/>
  <c r="J107" i="1"/>
  <c r="I107" i="1"/>
  <c r="S106" i="1"/>
  <c r="R106" i="1"/>
  <c r="J106" i="1"/>
  <c r="I106" i="1"/>
  <c r="S105" i="1"/>
  <c r="R105" i="1"/>
  <c r="J105" i="1"/>
  <c r="I105" i="1"/>
  <c r="S104" i="1"/>
  <c r="R104" i="1"/>
  <c r="J104" i="1"/>
  <c r="I104" i="1"/>
  <c r="S103" i="1"/>
  <c r="R103" i="1"/>
  <c r="J103" i="1"/>
  <c r="I103" i="1"/>
  <c r="S102" i="1"/>
  <c r="R102" i="1"/>
  <c r="J102" i="1"/>
  <c r="I102" i="1"/>
  <c r="S101" i="1"/>
  <c r="R101" i="1"/>
  <c r="J101" i="1"/>
  <c r="I101" i="1"/>
  <c r="S100" i="1"/>
  <c r="R100" i="1"/>
  <c r="J100" i="1"/>
  <c r="I100" i="1"/>
  <c r="S99" i="1"/>
  <c r="R99" i="1"/>
  <c r="J99" i="1"/>
  <c r="I99" i="1"/>
  <c r="S98" i="1"/>
  <c r="R98" i="1"/>
  <c r="J98" i="1"/>
  <c r="I98" i="1"/>
  <c r="S97" i="1"/>
  <c r="R97" i="1"/>
  <c r="J97" i="1"/>
  <c r="I97" i="1"/>
  <c r="S96" i="1"/>
  <c r="R96" i="1"/>
  <c r="J96" i="1"/>
  <c r="I96" i="1"/>
  <c r="S95" i="1"/>
  <c r="R95" i="1"/>
  <c r="J95" i="1"/>
  <c r="I95" i="1"/>
  <c r="S94" i="1"/>
  <c r="R94" i="1"/>
  <c r="J94" i="1"/>
  <c r="I94" i="1"/>
  <c r="S93" i="1"/>
  <c r="R93" i="1"/>
  <c r="J93" i="1"/>
  <c r="I93" i="1"/>
  <c r="S92" i="1"/>
  <c r="R92" i="1"/>
  <c r="J92" i="1"/>
  <c r="I92" i="1"/>
  <c r="S91" i="1"/>
  <c r="R91" i="1"/>
  <c r="J91" i="1"/>
  <c r="I91" i="1"/>
  <c r="S90" i="1"/>
  <c r="R90" i="1"/>
  <c r="J90" i="1"/>
  <c r="I90" i="1"/>
  <c r="S89" i="1"/>
  <c r="R89" i="1"/>
  <c r="J89" i="1"/>
  <c r="I89" i="1"/>
  <c r="S88" i="1"/>
  <c r="R88" i="1"/>
  <c r="J88" i="1"/>
  <c r="I88" i="1"/>
  <c r="S87" i="1"/>
  <c r="R87" i="1"/>
  <c r="J87" i="1"/>
  <c r="I87" i="1"/>
  <c r="S86" i="1"/>
  <c r="R86" i="1"/>
  <c r="J86" i="1"/>
  <c r="I86" i="1"/>
  <c r="S85" i="1"/>
  <c r="R85" i="1"/>
  <c r="J85" i="1"/>
  <c r="I85" i="1"/>
  <c r="S84" i="1"/>
  <c r="R84" i="1"/>
  <c r="J84" i="1"/>
  <c r="I84" i="1"/>
  <c r="S83" i="1"/>
  <c r="R83" i="1"/>
  <c r="J83" i="1"/>
  <c r="I83" i="1"/>
  <c r="S82" i="1"/>
  <c r="R82" i="1"/>
  <c r="J82" i="1"/>
  <c r="I82" i="1"/>
  <c r="S81" i="1"/>
  <c r="R81" i="1"/>
  <c r="J81" i="1"/>
  <c r="I81" i="1"/>
  <c r="S80" i="1"/>
  <c r="R80" i="1"/>
  <c r="J80" i="1"/>
  <c r="I80" i="1"/>
  <c r="S79" i="1"/>
  <c r="R79" i="1"/>
  <c r="J79" i="1"/>
  <c r="I79" i="1"/>
  <c r="S78" i="1"/>
  <c r="R78" i="1"/>
  <c r="J78" i="1"/>
  <c r="I78" i="1"/>
  <c r="S77" i="1"/>
  <c r="R77" i="1"/>
  <c r="J77" i="1"/>
  <c r="I77" i="1"/>
  <c r="S76" i="1"/>
  <c r="R76" i="1"/>
  <c r="J76" i="1"/>
  <c r="I76" i="1"/>
  <c r="S75" i="1"/>
  <c r="R75" i="1"/>
  <c r="J75" i="1"/>
  <c r="I75" i="1"/>
  <c r="S74" i="1"/>
  <c r="R74" i="1"/>
  <c r="J74" i="1"/>
  <c r="I74" i="1"/>
  <c r="S73" i="1"/>
  <c r="R73" i="1"/>
  <c r="J73" i="1"/>
  <c r="I73" i="1"/>
  <c r="S72" i="1"/>
  <c r="R72" i="1"/>
  <c r="J72" i="1"/>
  <c r="I72" i="1"/>
  <c r="S71" i="1"/>
  <c r="R71" i="1"/>
  <c r="J71" i="1"/>
  <c r="I71" i="1"/>
  <c r="S70" i="1"/>
  <c r="R70" i="1"/>
  <c r="J70" i="1"/>
  <c r="I70" i="1"/>
  <c r="S69" i="1"/>
  <c r="R69" i="1"/>
  <c r="J69" i="1"/>
  <c r="I69" i="1"/>
  <c r="S68" i="1"/>
  <c r="R68" i="1"/>
  <c r="J68" i="1"/>
  <c r="I68" i="1"/>
  <c r="S67" i="1"/>
  <c r="R67" i="1"/>
  <c r="J67" i="1"/>
  <c r="I67" i="1"/>
  <c r="S66" i="1"/>
  <c r="R66" i="1"/>
  <c r="J66" i="1"/>
  <c r="I66" i="1"/>
  <c r="S65" i="1"/>
  <c r="R65" i="1"/>
  <c r="J65" i="1"/>
  <c r="I65" i="1"/>
  <c r="S64" i="1"/>
  <c r="R64" i="1"/>
  <c r="J64" i="1"/>
  <c r="I64" i="1"/>
  <c r="S63" i="1"/>
  <c r="R63" i="1"/>
  <c r="J63" i="1"/>
  <c r="I63" i="1"/>
  <c r="S62" i="1"/>
  <c r="R62" i="1"/>
  <c r="J62" i="1"/>
  <c r="I62" i="1"/>
  <c r="S61" i="1"/>
  <c r="R61" i="1"/>
  <c r="J61" i="1"/>
  <c r="I61" i="1"/>
  <c r="S60" i="1"/>
  <c r="R60" i="1"/>
  <c r="J60" i="1"/>
  <c r="I60" i="1"/>
  <c r="S59" i="1"/>
  <c r="R59" i="1"/>
  <c r="J59" i="1"/>
  <c r="I59" i="1"/>
  <c r="S58" i="1"/>
  <c r="R58" i="1"/>
  <c r="J58" i="1"/>
  <c r="I58" i="1"/>
  <c r="S57" i="1"/>
  <c r="R57" i="1"/>
  <c r="J57" i="1"/>
  <c r="I57" i="1"/>
  <c r="S56" i="1"/>
  <c r="R56" i="1"/>
  <c r="J56" i="1"/>
  <c r="I56" i="1"/>
  <c r="S55" i="1"/>
  <c r="R55" i="1"/>
  <c r="J55" i="1"/>
  <c r="I55" i="1"/>
  <c r="S54" i="1"/>
  <c r="R54" i="1"/>
  <c r="J54" i="1"/>
  <c r="I54" i="1"/>
  <c r="S53" i="1"/>
  <c r="R53" i="1"/>
  <c r="J53" i="1"/>
  <c r="I53" i="1"/>
  <c r="S52" i="1"/>
  <c r="R52" i="1"/>
  <c r="J52" i="1"/>
  <c r="I52" i="1"/>
  <c r="S51" i="1"/>
  <c r="R51" i="1"/>
  <c r="J51" i="1"/>
  <c r="I51" i="1"/>
  <c r="S50" i="1"/>
  <c r="R50" i="1"/>
  <c r="J50" i="1"/>
  <c r="I50" i="1"/>
  <c r="S49" i="1"/>
  <c r="R49" i="1"/>
  <c r="J49" i="1"/>
  <c r="I49" i="1"/>
  <c r="S48" i="1"/>
  <c r="R48" i="1"/>
  <c r="J48" i="1"/>
  <c r="I48" i="1"/>
  <c r="S47" i="1"/>
  <c r="R47" i="1"/>
  <c r="J47" i="1"/>
  <c r="I47" i="1"/>
  <c r="S46" i="1"/>
  <c r="R46" i="1"/>
  <c r="J46" i="1"/>
  <c r="I46" i="1"/>
  <c r="S45" i="1"/>
  <c r="R45" i="1"/>
  <c r="J45" i="1"/>
  <c r="I45" i="1"/>
  <c r="S44" i="1"/>
  <c r="R44" i="1"/>
  <c r="J44" i="1"/>
  <c r="I44" i="1"/>
  <c r="S43" i="1"/>
  <c r="R43" i="1"/>
  <c r="J43" i="1"/>
  <c r="I43" i="1"/>
  <c r="S42" i="1"/>
  <c r="R42" i="1"/>
  <c r="J42" i="1"/>
  <c r="I42" i="1"/>
  <c r="S41" i="1"/>
  <c r="R41" i="1"/>
  <c r="J41" i="1"/>
  <c r="I41" i="1"/>
  <c r="S40" i="1"/>
  <c r="R40" i="1"/>
  <c r="J40" i="1"/>
  <c r="I40" i="1"/>
  <c r="S39" i="1"/>
  <c r="R39" i="1"/>
  <c r="J39" i="1"/>
  <c r="I39" i="1"/>
  <c r="S38" i="1"/>
  <c r="R38" i="1"/>
  <c r="J38" i="1"/>
  <c r="I38" i="1"/>
  <c r="S37" i="1"/>
  <c r="R37" i="1"/>
  <c r="J37" i="1"/>
  <c r="I37" i="1"/>
  <c r="S36" i="1"/>
  <c r="R36" i="1"/>
  <c r="J36" i="1"/>
  <c r="I36" i="1"/>
  <c r="S35" i="1"/>
  <c r="R35" i="1"/>
  <c r="J35" i="1"/>
  <c r="I35" i="1"/>
  <c r="S34" i="1"/>
  <c r="R34" i="1"/>
  <c r="J34" i="1"/>
  <c r="I34" i="1"/>
  <c r="S33" i="1"/>
  <c r="R33" i="1"/>
  <c r="J33" i="1"/>
  <c r="I33" i="1"/>
  <c r="S32" i="1"/>
  <c r="R32" i="1"/>
  <c r="J32" i="1"/>
  <c r="I32" i="1"/>
  <c r="S31" i="1"/>
  <c r="R31" i="1"/>
  <c r="J31" i="1"/>
  <c r="I31" i="1"/>
  <c r="S30" i="1"/>
  <c r="R30" i="1"/>
  <c r="J30" i="1"/>
  <c r="I30" i="1"/>
  <c r="S29" i="1"/>
  <c r="R29" i="1"/>
  <c r="J29" i="1"/>
  <c r="I29" i="1"/>
  <c r="S28" i="1"/>
  <c r="R28" i="1"/>
  <c r="J28" i="1"/>
  <c r="I28" i="1"/>
  <c r="S27" i="1"/>
  <c r="R27" i="1"/>
  <c r="J27" i="1"/>
  <c r="I27" i="1"/>
  <c r="S26" i="1"/>
  <c r="R26" i="1"/>
  <c r="J26" i="1"/>
  <c r="I26" i="1"/>
  <c r="S25" i="1"/>
  <c r="R25" i="1"/>
  <c r="J25" i="1"/>
  <c r="I25" i="1"/>
  <c r="S24" i="1"/>
  <c r="R24" i="1"/>
  <c r="J24" i="1"/>
  <c r="I24" i="1"/>
  <c r="S23" i="1"/>
  <c r="R23" i="1"/>
  <c r="J23" i="1"/>
  <c r="I23" i="1"/>
  <c r="S22" i="1"/>
  <c r="R22" i="1"/>
  <c r="J22" i="1"/>
  <c r="I22" i="1"/>
  <c r="S21" i="1"/>
  <c r="R21" i="1"/>
  <c r="J21" i="1"/>
  <c r="I21" i="1"/>
  <c r="S20" i="1"/>
  <c r="R20" i="1"/>
  <c r="J20" i="1"/>
  <c r="I20" i="1"/>
  <c r="S19" i="1"/>
  <c r="R19" i="1"/>
  <c r="J19" i="1"/>
  <c r="I19" i="1"/>
  <c r="S18" i="1"/>
  <c r="R18" i="1"/>
  <c r="J18" i="1"/>
  <c r="I18" i="1"/>
  <c r="S17" i="1"/>
  <c r="R17" i="1"/>
  <c r="J17" i="1"/>
  <c r="I17" i="1"/>
  <c r="S16" i="1"/>
  <c r="R16" i="1"/>
  <c r="J16" i="1"/>
  <c r="I16" i="1"/>
  <c r="S15" i="1"/>
  <c r="R15" i="1"/>
  <c r="J15" i="1"/>
  <c r="I15" i="1"/>
  <c r="S14" i="1"/>
  <c r="R14" i="1"/>
  <c r="J14" i="1"/>
  <c r="I14" i="1"/>
  <c r="S13" i="1"/>
  <c r="R13" i="1"/>
  <c r="J13" i="1"/>
  <c r="I13" i="1"/>
  <c r="S12" i="1"/>
  <c r="R12" i="1"/>
  <c r="J12" i="1"/>
  <c r="I12" i="1"/>
  <c r="S11" i="1"/>
  <c r="R11" i="1"/>
  <c r="J11" i="1"/>
  <c r="I11" i="1"/>
  <c r="S10" i="1"/>
  <c r="R10" i="1"/>
  <c r="J10" i="1"/>
  <c r="I10" i="1"/>
  <c r="S9" i="1"/>
  <c r="R9" i="1"/>
  <c r="J9" i="1"/>
  <c r="I9" i="1"/>
  <c r="S8" i="1"/>
  <c r="R8" i="1"/>
  <c r="J8" i="1"/>
  <c r="I8" i="1"/>
  <c r="S7" i="1"/>
  <c r="R7" i="1"/>
  <c r="J7" i="1"/>
  <c r="I7" i="1"/>
  <c r="S6" i="1"/>
  <c r="R6" i="1"/>
  <c r="J6" i="1"/>
  <c r="I6" i="1"/>
  <c r="S5" i="1"/>
  <c r="R5" i="1"/>
  <c r="J5" i="1"/>
  <c r="I5" i="1"/>
  <c r="S4" i="1"/>
  <c r="R4" i="1"/>
  <c r="J4" i="1"/>
  <c r="I4" i="1"/>
  <c r="S3" i="1"/>
  <c r="R3" i="1"/>
  <c r="J3" i="1"/>
  <c r="I3" i="1"/>
  <c r="S2" i="1"/>
  <c r="R2" i="1"/>
  <c r="J2" i="1"/>
  <c r="I2" i="1"/>
  <c r="S454" i="1" l="1"/>
  <c r="R454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653" i="1"/>
  <c r="R597" i="1"/>
  <c r="R589" i="1"/>
  <c r="R581" i="1"/>
  <c r="R573" i="1"/>
  <c r="R565" i="1"/>
  <c r="R557" i="1"/>
  <c r="R549" i="1"/>
  <c r="R537" i="1"/>
  <c r="R521" i="1"/>
  <c r="R505" i="1"/>
  <c r="R489" i="1"/>
  <c r="R711" i="1"/>
  <c r="S710" i="1"/>
  <c r="R709" i="1"/>
  <c r="R707" i="1"/>
  <c r="R705" i="1"/>
  <c r="R692" i="1"/>
  <c r="S691" i="1"/>
  <c r="R690" i="1"/>
  <c r="R666" i="1"/>
  <c r="R663" i="1"/>
  <c r="R643" i="1"/>
  <c r="R634" i="1"/>
  <c r="R600" i="1"/>
  <c r="R592" i="1"/>
  <c r="R584" i="1"/>
  <c r="S460" i="1"/>
  <c r="R460" i="1"/>
  <c r="S706" i="1"/>
  <c r="R469" i="1"/>
  <c r="R471" i="1"/>
  <c r="R483" i="1"/>
  <c r="R496" i="1"/>
  <c r="R509" i="1"/>
  <c r="S511" i="1"/>
  <c r="R511" i="1"/>
  <c r="R513" i="1"/>
  <c r="S518" i="1"/>
  <c r="R518" i="1"/>
  <c r="S524" i="1"/>
  <c r="R524" i="1"/>
  <c r="R533" i="1"/>
  <c r="R535" i="1"/>
  <c r="R568" i="1"/>
  <c r="S372" i="1"/>
  <c r="S376" i="1"/>
  <c r="S388" i="1"/>
  <c r="S392" i="1"/>
  <c r="S396" i="1"/>
  <c r="S400" i="1"/>
  <c r="S404" i="1"/>
  <c r="S412" i="1"/>
  <c r="S416" i="1"/>
  <c r="S420" i="1"/>
  <c r="S424" i="1"/>
  <c r="S428" i="1"/>
  <c r="S432" i="1"/>
  <c r="S436" i="1"/>
  <c r="S440" i="1"/>
  <c r="S444" i="1"/>
  <c r="S448" i="1"/>
  <c r="R468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15" i="1"/>
  <c r="R453" i="1"/>
  <c r="R621" i="1"/>
  <c r="R613" i="1"/>
  <c r="R605" i="1"/>
  <c r="R473" i="1"/>
  <c r="R457" i="1"/>
  <c r="R631" i="1"/>
  <c r="R616" i="1"/>
  <c r="R608" i="1"/>
  <c r="R455" i="1"/>
  <c r="R467" i="1"/>
  <c r="R480" i="1"/>
  <c r="R493" i="1"/>
  <c r="S495" i="1"/>
  <c r="R495" i="1"/>
  <c r="R497" i="1"/>
  <c r="S502" i="1"/>
  <c r="R502" i="1"/>
  <c r="S508" i="1"/>
  <c r="R508" i="1"/>
  <c r="R517" i="1"/>
  <c r="R519" i="1"/>
  <c r="R531" i="1"/>
  <c r="R544" i="1"/>
  <c r="R576" i="1"/>
  <c r="S363" i="1"/>
  <c r="S371" i="1"/>
  <c r="S379" i="1"/>
  <c r="S383" i="1"/>
  <c r="S387" i="1"/>
  <c r="S391" i="1"/>
  <c r="S399" i="1"/>
  <c r="S411" i="1"/>
  <c r="S415" i="1"/>
  <c r="S419" i="1"/>
  <c r="S423" i="1"/>
  <c r="S427" i="1"/>
  <c r="S431" i="1"/>
  <c r="S435" i="1"/>
  <c r="S439" i="1"/>
  <c r="S443" i="1"/>
  <c r="S447" i="1"/>
  <c r="S451" i="1"/>
  <c r="R464" i="1"/>
  <c r="R477" i="1"/>
  <c r="S479" i="1"/>
  <c r="R479" i="1"/>
  <c r="R481" i="1"/>
  <c r="S486" i="1"/>
  <c r="R486" i="1"/>
  <c r="S492" i="1"/>
  <c r="R492" i="1"/>
  <c r="R501" i="1"/>
  <c r="R503" i="1"/>
  <c r="R515" i="1"/>
  <c r="R528" i="1"/>
  <c r="R541" i="1"/>
  <c r="S543" i="1"/>
  <c r="R543" i="1"/>
  <c r="R552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S362" i="1"/>
  <c r="S370" i="1"/>
  <c r="S378" i="1"/>
  <c r="S382" i="1"/>
  <c r="S386" i="1"/>
  <c r="S390" i="1"/>
  <c r="S394" i="1"/>
  <c r="S398" i="1"/>
  <c r="S406" i="1"/>
  <c r="S414" i="1"/>
  <c r="S418" i="1"/>
  <c r="S422" i="1"/>
  <c r="S426" i="1"/>
  <c r="S430" i="1"/>
  <c r="S434" i="1"/>
  <c r="S438" i="1"/>
  <c r="S442" i="1"/>
  <c r="S446" i="1"/>
  <c r="S450" i="1"/>
  <c r="R461" i="1"/>
  <c r="S463" i="1"/>
  <c r="R463" i="1"/>
  <c r="S708" i="1"/>
  <c r="S704" i="1"/>
  <c r="R465" i="1"/>
  <c r="S470" i="1"/>
  <c r="R470" i="1"/>
  <c r="S476" i="1"/>
  <c r="R476" i="1"/>
  <c r="R485" i="1"/>
  <c r="R487" i="1"/>
  <c r="R499" i="1"/>
  <c r="R512" i="1"/>
  <c r="R525" i="1"/>
  <c r="S527" i="1"/>
  <c r="R527" i="1"/>
  <c r="R529" i="1"/>
  <c r="S534" i="1"/>
  <c r="R534" i="1"/>
  <c r="S540" i="1"/>
  <c r="R540" i="1"/>
  <c r="R560" i="1"/>
  <c r="R623" i="1"/>
  <c r="S630" i="1"/>
  <c r="S633" i="1"/>
  <c r="S636" i="1"/>
  <c r="R636" i="1"/>
  <c r="S645" i="1"/>
  <c r="R645" i="1"/>
  <c r="R655" i="1"/>
  <c r="S662" i="1"/>
  <c r="S665" i="1"/>
  <c r="S668" i="1"/>
  <c r="R668" i="1"/>
  <c r="R682" i="1"/>
  <c r="S694" i="1"/>
  <c r="R702" i="1"/>
  <c r="S702" i="1"/>
  <c r="S713" i="1"/>
  <c r="S714" i="1"/>
  <c r="R714" i="1"/>
  <c r="S721" i="1"/>
  <c r="R721" i="1"/>
  <c r="S726" i="1"/>
  <c r="S730" i="1"/>
  <c r="S749" i="1"/>
  <c r="S753" i="1"/>
  <c r="S759" i="1"/>
  <c r="S456" i="1"/>
  <c r="S459" i="1"/>
  <c r="S466" i="1"/>
  <c r="R466" i="1"/>
  <c r="S472" i="1"/>
  <c r="S475" i="1"/>
  <c r="S482" i="1"/>
  <c r="R482" i="1"/>
  <c r="S488" i="1"/>
  <c r="S491" i="1"/>
  <c r="S498" i="1"/>
  <c r="R498" i="1"/>
  <c r="S504" i="1"/>
  <c r="S507" i="1"/>
  <c r="S514" i="1"/>
  <c r="R514" i="1"/>
  <c r="S520" i="1"/>
  <c r="S523" i="1"/>
  <c r="S530" i="1"/>
  <c r="R530" i="1"/>
  <c r="S536" i="1"/>
  <c r="S539" i="1"/>
  <c r="S546" i="1"/>
  <c r="R546" i="1"/>
  <c r="S548" i="1"/>
  <c r="S551" i="1"/>
  <c r="R551" i="1"/>
  <c r="S556" i="1"/>
  <c r="S559" i="1"/>
  <c r="R559" i="1"/>
  <c r="S564" i="1"/>
  <c r="S567" i="1"/>
  <c r="R567" i="1"/>
  <c r="S572" i="1"/>
  <c r="S575" i="1"/>
  <c r="R575" i="1"/>
  <c r="S580" i="1"/>
  <c r="S583" i="1"/>
  <c r="R583" i="1"/>
  <c r="S588" i="1"/>
  <c r="S591" i="1"/>
  <c r="R591" i="1"/>
  <c r="S596" i="1"/>
  <c r="S599" i="1"/>
  <c r="R599" i="1"/>
  <c r="S604" i="1"/>
  <c r="S607" i="1"/>
  <c r="R607" i="1"/>
  <c r="S612" i="1"/>
  <c r="S615" i="1"/>
  <c r="R615" i="1"/>
  <c r="S620" i="1"/>
  <c r="R630" i="1"/>
  <c r="R633" i="1"/>
  <c r="R635" i="1"/>
  <c r="S640" i="1"/>
  <c r="R640" i="1"/>
  <c r="S642" i="1"/>
  <c r="R642" i="1"/>
  <c r="R662" i="1"/>
  <c r="R665" i="1"/>
  <c r="R667" i="1"/>
  <c r="S672" i="1"/>
  <c r="R672" i="1"/>
  <c r="S693" i="1"/>
  <c r="R697" i="1"/>
  <c r="S697" i="1"/>
  <c r="S700" i="1"/>
  <c r="R704" i="1"/>
  <c r="S711" i="1"/>
  <c r="S729" i="1"/>
  <c r="S737" i="1"/>
  <c r="S748" i="1"/>
  <c r="S756" i="1"/>
  <c r="R956" i="1"/>
  <c r="R952" i="1"/>
  <c r="S951" i="1"/>
  <c r="R946" i="1"/>
  <c r="R942" i="1"/>
  <c r="R938" i="1"/>
  <c r="R934" i="1"/>
  <c r="R991" i="1"/>
  <c r="R987" i="1"/>
  <c r="R983" i="1"/>
  <c r="R979" i="1"/>
  <c r="R975" i="1"/>
  <c r="R971" i="1"/>
  <c r="R967" i="1"/>
  <c r="R963" i="1"/>
  <c r="R959" i="1"/>
  <c r="R955" i="1"/>
  <c r="R951" i="1"/>
  <c r="R950" i="1"/>
  <c r="R945" i="1"/>
  <c r="R937" i="1"/>
  <c r="R911" i="1"/>
  <c r="R901" i="1"/>
  <c r="R844" i="1"/>
  <c r="R840" i="1"/>
  <c r="R836" i="1"/>
  <c r="R832" i="1"/>
  <c r="R828" i="1"/>
  <c r="R941" i="1"/>
  <c r="R930" i="1"/>
  <c r="S927" i="1"/>
  <c r="R920" i="1"/>
  <c r="R919" i="1"/>
  <c r="R918" i="1"/>
  <c r="R917" i="1"/>
  <c r="R895" i="1"/>
  <c r="S892" i="1"/>
  <c r="R857" i="1"/>
  <c r="S949" i="1"/>
  <c r="R933" i="1"/>
  <c r="R894" i="1"/>
  <c r="R882" i="1"/>
  <c r="R874" i="1"/>
  <c r="R866" i="1"/>
  <c r="R858" i="1"/>
  <c r="S924" i="1"/>
  <c r="R900" i="1"/>
  <c r="R921" i="1"/>
  <c r="R912" i="1"/>
  <c r="S911" i="1"/>
  <c r="R904" i="1"/>
  <c r="R891" i="1"/>
  <c r="R878" i="1"/>
  <c r="R870" i="1"/>
  <c r="R862" i="1"/>
  <c r="S856" i="1"/>
  <c r="S853" i="1"/>
  <c r="S852" i="1"/>
  <c r="S851" i="1"/>
  <c r="S850" i="1"/>
  <c r="R846" i="1"/>
  <c r="R929" i="1"/>
  <c r="R902" i="1"/>
  <c r="R892" i="1"/>
  <c r="R860" i="1"/>
  <c r="R856" i="1"/>
  <c r="R855" i="1"/>
  <c r="R854" i="1"/>
  <c r="R853" i="1"/>
  <c r="R852" i="1"/>
  <c r="R851" i="1"/>
  <c r="R850" i="1"/>
  <c r="R843" i="1"/>
  <c r="R835" i="1"/>
  <c r="R827" i="1"/>
  <c r="R839" i="1"/>
  <c r="S838" i="1"/>
  <c r="R823" i="1"/>
  <c r="S822" i="1"/>
  <c r="R821" i="1"/>
  <c r="R811" i="1"/>
  <c r="R809" i="1"/>
  <c r="R807" i="1"/>
  <c r="S806" i="1"/>
  <c r="R801" i="1"/>
  <c r="S800" i="1"/>
  <c r="R799" i="1"/>
  <c r="S798" i="1"/>
  <c r="R793" i="1"/>
  <c r="S792" i="1"/>
  <c r="R791" i="1"/>
  <c r="S790" i="1"/>
  <c r="R785" i="1"/>
  <c r="S784" i="1"/>
  <c r="R783" i="1"/>
  <c r="R777" i="1"/>
  <c r="R762" i="1"/>
  <c r="R760" i="1"/>
  <c r="S757" i="1"/>
  <c r="R749" i="1"/>
  <c r="R744" i="1"/>
  <c r="R738" i="1"/>
  <c r="R737" i="1"/>
  <c r="R732" i="1"/>
  <c r="R730" i="1"/>
  <c r="R772" i="1"/>
  <c r="R699" i="1"/>
  <c r="R845" i="1"/>
  <c r="R831" i="1"/>
  <c r="R771" i="1"/>
  <c r="R769" i="1"/>
  <c r="R720" i="1"/>
  <c r="R698" i="1"/>
  <c r="R674" i="1"/>
  <c r="R864" i="1"/>
  <c r="R754" i="1"/>
  <c r="R752" i="1"/>
  <c r="R750" i="1"/>
  <c r="R739" i="1"/>
  <c r="S738" i="1"/>
  <c r="S734" i="1"/>
  <c r="R733" i="1"/>
  <c r="R719" i="1"/>
  <c r="R718" i="1"/>
  <c r="S717" i="1"/>
  <c r="R713" i="1"/>
  <c r="S712" i="1"/>
  <c r="R688" i="1"/>
  <c r="R680" i="1"/>
  <c r="S679" i="1"/>
  <c r="R675" i="1"/>
  <c r="S918" i="1"/>
  <c r="S881" i="1"/>
  <c r="S873" i="1"/>
  <c r="S932" i="1"/>
  <c r="S919" i="1"/>
  <c r="S910" i="1"/>
  <c r="S899" i="1"/>
  <c r="S897" i="1"/>
  <c r="S890" i="1"/>
  <c r="S855" i="1"/>
  <c r="S854" i="1"/>
  <c r="S917" i="1"/>
  <c r="S782" i="1"/>
  <c r="S736" i="1"/>
  <c r="S830" i="1"/>
  <c r="S808" i="1"/>
  <c r="S761" i="1"/>
  <c r="S768" i="1"/>
  <c r="S719" i="1"/>
  <c r="S820" i="1"/>
  <c r="S776" i="1"/>
  <c r="S770" i="1"/>
  <c r="S920" i="1"/>
  <c r="S810" i="1"/>
  <c r="S751" i="1"/>
  <c r="S452" i="1"/>
  <c r="S455" i="1"/>
  <c r="R456" i="1"/>
  <c r="R459" i="1"/>
  <c r="S462" i="1"/>
  <c r="R462" i="1"/>
  <c r="S468" i="1"/>
  <c r="S471" i="1"/>
  <c r="R472" i="1"/>
  <c r="R475" i="1"/>
  <c r="S478" i="1"/>
  <c r="R478" i="1"/>
  <c r="S484" i="1"/>
  <c r="S487" i="1"/>
  <c r="R488" i="1"/>
  <c r="R491" i="1"/>
  <c r="S494" i="1"/>
  <c r="R494" i="1"/>
  <c r="S500" i="1"/>
  <c r="S503" i="1"/>
  <c r="R504" i="1"/>
  <c r="R507" i="1"/>
  <c r="S510" i="1"/>
  <c r="R510" i="1"/>
  <c r="S516" i="1"/>
  <c r="S519" i="1"/>
  <c r="R520" i="1"/>
  <c r="R523" i="1"/>
  <c r="S526" i="1"/>
  <c r="R526" i="1"/>
  <c r="S532" i="1"/>
  <c r="S535" i="1"/>
  <c r="R536" i="1"/>
  <c r="R539" i="1"/>
  <c r="S542" i="1"/>
  <c r="R542" i="1"/>
  <c r="R548" i="1"/>
  <c r="R556" i="1"/>
  <c r="R564" i="1"/>
  <c r="R572" i="1"/>
  <c r="R580" i="1"/>
  <c r="R588" i="1"/>
  <c r="R596" i="1"/>
  <c r="R604" i="1"/>
  <c r="R612" i="1"/>
  <c r="R620" i="1"/>
  <c r="R627" i="1"/>
  <c r="S629" i="1"/>
  <c r="R629" i="1"/>
  <c r="R639" i="1"/>
  <c r="S646" i="1"/>
  <c r="R647" i="1"/>
  <c r="S649" i="1"/>
  <c r="R650" i="1"/>
  <c r="S652" i="1"/>
  <c r="R652" i="1"/>
  <c r="R659" i="1"/>
  <c r="S661" i="1"/>
  <c r="R661" i="1"/>
  <c r="R671" i="1"/>
  <c r="S686" i="1"/>
  <c r="R687" i="1"/>
  <c r="S692" i="1"/>
  <c r="R694" i="1"/>
  <c r="R729" i="1"/>
  <c r="S732" i="1"/>
  <c r="S743" i="1"/>
  <c r="R748" i="1"/>
  <c r="S755" i="1"/>
  <c r="S458" i="1"/>
  <c r="R458" i="1"/>
  <c r="S464" i="1"/>
  <c r="S467" i="1"/>
  <c r="S474" i="1"/>
  <c r="R474" i="1"/>
  <c r="S480" i="1"/>
  <c r="S483" i="1"/>
  <c r="R484" i="1"/>
  <c r="S490" i="1"/>
  <c r="R490" i="1"/>
  <c r="S496" i="1"/>
  <c r="S499" i="1"/>
  <c r="R500" i="1"/>
  <c r="S506" i="1"/>
  <c r="R506" i="1"/>
  <c r="S512" i="1"/>
  <c r="S515" i="1"/>
  <c r="R516" i="1"/>
  <c r="S522" i="1"/>
  <c r="R522" i="1"/>
  <c r="S528" i="1"/>
  <c r="S531" i="1"/>
  <c r="R532" i="1"/>
  <c r="S538" i="1"/>
  <c r="R538" i="1"/>
  <c r="S544" i="1"/>
  <c r="R545" i="1"/>
  <c r="S547" i="1"/>
  <c r="R547" i="1"/>
  <c r="S552" i="1"/>
  <c r="R553" i="1"/>
  <c r="S555" i="1"/>
  <c r="R555" i="1"/>
  <c r="S560" i="1"/>
  <c r="R561" i="1"/>
  <c r="S563" i="1"/>
  <c r="R563" i="1"/>
  <c r="S568" i="1"/>
  <c r="R569" i="1"/>
  <c r="S571" i="1"/>
  <c r="R571" i="1"/>
  <c r="S576" i="1"/>
  <c r="R577" i="1"/>
  <c r="S579" i="1"/>
  <c r="R579" i="1"/>
  <c r="S584" i="1"/>
  <c r="R585" i="1"/>
  <c r="S587" i="1"/>
  <c r="R587" i="1"/>
  <c r="S592" i="1"/>
  <c r="R593" i="1"/>
  <c r="S595" i="1"/>
  <c r="R595" i="1"/>
  <c r="S600" i="1"/>
  <c r="R601" i="1"/>
  <c r="S603" i="1"/>
  <c r="R603" i="1"/>
  <c r="S608" i="1"/>
  <c r="R609" i="1"/>
  <c r="S611" i="1"/>
  <c r="R611" i="1"/>
  <c r="S616" i="1"/>
  <c r="R617" i="1"/>
  <c r="S619" i="1"/>
  <c r="R619" i="1"/>
  <c r="S624" i="1"/>
  <c r="R624" i="1"/>
  <c r="S626" i="1"/>
  <c r="R626" i="1"/>
  <c r="R637" i="1"/>
  <c r="R646" i="1"/>
  <c r="R649" i="1"/>
  <c r="R651" i="1"/>
  <c r="S656" i="1"/>
  <c r="R656" i="1"/>
  <c r="S658" i="1"/>
  <c r="R658" i="1"/>
  <c r="R669" i="1"/>
  <c r="R683" i="1"/>
  <c r="S683" i="1"/>
  <c r="S687" i="1"/>
  <c r="R693" i="1"/>
  <c r="S698" i="1"/>
  <c r="S703" i="1"/>
  <c r="R703" i="1"/>
  <c r="R712" i="1"/>
  <c r="R715" i="1"/>
  <c r="S715" i="1"/>
  <c r="S718" i="1"/>
  <c r="S771" i="1"/>
  <c r="S674" i="1"/>
  <c r="R677" i="1"/>
  <c r="S677" i="1"/>
  <c r="R696" i="1"/>
  <c r="S696" i="1"/>
  <c r="R708" i="1"/>
  <c r="R724" i="1"/>
  <c r="S725" i="1"/>
  <c r="S727" i="1"/>
  <c r="R728" i="1"/>
  <c r="R742" i="1"/>
  <c r="S746" i="1"/>
  <c r="R747" i="1"/>
  <c r="R758" i="1"/>
  <c r="R763" i="1"/>
  <c r="S764" i="1"/>
  <c r="R764" i="1"/>
  <c r="R767" i="1"/>
  <c r="S767" i="1"/>
  <c r="R778" i="1"/>
  <c r="S779" i="1"/>
  <c r="R779" i="1"/>
  <c r="R782" i="1"/>
  <c r="R786" i="1"/>
  <c r="S787" i="1"/>
  <c r="R787" i="1"/>
  <c r="R790" i="1"/>
  <c r="R794" i="1"/>
  <c r="S795" i="1"/>
  <c r="R795" i="1"/>
  <c r="R798" i="1"/>
  <c r="R802" i="1"/>
  <c r="S803" i="1"/>
  <c r="R803" i="1"/>
  <c r="R806" i="1"/>
  <c r="R812" i="1"/>
  <c r="S813" i="1"/>
  <c r="R813" i="1"/>
  <c r="S816" i="1"/>
  <c r="S817" i="1"/>
  <c r="R817" i="1"/>
  <c r="R820" i="1"/>
  <c r="R848" i="1"/>
  <c r="S848" i="1"/>
  <c r="S554" i="1"/>
  <c r="S562" i="1"/>
  <c r="S566" i="1"/>
  <c r="S570" i="1"/>
  <c r="S574" i="1"/>
  <c r="S578" i="1"/>
  <c r="S582" i="1"/>
  <c r="S586" i="1"/>
  <c r="S590" i="1"/>
  <c r="S594" i="1"/>
  <c r="S598" i="1"/>
  <c r="S602" i="1"/>
  <c r="S606" i="1"/>
  <c r="S610" i="1"/>
  <c r="S614" i="1"/>
  <c r="S618" i="1"/>
  <c r="S625" i="1"/>
  <c r="S638" i="1"/>
  <c r="S641" i="1"/>
  <c r="S648" i="1"/>
  <c r="R648" i="1"/>
  <c r="S657" i="1"/>
  <c r="S670" i="1"/>
  <c r="S673" i="1"/>
  <c r="R686" i="1"/>
  <c r="S690" i="1"/>
  <c r="R691" i="1"/>
  <c r="S705" i="1"/>
  <c r="R706" i="1"/>
  <c r="S707" i="1"/>
  <c r="S709" i="1"/>
  <c r="R710" i="1"/>
  <c r="S723" i="1"/>
  <c r="S739" i="1"/>
  <c r="R741" i="1"/>
  <c r="S741" i="1"/>
  <c r="R753" i="1"/>
  <c r="R757" i="1"/>
  <c r="S762" i="1"/>
  <c r="S777" i="1"/>
  <c r="S785" i="1"/>
  <c r="S793" i="1"/>
  <c r="S801" i="1"/>
  <c r="S811" i="1"/>
  <c r="R834" i="1"/>
  <c r="S834" i="1"/>
  <c r="S861" i="1"/>
  <c r="R861" i="1"/>
  <c r="S908" i="1"/>
  <c r="S916" i="1"/>
  <c r="S926" i="1"/>
  <c r="S928" i="1"/>
  <c r="S550" i="1"/>
  <c r="S558" i="1"/>
  <c r="S622" i="1"/>
  <c r="S632" i="1"/>
  <c r="R632" i="1"/>
  <c r="S654" i="1"/>
  <c r="S664" i="1"/>
  <c r="R664" i="1"/>
  <c r="S453" i="1"/>
  <c r="S457" i="1"/>
  <c r="S461" i="1"/>
  <c r="S465" i="1"/>
  <c r="S469" i="1"/>
  <c r="S473" i="1"/>
  <c r="S477" i="1"/>
  <c r="S481" i="1"/>
  <c r="S485" i="1"/>
  <c r="S489" i="1"/>
  <c r="S493" i="1"/>
  <c r="S497" i="1"/>
  <c r="S501" i="1"/>
  <c r="S505" i="1"/>
  <c r="S509" i="1"/>
  <c r="S513" i="1"/>
  <c r="S517" i="1"/>
  <c r="S521" i="1"/>
  <c r="S525" i="1"/>
  <c r="S529" i="1"/>
  <c r="S533" i="1"/>
  <c r="S537" i="1"/>
  <c r="S541" i="1"/>
  <c r="S545" i="1"/>
  <c r="S549" i="1"/>
  <c r="R550" i="1"/>
  <c r="S553" i="1"/>
  <c r="R554" i="1"/>
  <c r="S557" i="1"/>
  <c r="R558" i="1"/>
  <c r="S561" i="1"/>
  <c r="R562" i="1"/>
  <c r="S565" i="1"/>
  <c r="R566" i="1"/>
  <c r="S569" i="1"/>
  <c r="R570" i="1"/>
  <c r="S573" i="1"/>
  <c r="R574" i="1"/>
  <c r="S577" i="1"/>
  <c r="R578" i="1"/>
  <c r="S581" i="1"/>
  <c r="R582" i="1"/>
  <c r="S585" i="1"/>
  <c r="R586" i="1"/>
  <c r="S589" i="1"/>
  <c r="R590" i="1"/>
  <c r="S593" i="1"/>
  <c r="R594" i="1"/>
  <c r="S597" i="1"/>
  <c r="R598" i="1"/>
  <c r="S601" i="1"/>
  <c r="R602" i="1"/>
  <c r="S605" i="1"/>
  <c r="R606" i="1"/>
  <c r="S609" i="1"/>
  <c r="R610" i="1"/>
  <c r="S613" i="1"/>
  <c r="R614" i="1"/>
  <c r="S617" i="1"/>
  <c r="R618" i="1"/>
  <c r="S621" i="1"/>
  <c r="R622" i="1"/>
  <c r="R625" i="1"/>
  <c r="S628" i="1"/>
  <c r="R628" i="1"/>
  <c r="S634" i="1"/>
  <c r="S637" i="1"/>
  <c r="R638" i="1"/>
  <c r="R641" i="1"/>
  <c r="S644" i="1"/>
  <c r="R644" i="1"/>
  <c r="S650" i="1"/>
  <c r="S653" i="1"/>
  <c r="R654" i="1"/>
  <c r="R657" i="1"/>
  <c r="S660" i="1"/>
  <c r="R660" i="1"/>
  <c r="S666" i="1"/>
  <c r="S669" i="1"/>
  <c r="R670" i="1"/>
  <c r="R673" i="1"/>
  <c r="S676" i="1"/>
  <c r="R676" i="1"/>
  <c r="R679" i="1"/>
  <c r="S680" i="1"/>
  <c r="R685" i="1"/>
  <c r="S685" i="1"/>
  <c r="S720" i="1"/>
  <c r="S722" i="1"/>
  <c r="R722" i="1"/>
  <c r="R723" i="1"/>
  <c r="S724" i="1"/>
  <c r="R725" i="1"/>
  <c r="R727" i="1"/>
  <c r="S728" i="1"/>
  <c r="S733" i="1"/>
  <c r="R734" i="1"/>
  <c r="S740" i="1"/>
  <c r="R740" i="1"/>
  <c r="S742" i="1"/>
  <c r="R743" i="1"/>
  <c r="R746" i="1"/>
  <c r="S747" i="1"/>
  <c r="S750" i="1"/>
  <c r="R751" i="1"/>
  <c r="S752" i="1"/>
  <c r="S754" i="1"/>
  <c r="R755" i="1"/>
  <c r="R756" i="1"/>
  <c r="S758" i="1"/>
  <c r="R759" i="1"/>
  <c r="R766" i="1"/>
  <c r="S766" i="1"/>
  <c r="R768" i="1"/>
  <c r="S781" i="1"/>
  <c r="R781" i="1"/>
  <c r="S789" i="1"/>
  <c r="R789" i="1"/>
  <c r="S797" i="1"/>
  <c r="R797" i="1"/>
  <c r="S805" i="1"/>
  <c r="R805" i="1"/>
  <c r="S815" i="1"/>
  <c r="R815" i="1"/>
  <c r="S819" i="1"/>
  <c r="R819" i="1"/>
  <c r="S849" i="1"/>
  <c r="R726" i="1"/>
  <c r="R765" i="1"/>
  <c r="S765" i="1"/>
  <c r="S772" i="1"/>
  <c r="R780" i="1"/>
  <c r="S780" i="1"/>
  <c r="R788" i="1"/>
  <c r="S788" i="1"/>
  <c r="R796" i="1"/>
  <c r="S796" i="1"/>
  <c r="R804" i="1"/>
  <c r="S804" i="1"/>
  <c r="R814" i="1"/>
  <c r="S814" i="1"/>
  <c r="R818" i="1"/>
  <c r="S818" i="1"/>
  <c r="R826" i="1"/>
  <c r="S826" i="1"/>
  <c r="R842" i="1"/>
  <c r="S842" i="1"/>
  <c r="S857" i="1"/>
  <c r="S869" i="1"/>
  <c r="S877" i="1"/>
  <c r="S885" i="1"/>
  <c r="S760" i="1"/>
  <c r="R761" i="1"/>
  <c r="S763" i="1"/>
  <c r="R776" i="1"/>
  <c r="S778" i="1"/>
  <c r="S783" i="1"/>
  <c r="R784" i="1"/>
  <c r="S786" i="1"/>
  <c r="S791" i="1"/>
  <c r="R792" i="1"/>
  <c r="S794" i="1"/>
  <c r="S799" i="1"/>
  <c r="R800" i="1"/>
  <c r="S802" i="1"/>
  <c r="S807" i="1"/>
  <c r="R808" i="1"/>
  <c r="S809" i="1"/>
  <c r="R810" i="1"/>
  <c r="S812" i="1"/>
  <c r="S821" i="1"/>
  <c r="R822" i="1"/>
  <c r="S823" i="1"/>
  <c r="R830" i="1"/>
  <c r="R838" i="1"/>
  <c r="S846" i="1"/>
  <c r="R849" i="1"/>
  <c r="S865" i="1"/>
  <c r="R865" i="1"/>
  <c r="R873" i="1"/>
  <c r="R881" i="1"/>
  <c r="S887" i="1"/>
  <c r="R887" i="1"/>
  <c r="S894" i="1"/>
  <c r="S895" i="1"/>
  <c r="S907" i="1"/>
  <c r="R907" i="1"/>
  <c r="R925" i="1"/>
  <c r="R932" i="1"/>
  <c r="S936" i="1"/>
  <c r="S940" i="1"/>
  <c r="S944" i="1"/>
  <c r="S948" i="1"/>
  <c r="S773" i="1"/>
  <c r="R774" i="1"/>
  <c r="R816" i="1"/>
  <c r="S827" i="1"/>
  <c r="S828" i="1"/>
  <c r="S829" i="1"/>
  <c r="R829" i="1"/>
  <c r="S835" i="1"/>
  <c r="S836" i="1"/>
  <c r="S837" i="1"/>
  <c r="R837" i="1"/>
  <c r="S843" i="1"/>
  <c r="S844" i="1"/>
  <c r="S845" i="1"/>
  <c r="S859" i="1"/>
  <c r="R859" i="1"/>
  <c r="S867" i="1"/>
  <c r="R867" i="1"/>
  <c r="S875" i="1"/>
  <c r="R875" i="1"/>
  <c r="S883" i="1"/>
  <c r="R883" i="1"/>
  <c r="S889" i="1"/>
  <c r="R889" i="1"/>
  <c r="S909" i="1"/>
  <c r="S923" i="1"/>
  <c r="R927" i="1"/>
  <c r="S929" i="1"/>
  <c r="S930" i="1"/>
  <c r="R869" i="1"/>
  <c r="R877" i="1"/>
  <c r="R885" i="1"/>
  <c r="S891" i="1"/>
  <c r="S898" i="1"/>
  <c r="S903" i="1"/>
  <c r="R903" i="1"/>
  <c r="R908" i="1"/>
  <c r="R909" i="1"/>
  <c r="R916" i="1"/>
  <c r="S934" i="1"/>
  <c r="S935" i="1"/>
  <c r="R935" i="1"/>
  <c r="S942" i="1"/>
  <c r="S943" i="1"/>
  <c r="R943" i="1"/>
  <c r="S952" i="1"/>
  <c r="S953" i="1"/>
  <c r="S956" i="1"/>
  <c r="S957" i="1"/>
  <c r="S960" i="1"/>
  <c r="S961" i="1"/>
  <c r="S964" i="1"/>
  <c r="S965" i="1"/>
  <c r="S968" i="1"/>
  <c r="S969" i="1"/>
  <c r="S972" i="1"/>
  <c r="S973" i="1"/>
  <c r="S976" i="1"/>
  <c r="S977" i="1"/>
  <c r="S980" i="1"/>
  <c r="S981" i="1"/>
  <c r="S984" i="1"/>
  <c r="S985" i="1"/>
  <c r="S988" i="1"/>
  <c r="S623" i="1"/>
  <c r="S627" i="1"/>
  <c r="S631" i="1"/>
  <c r="S635" i="1"/>
  <c r="S639" i="1"/>
  <c r="S643" i="1"/>
  <c r="S647" i="1"/>
  <c r="S651" i="1"/>
  <c r="S655" i="1"/>
  <c r="S659" i="1"/>
  <c r="S663" i="1"/>
  <c r="S667" i="1"/>
  <c r="S671" i="1"/>
  <c r="S675" i="1"/>
  <c r="S682" i="1"/>
  <c r="S688" i="1"/>
  <c r="S699" i="1"/>
  <c r="R700" i="1"/>
  <c r="R717" i="1"/>
  <c r="R736" i="1"/>
  <c r="S744" i="1"/>
  <c r="S769" i="1"/>
  <c r="R770" i="1"/>
  <c r="R773" i="1"/>
  <c r="S774" i="1"/>
  <c r="S824" i="1"/>
  <c r="R824" i="1"/>
  <c r="S825" i="1"/>
  <c r="R825" i="1"/>
  <c r="S831" i="1"/>
  <c r="S832" i="1"/>
  <c r="S833" i="1"/>
  <c r="R833" i="1"/>
  <c r="S839" i="1"/>
  <c r="S840" i="1"/>
  <c r="S841" i="1"/>
  <c r="R841" i="1"/>
  <c r="S863" i="1"/>
  <c r="R863" i="1"/>
  <c r="S871" i="1"/>
  <c r="R871" i="1"/>
  <c r="S879" i="1"/>
  <c r="R879" i="1"/>
  <c r="R890" i="1"/>
  <c r="R897" i="1"/>
  <c r="R898" i="1"/>
  <c r="S900" i="1"/>
  <c r="S901" i="1"/>
  <c r="S905" i="1"/>
  <c r="R905" i="1"/>
  <c r="R910" i="1"/>
  <c r="S913" i="1"/>
  <c r="R913" i="1"/>
  <c r="S915" i="1"/>
  <c r="S922" i="1"/>
  <c r="R922" i="1"/>
  <c r="S925" i="1"/>
  <c r="S933" i="1"/>
  <c r="S941" i="1"/>
  <c r="S937" i="1"/>
  <c r="S938" i="1"/>
  <c r="S939" i="1"/>
  <c r="R939" i="1"/>
  <c r="S945" i="1"/>
  <c r="S946" i="1"/>
  <c r="S947" i="1"/>
  <c r="R947" i="1"/>
  <c r="S954" i="1"/>
  <c r="S958" i="1"/>
  <c r="S959" i="1"/>
  <c r="S962" i="1"/>
  <c r="S963" i="1"/>
  <c r="S966" i="1"/>
  <c r="S967" i="1"/>
  <c r="S970" i="1"/>
  <c r="S971" i="1"/>
  <c r="S974" i="1"/>
  <c r="S975" i="1"/>
  <c r="S978" i="1"/>
  <c r="S979" i="1"/>
  <c r="S982" i="1"/>
  <c r="S983" i="1"/>
  <c r="S986" i="1"/>
  <c r="S987" i="1"/>
  <c r="S990" i="1"/>
  <c r="S991" i="1"/>
  <c r="S994" i="1"/>
  <c r="S995" i="1"/>
  <c r="S860" i="1"/>
  <c r="S864" i="1"/>
  <c r="R868" i="1"/>
  <c r="S870" i="1"/>
  <c r="R872" i="1"/>
  <c r="S874" i="1"/>
  <c r="R876" i="1"/>
  <c r="S878" i="1"/>
  <c r="R880" i="1"/>
  <c r="S882" i="1"/>
  <c r="S884" i="1"/>
  <c r="R884" i="1"/>
  <c r="S888" i="1"/>
  <c r="R888" i="1"/>
  <c r="R899" i="1"/>
  <c r="S902" i="1"/>
  <c r="S906" i="1"/>
  <c r="R906" i="1"/>
  <c r="S912" i="1"/>
  <c r="S914" i="1"/>
  <c r="R914" i="1"/>
  <c r="R926" i="1"/>
  <c r="R936" i="1"/>
  <c r="R944" i="1"/>
  <c r="S950" i="1"/>
  <c r="R954" i="1"/>
  <c r="R958" i="1"/>
  <c r="R962" i="1"/>
  <c r="R966" i="1"/>
  <c r="R970" i="1"/>
  <c r="R974" i="1"/>
  <c r="R978" i="1"/>
  <c r="R982" i="1"/>
  <c r="R986" i="1"/>
  <c r="R990" i="1"/>
  <c r="R994" i="1"/>
  <c r="S989" i="1"/>
  <c r="S992" i="1"/>
  <c r="S993" i="1"/>
  <c r="S996" i="1"/>
  <c r="S997" i="1"/>
  <c r="S847" i="1"/>
  <c r="R847" i="1"/>
  <c r="S858" i="1"/>
  <c r="S862" i="1"/>
  <c r="S866" i="1"/>
  <c r="S868" i="1"/>
  <c r="S872" i="1"/>
  <c r="S876" i="1"/>
  <c r="S880" i="1"/>
  <c r="S896" i="1"/>
  <c r="R896" i="1"/>
  <c r="S904" i="1"/>
  <c r="R915" i="1"/>
  <c r="S921" i="1"/>
  <c r="R923" i="1"/>
  <c r="R924" i="1"/>
  <c r="R928" i="1"/>
  <c r="S931" i="1"/>
  <c r="R931" i="1"/>
  <c r="R940" i="1"/>
  <c r="R948" i="1"/>
  <c r="R949" i="1"/>
  <c r="S955" i="1"/>
  <c r="R995" i="1"/>
  <c r="R960" i="1"/>
  <c r="R964" i="1"/>
  <c r="R968" i="1"/>
  <c r="R972" i="1"/>
  <c r="R976" i="1"/>
  <c r="R980" i="1"/>
  <c r="R984" i="1"/>
  <c r="R988" i="1"/>
  <c r="R992" i="1"/>
  <c r="R996" i="1"/>
  <c r="R953" i="1"/>
  <c r="R957" i="1"/>
  <c r="R961" i="1"/>
  <c r="R965" i="1"/>
  <c r="R969" i="1"/>
  <c r="R973" i="1"/>
  <c r="R977" i="1"/>
  <c r="R981" i="1"/>
  <c r="R985" i="1"/>
  <c r="R989" i="1"/>
  <c r="R993" i="1"/>
  <c r="R997" i="1"/>
</calcChain>
</file>

<file path=xl/sharedStrings.xml><?xml version="1.0" encoding="utf-8"?>
<sst xmlns="http://schemas.openxmlformats.org/spreadsheetml/2006/main" count="7230" uniqueCount="3160">
  <si>
    <t>position</t>
  </si>
  <si>
    <t>thumbnail</t>
  </si>
  <si>
    <t>source</t>
  </si>
  <si>
    <t>link</t>
  </si>
  <si>
    <t>region</t>
  </si>
  <si>
    <t>location</t>
  </si>
  <si>
    <t>lat</t>
  </si>
  <si>
    <t>lng</t>
  </si>
  <si>
    <t>year</t>
  </si>
  <si>
    <t>week</t>
  </si>
  <si>
    <t>date</t>
  </si>
  <si>
    <t>platform</t>
  </si>
  <si>
    <t>original</t>
  </si>
  <si>
    <t>title</t>
  </si>
  <si>
    <t>title_EN</t>
  </si>
  <si>
    <t>preseence /absence</t>
  </si>
  <si>
    <t>count by week year</t>
  </si>
  <si>
    <t>count by week year location</t>
  </si>
  <si>
    <t>https://encrypted-tbn0.gstatic.com/images?q=tbn:ANd9GcTlL9MtCotMd0IyFI8T8NJ3GpqgVudWhrjI0vlWmKXh1f0862A&amp;s</t>
  </si>
  <si>
    <t>www.youtube.com</t>
  </si>
  <si>
    <t>https://www.youtube.com/watch?v=_04uLRoiki0</t>
  </si>
  <si>
    <t>Rishon -south</t>
  </si>
  <si>
    <t>ashkelon</t>
  </si>
  <si>
    <t>google_images</t>
  </si>
  <si>
    <t>https://i.ytimg.com/vi/_04uLRoiki0/hqdefault.jpg</t>
  </si>
  <si>
    <t>Israeli Jellyfish</t>
  </si>
  <si>
    <t>https://encrypted-tbn0.gstatic.com/images?q=tbn:ANd9GcStMLh4StxO6F3Hr8YOij0ipA1hss2EVIAbig&amp;usqp=CAU</t>
  </si>
  <si>
    <t>Exploratorius - WordPress.com</t>
  </si>
  <si>
    <t>https://exploratorius.wordpress.com/2009/03/23/haifa/picture-415/</t>
  </si>
  <si>
    <t>haifa-north</t>
  </si>
  <si>
    <t>haifa</t>
  </si>
  <si>
    <t>https://exploratorius.files.wordpress.com/2009/03/picture-415.jpg</t>
  </si>
  <si>
    <t>A “small” jellyfish | A Jaunt Around the World - Israel</t>
  </si>
  <si>
    <t>180</t>
  </si>
  <si>
    <t>https://encrypted-tbn0.gstatic.com/images?q=tbn:ANd9GcTR4VFMmTCD1cgUr7ADGy-rOFiSAEskmHyT8VqZgdbSMuWT1JE&amp;s</t>
  </si>
  <si>
    <t>amirgur.com</t>
  </si>
  <si>
    <t>http://amirgur.com/?p=1116</t>
  </si>
  <si>
    <t>http://amirgur.com/wp-content/uploads/2009/06/yamtichon_uw_lowres-8.jpg</t>
  </si>
  <si>
    <t>מדוזות בחופי הארץ | אמיר גור</t>
  </si>
  <si>
    <t>https://encrypted-tbn0.gstatic.com/images?q=tbn:ANd9GcQY_S13K4KhPjkrussL198zlMj9ai1lhG7PhpVuhGoyRKrEMwI&amp;s</t>
  </si>
  <si>
    <t>www.makorrishon.co.il</t>
  </si>
  <si>
    <t>https://www.makorrishon.co.il/nrg/online/1/ART2/123/489.html</t>
  </si>
  <si>
    <t>https://www.makorrishon.co.il/nrg/images/archive/465x349/1/241/026.jpg</t>
  </si>
  <si>
    <t>חדשות - סביבה nrg - פלישת המדוזות לים התיכון</t>
  </si>
  <si>
    <t>https://encrypted-tbn0.gstatic.com/images?q=tbn:ANd9GcR_EUaDDIElswERntUWZW_mkBhtlZQm7yNDFST7XvO24QxJ7mA&amp;s</t>
  </si>
  <si>
    <t>www.gettyimages.ie</t>
  </si>
  <si>
    <t>https://www.gettyimages.ie/photos/netanya?page=43&amp;sort=mostpopular&amp;phrase=netanya</t>
  </si>
  <si>
    <t>olga-herzelia</t>
  </si>
  <si>
    <t>natanya</t>
  </si>
  <si>
    <t>https://media.gettyimages.com/photos/israeli-children-inspect-jellyfishes-on-the-beach-in-the-coastal-of-picture-id103721893?s=612x612</t>
  </si>
  <si>
    <t>Netanya Photos and Premium High Res Pictures - Getty Images</t>
  </si>
  <si>
    <t>https://encrypted-tbn0.gstatic.com/images?q=tbn:ANd9GcRGHZHKRKJB1dXUBDTzCRaZu091GrLoeEs3mdi8wgNvJyah8hFM&amp;s</t>
  </si>
  <si>
    <t>www.alamy.com</t>
  </si>
  <si>
    <t>https://www.alamy.com/stock-photo-israel-mediterranean-sea-rhopilema-nomadica-jellyfish-30669587.html</t>
  </si>
  <si>
    <t>https://c8.alamy.com/comp/BNW3AB/israel-mediterranean-sea-rhopilema-nomadica-jellyfish-BNW3AB.jpg</t>
  </si>
  <si>
    <t>Israel, Mediterranean Sea, Rhopilema nomadica Jellyfish ...</t>
  </si>
  <si>
    <t>https://encrypted-tbn0.gstatic.com/images?q=tbn:ANd9GcQ5iVB4pUctIDP-yZ1u5Do7ravPtvLH5c3FPI7cWeYpvDXpuys&amp;s</t>
  </si>
  <si>
    <t>https://www.alamy.com/stock-photo-israel-mediterranean-sea-rhopilema-nomadica-jellyfish-30669634.html</t>
  </si>
  <si>
    <t>https://c8.alamy.com/comp/BNW3C2/israel-mediterranean-sea-rhopilema-nomadica-jellyfish-BNW3C2.jpg</t>
  </si>
  <si>
    <t>Alamy</t>
  </si>
  <si>
    <t>https://www.alamy.es/foto-israel-el-mar-mediterraneo-medusa-rhopilema-nomadica-30669525.html</t>
  </si>
  <si>
    <t>https://encrypted-tbn0.gstatic.com/images?q=tbn:ANd9GcSuXWQSniyUUrBIWHcap3QZ_Ygx8Hw-4jfP4ynsHu__BUSojggd&amp;s</t>
  </si>
  <si>
    <t>ashdodnet.com</t>
  </si>
  <si>
    <t>https://ashdodnet.com/%D7%97%D7%93%D7%A9%D7%95%D7%AA-%D7%90%D7%A9%D7%93%D7%95%D7%93/3930</t>
  </si>
  <si>
    <t>ashdod</t>
  </si>
  <si>
    <t>https://ashdodnet.com/dyncontent/Old/ashdodnet/t_post/wp-content/uploads/medu-300x199.jpg</t>
  </si>
  <si>
    <t>מתקפת המדוזות על תחנת הכח אשכול באשדוד - אשדוד נט</t>
  </si>
  <si>
    <t>https://encrypted-tbn0.gstatic.com/images?q=tbn:ANd9GcTh5MYNQ3SHFNuq123BbaHPl8SLdk3QYz0pzA&amp;usqp=CAU</t>
  </si>
  <si>
    <t>Mako</t>
  </si>
  <si>
    <t>https://www.mako.co.il/news-weather/forecast/Article-cfce199bcf2c921004.htm</t>
  </si>
  <si>
    <t>rishon lezion</t>
  </si>
  <si>
    <t>https://img.mako.co.il/2010/07/11/115261.jpg</t>
  </si>
  <si>
    <t>N12 - חדש: מדד המדוזות בחופי ישראל</t>
  </si>
  <si>
    <t>tel aviv-batyam</t>
  </si>
  <si>
    <t>tel aviv</t>
  </si>
  <si>
    <t>hadera</t>
  </si>
  <si>
    <t>https://encrypted-tbn0.gstatic.com/images?q=tbn:ANd9GcQMTommCk8suGMkW77jECKEcctY0BWGIGtSM4RNELuiGZFA8fxd&amp;s</t>
  </si>
  <si>
    <t>https://www.makorrishon.co.il/nrg/online/1/ART2/130/780.html</t>
  </si>
  <si>
    <t>krayot</t>
  </si>
  <si>
    <t>https://www.makorrishon.co.il/nrg/images/archive/300x225/1/077/480.jpg</t>
  </si>
  <si>
    <t>חדשות - בארץ nrg - ענף הייצוא החדש של קריית ים: מדוזות</t>
  </si>
  <si>
    <t>kiryat yam</t>
  </si>
  <si>
    <t>https://encrypted-tbn0.gstatic.com/images?q=tbn:ANd9GcS_m6rdnW5SagRfIb6Zd7B5NnwY32t9t33iORVsTRKrw1NAJhLs&amp;s</t>
  </si>
  <si>
    <t>https://www.makorrishon.co.il/nrg/online/54/ART2/134/614.html</t>
  </si>
  <si>
    <t>https://www.makorrishon.co.il/nrg/images/archive/465x349/1/239/265.jpg</t>
  </si>
  <si>
    <t>מקומי - קריות nrg - ...המדוזה מתה מצחוק: תעשיית הפנטזיות של</t>
  </si>
  <si>
    <t>https://encrypted-tbn0.gstatic.com/images?q=tbn:ANd9GcS1kmZCahUcvtbu1e6qcwoNOtGPLckfcQM0HIoiZbHz6CFc434O&amp;s</t>
  </si>
  <si>
    <t>jewish.ru</t>
  </si>
  <si>
    <t>https://jewish.ru/ru/news/articles/147032/</t>
  </si>
  <si>
    <t>ashkelon-palmachim</t>
  </si>
  <si>
    <t>https://jewish.ru/og-img.php?q=%D0%A3%20%D0%B1%D0%B5%D1%80%D0%B5%D0%B3%D0%BE%D0%B2%20%D0%98%D0%B7%D1%80%D0%B0%D0%B8%D0%BB%D1%8F%20%D0%B7%D0%B0%D0%BC%D0%B5%D1%87%D0%B5%D0%BD%D1%8B%20%D0%B3%D0%B8%D0%B3%D0%B0%D0%BD%D1%82%D1%81%D0%BA%D0%B8%D0%B5%20%D0%BC%D0%B5%D0%B4%D1%83%D0%B7%D1%8B-%D1%85%D0%B8%D1%89%D0%BD%D0%B8%D0%BA%D0%B8</t>
  </si>
  <si>
    <t>У берегов Израиля замечены гигантские медузы-хищники ...</t>
  </si>
  <si>
    <t>https://encrypted-tbn0.gstatic.com/images?q=tbn:ANd9GcRigdXXrPOmubmdFf-Hukp2hxHpuRgFpg5Rx3FyzGSxtgblny0&amp;s</t>
  </si>
  <si>
    <t>fraza.com</t>
  </si>
  <si>
    <t>https://fraza.com/news/119519-v-izraile-na-elektrostranciyu-napali-meduzy-foto</t>
  </si>
  <si>
    <t>https://s.fraza.com/images/2011/07/06/meduzu_1_6711.thumb.jpg</t>
  </si>
  <si>
    <t>В Израиле на электространцию напали медузы. Фото / Новости</t>
  </si>
  <si>
    <t>https://encrypted-tbn0.gstatic.com/images?q=tbn:ANd9GcTi215Zimq0p5fVrwlTD1OjfcnhnO-pacLRs53vxmyh1TZsqy6g&amp;s</t>
  </si>
  <si>
    <t>israelbusinessguide.com</t>
  </si>
  <si>
    <t>http://israelbusinessguide.com/news/meduzi_israel_plyaz/</t>
  </si>
  <si>
    <t>shq-cesaria</t>
  </si>
  <si>
    <t>ashkelon-haifa</t>
  </si>
  <si>
    <t>http://israelbusinessguide.com/photo/content/content_news/00032/799_large.jpg</t>
  </si>
  <si>
    <t>К пляжам Израиля движется огромное количество медуз</t>
  </si>
  <si>
    <t>https://encrypted-tbn0.gstatic.com/images?q=tbn:ANd9GcQOz2ovb-FlaDBEIvARCnQFYuQa6Q92uSEf5fCgX78aLqfQv-je&amp;s</t>
  </si>
  <si>
    <t>www.delfi.lt</t>
  </si>
  <si>
    <t>https://www.delfi.lt/ru/abroad/global/u-poberezhya-izrailya-nashestvie-meduz.d?id=46696365</t>
  </si>
  <si>
    <t>https://g1.dcdn.lt//images/pix/880x550/QPfns2j5tDo/file46696419_468d5151.jpg</t>
  </si>
  <si>
    <t>У побережья Израиля нашествие медуз - RU.DELFI</t>
  </si>
  <si>
    <t>https://encrypted-tbn0.gstatic.com/images?q=tbn:ANd9GcRz_vgDOxkAjZvfs7Hm-32jCwyB_GZr175m9B7TGqZGrZLb_HBD&amp;s</t>
  </si>
  <si>
    <t>novotroitsk.info</t>
  </si>
  <si>
    <t>http://novotroitsk.info/world/1575-k-poberezhyu-izrailya-priblizhaetsya-ogromnoe-kolichestvo-meduz.html</t>
  </si>
  <si>
    <t>haifa, ashkelon</t>
  </si>
  <si>
    <t>http://novotroitsk.info/uploads/posts/2012-04/1333875301_meduza.jpg</t>
  </si>
  <si>
    <t>К побережью Израиля приближается огромное количество медуз</t>
  </si>
  <si>
    <t>rishon-south</t>
  </si>
  <si>
    <t>Delphi</t>
  </si>
  <si>
    <t>https://www.delfi.lt/en/abroad/global/u-poberezhya-izrailya-nashestvie-meduz.d?id=46696365</t>
  </si>
  <si>
    <t>Russia-Online</t>
  </si>
  <si>
    <t>http://m.russia-on.ru/2153</t>
  </si>
  <si>
    <t>https://encrypted-tbn0.gstatic.com/images?q=tbn:ANd9GcSOt4y3KyukCoUFN_YBi1fzEXAmjDf8mfHMXmoAp5vSGMTRxUI&amp;s</t>
  </si>
  <si>
    <t>rus.delfi.ee</t>
  </si>
  <si>
    <t>https://rus.delfi.ee/statja/47999183/u-poberezhya-izrailya-nashestvie-meduz</t>
  </si>
  <si>
    <t>https://api.delfi.ee/media-api-image-cropper/v1/128280e0-b8eb-11eb-a43e-c39d2a6aaf33.jpg?noup&amp;w=1200&amp;h=711</t>
  </si>
  <si>
    <t>У побережья Израиля нашествие медуз - Delfi RUS</t>
  </si>
  <si>
    <t>https://encrypted-tbn0.gstatic.com/images?q=tbn:ANd9GcSr5fKXbo_G1nW58LVQjupJTJVoTAxuSuKYH2SpjOytXnwIuns&amp;s</t>
  </si>
  <si>
    <t>www.tert.am</t>
  </si>
  <si>
    <t>https://www.tert.am/ru/news/2011/06/17/israel/297719</t>
  </si>
  <si>
    <t>https://www.tert.am/cache_image/news_images/100/297719_2/f54779b75a8586_54779b75a85c1-770x510.jpg</t>
  </si>
  <si>
    <t>На Израиль движутся полчища медуз - Новости Армении - Терт.am</t>
  </si>
  <si>
    <t>https://encrypted-tbn0.gstatic.com/images?q=tbn:ANd9GcS_TGDnANCQasjzQjwBYe8lKpZutHTnTsTISwapKUAlRM53Mgze&amp;s</t>
  </si>
  <si>
    <t>www.vesti.ru</t>
  </si>
  <si>
    <t>https://www.vesti.ru/article/2043491</t>
  </si>
  <si>
    <t>https://cdn-st1.rtr-vesti.ru/vh/pictures/xw/267/771/8.jpg</t>
  </si>
  <si>
    <t>Пляжи Израиля атакуют медузы</t>
  </si>
  <si>
    <t>Strana.co.il - news of Israel, the world, show business</t>
  </si>
  <si>
    <t>http://www.strana.co.il/news/?ID=57755&amp;cat=3</t>
  </si>
  <si>
    <t>https://encrypted-tbn0.gstatic.com/images?q=tbn:ANd9GcTTNpyFzO1JbTlXmXCy-Ceapx8gjzPdNVqLVmBpRqFXob1Tg9Fy&amp;s</t>
  </si>
  <si>
    <t>lb.ua</t>
  </si>
  <si>
    <t>https://lb.ua/world/2011/06/19/101942_turistov_v_izraile_podzhidaet_opa.html</t>
  </si>
  <si>
    <t>beach tel aviv and north haifa</t>
  </si>
  <si>
    <t>https://i.lb.ua/108/44/dfb4f6c19115.jpg</t>
  </si>
  <si>
    <t>Туристов в Израиле поджидает опасность: к пляжам ...</t>
  </si>
  <si>
    <t>https://encrypted-tbn0.gstatic.com/images?q=tbn:ANd9GcTgSuTsMOjAAtm6GyR6MvTXjz0OjsUeuf07ekbDArZURElKQws&amp;s</t>
  </si>
  <si>
    <t>burust.livejournal.com</t>
  </si>
  <si>
    <t>https://burust.livejournal.com/124720.html</t>
  </si>
  <si>
    <t>http://www.ljplus.ru/img4/b/u/burust/aurelia-svastic.jpg</t>
  </si>
  <si>
    <t>Медузы-фашисты захватили пляжи Израиля</t>
  </si>
  <si>
    <t>https://encrypted-tbn0.gstatic.com/images?q=tbn:ANd9GcQt8SVSNuzOXjKb7Eg0fdxrZMQdzhEGF4KpXQ&amp;usqp=CAU</t>
  </si>
  <si>
    <t>https://www.mako.co.il/news-israel/health/Article-925e555fadcb031004.htm</t>
  </si>
  <si>
    <t>achziv</t>
  </si>
  <si>
    <t>https://img.mako.co.il/2009/11/30/79408.jpg</t>
  </si>
  <si>
    <t>N12 - איפה יש מדוזות</t>
  </si>
  <si>
    <t>https://encrypted-tbn0.gstatic.com/images?q=tbn:ANd9GcR0vnI4HRb_wGjgItkEOnzWw23RlfjBBrYol8xngUdcXoQ4Eug&amp;s</t>
  </si>
  <si>
    <t>animalworld.com.ua</t>
  </si>
  <si>
    <t>https://animalworld.com.ua/news/V-Izraile-iz-za-naplyva-meduz-priostanovlena-rabota-elektrostancii</t>
  </si>
  <si>
    <t>https://animalworld.com.ua/images/2011/July/Eco/Meduza/Meduza_1.jpg</t>
  </si>
  <si>
    <t>В Израиле из-за наплыва медуз приостановлена работа ...</t>
  </si>
  <si>
    <t>522</t>
  </si>
  <si>
    <t>https://encrypted-tbn0.gstatic.com/images?q=tbn:ANd9GcSac0gBaJnE-hJLVWq1mGIKEvxuX9TBYEIPD8AZwtsb9O4MSJY&amp;s</t>
  </si>
  <si>
    <t>https://www.youtube.com/watch?v=x-zpO_OX5uQ</t>
  </si>
  <si>
    <t>https://i.ytimg.com/vi/x-zpO_OX5uQ/hqdefault.jpg</t>
  </si>
  <si>
    <t>מדוזות בחוף קיץ 2011 - חדשות ערוץ 2</t>
  </si>
  <si>
    <t>https://encrypted-tbn0.gstatic.com/images?q=tbn:ANd9GcQPeBhDcVFxH2sD8GAjgqomc9vsT9BXyQOx8_cgX7yKP79vX_k&amp;s</t>
  </si>
  <si>
    <t>www.ynet.co.il</t>
  </si>
  <si>
    <t>https://www.ynet.co.il/articles/07340L-408979500.html</t>
  </si>
  <si>
    <t>http://www.ynet.co.il/PicServer2/13062011/3301703/1_wa.jpg</t>
  </si>
  <si>
    <t>מדוזה כל שני מטרים: נחיל מדוזות בחופי הדרום</t>
  </si>
  <si>
    <t>palmachim</t>
  </si>
  <si>
    <t>https://encrypted-tbn0.gstatic.com/images?q=tbn:ANd9GcTNW-V4PXpZm8yvEbxcVRH5s79u-KN8xqm2oazdbc2f_fD_6zil&amp;s</t>
  </si>
  <si>
    <t>hagainativ.com</t>
  </si>
  <si>
    <t>http://hagainativ.com/archives/2182</t>
  </si>
  <si>
    <t>http://hagainativ.com/wordpress/wp-content/uploads/2011/07/HN54511.jpg</t>
  </si>
  <si>
    <t>יש מדוזות בים? – צלם תת מימי || חגי נתיב || צילום תת מימי</t>
  </si>
  <si>
    <t>https://encrypted-tbn0.gstatic.com/images?q=tbn:ANd9GcRMWlTR0fWmmyOOR_1VC2krdyYPfLwBwqVqTrTv6kbHW44Dp8A&amp;s</t>
  </si>
  <si>
    <t>www.profi-forex.org</t>
  </si>
  <si>
    <t>http://www.profi-forex.org/novosti-mira/novosti-azii/entry1008080618.html</t>
  </si>
  <si>
    <t>http://www.profi-forex.org/system/news/meduzi.jpg</t>
  </si>
  <si>
    <t>Хищные медузы обнаружены у побережья Израиля?</t>
  </si>
  <si>
    <t>https://encrypted-tbn0.gstatic.com/images?q=tbn:ANd9GcRj2nWXD_0qbxbNcpLnQalwC4g1i8ZPqvHG-WVnRSBiKX4QFOBg&amp;s</t>
  </si>
  <si>
    <t>www.jellywatch.org</t>
  </si>
  <si>
    <t>https://www.jellywatch.org/node/1143</t>
  </si>
  <si>
    <t>https://www.jellywatch.org/sites/default/files/uploaded/israeljellies1143.jpg</t>
  </si>
  <si>
    <t>Miscellaneous jellies in Israel | JellyWatch</t>
  </si>
  <si>
    <t>https://encrypted-tbn0.gstatic.com/images?q=tbn:ANd9GcSsu77Gy71LZvA3JERt5f0ZWh3M-UYBdTP51Pd1Kqe83FmDi4o&amp;s</t>
  </si>
  <si>
    <t>magazine.isees.org.il</t>
  </si>
  <si>
    <t>https://magazine.isees.org.il/?p=15482</t>
  </si>
  <si>
    <t>https://magazine.isees.org.il/wp-content/uploads/2020/11/EE_Aug2011_pic_234-5.jpg</t>
  </si>
  <si>
    <t>ים של מדוזות בתחנת הכוח - אקולוגיה וסביבה</t>
  </si>
  <si>
    <t>https://encrypted-tbn0.gstatic.com/images?q=tbn:ANd9GcTTkgDuyKJJXrjMFyzk2lhJ7gYKB04JIVmOL4s2odVqjQOIQfQ&amp;s</t>
  </si>
  <si>
    <t>www.businessinsider.com</t>
  </si>
  <si>
    <t>https://www.businessinsider.com/jellyfish-facts-things-you-didnt-know-2019-6</t>
  </si>
  <si>
    <t>https://i.insider.com/5d0424856fc920155a423bb3?width=1000&amp;format=jpeg&amp;auto=webp</t>
  </si>
  <si>
    <t>Jellyfish Facts: 12 Things You Didn't Know About Jellies</t>
  </si>
  <si>
    <t>https://encrypted-tbn0.gstatic.com/images?q=tbn:ANd9GcSlgY5UAyQE4zXWqQRVorWV9WJsQs-7hMWWUDhtOEhkdBVSmAWj&amp;s</t>
  </si>
  <si>
    <t>www.telegraph.co.uk</t>
  </si>
  <si>
    <t>https://www.telegraph.co.uk/news/earth/earthpicturegalleries/8618575/Thousands-of-jellyfish-clog-water-supply-of-power-station-in-Israel.html</t>
  </si>
  <si>
    <t>https://www.telegraph.co.uk/multimedia/archive/01938/crates-chimneys_1938556i.jpg</t>
  </si>
  <si>
    <t>Thousands of jellyfish clog water supply of power station in ...</t>
  </si>
  <si>
    <t>https://encrypted-tbn0.gstatic.com/images?q=tbn:ANd9GcTvXFojzDRLyKn9IgW53C4gDaewNjjYxDNtTg&amp;usqp=CAU</t>
  </si>
  <si>
    <t>International Business Times</t>
  </si>
  <si>
    <t>https://www.ibtimes.com/jellyfish-invade-four-nuclear-reactors-japan-israel-scotland-photos-707777</t>
  </si>
  <si>
    <t>https://d.ibtimes.com/en/full/42228/jellyfish-invade-four-nuclear-reactors-japan-israel-scotland.jpg?w=1600&amp;h=900&amp;l=50&amp;t=30&amp;q=88&amp;f=8a4e123fe580a357ac0c390d112d2530</t>
  </si>
  <si>
    <t>Jellyfish Invade Four Nuclear Reactors in Japan Israel Scotland (PHOTOS)</t>
  </si>
  <si>
    <t>https://encrypted-tbn0.gstatic.com/images?q=tbn:ANd9GcRskynhH4f0iFPm7IfHNRTsBG3kutAyno476eJMOP1f8hPS9voX&amp;s</t>
  </si>
  <si>
    <t>https://www.telegraph.co.uk/multimedia/archive/01938/jellyfish-bin_1938561i.jpg</t>
  </si>
  <si>
    <t>https://encrypted-tbn0.gstatic.com/images?q=tbn:ANd9GcRrdokVbQ6LWkBjfvXtkvyEp4KR7QZFbix_1FiXuhjXGuK0n2p7&amp;s</t>
  </si>
  <si>
    <t>www.alamyimages.fr</t>
  </si>
  <si>
    <t>https://www.alamyimages.fr/a-worker-from-the-israel-electric-corp-puts-on-gloves-as-he-walks-in-a-lot-covered-with-jellyfish-at-orot-rabin-coal-fired-power-station-on-the-mediterranean-coast-near-the-central-town-of-hadera-july-5-2011-the-power-station-uses-seawater-for-cooling-off-purposes-and-has-to-filter-out-and-dispose-of-tonnes-of-jellyfish-that-are-sucked-into-its-system-daily-reuters-ronen-zvulun-israel-tags-animals-environment-energy-business-image377199140.html</t>
  </si>
  <si>
    <t>https://c8.alamy.com/compfr/2cwjw9t/a-worker-from-the-israel-electric-corp-puts-on-gloves-as-he-walks-in-a-lot-covered-with-jellyfish-at-orot-rabin-coal-fired-power-station-on-the-mediterranean-coast-near-the-central-town-of-hadera-july-5-2011-the-power-station-uses-seawater-for-cooling-off-purposes-and-has-to-filter-out-and-dispose-of-tonnes-of-jellyfish-that-are-sucked-into-its-system-daily-reuters-ronen-zvulun-israel-tags-animals-environment-energy-business-2cwjw9t.jpg</t>
  </si>
  <si>
    <t>A worker from the Israel Electric Corp. puts on gloves as he ...</t>
  </si>
  <si>
    <t>https://encrypted-tbn0.gstatic.com/images?q=tbn:ANd9GcSJnJfHtDnyA4aszhc_A3zjHR5QXlWp2vniVIhWo_ZlGtFfDrE&amp;s</t>
  </si>
  <si>
    <t>https://www.telegraph.co.uk/news/earth/earthpicturegalleries/8618575/Thousands-of-jellyfish-clog-water-supply-of-power-station-in-Israel.html?image=10</t>
  </si>
  <si>
    <t>https://www.telegraph.co.uk/multimedia/archive/01938/skip_1938552i.jpg</t>
  </si>
  <si>
    <t>https://encrypted-tbn0.gstatic.com/images?q=tbn:ANd9GcTP86Pzk5Elz3trXkQpmcA75OenWhfEsOKUue9fHSKvXzK_dCgf&amp;s</t>
  </si>
  <si>
    <t>https://www.telegraph.co.uk/multimedia/archive/01938/filling-crate_1938550i.jpg</t>
  </si>
  <si>
    <t>https://encrypted-tbn0.gstatic.com/images?q=tbn:ANd9GcT4ac7NWEK7cghYBFQgV_BxbVwrjObIQN9zAZxnDVbED0NVUmMy&amp;s</t>
  </si>
  <si>
    <t>https://www.telegraph.co.uk/multimedia/archive/01938/clogging-grill_1938551i.jpg</t>
  </si>
  <si>
    <t>https://encrypted-tbn0.gstatic.com/images?q=tbn:ANd9GcR8EWVXL16HM80jk9sBxQ4mQprASx4YP9dtcJjJlrUH-hpdEid9&amp;s</t>
  </si>
  <si>
    <t>https://www.vesti.ru/article/2115054</t>
  </si>
  <si>
    <t>https://cdn-st1.rtr-vesti.ru/vh/pictures/xw/282/263/2.jpg</t>
  </si>
  <si>
    <t>Медузы угрожают электроснабжению Израиля</t>
  </si>
  <si>
    <t>https://encrypted-tbn0.gstatic.com/images?q=tbn:ANd9GcSoInMTzOLDBTYj_mm-MSYpHLTlyGILDGRzvB599CIFBmKWeG4&amp;s</t>
  </si>
  <si>
    <t>ria.ru</t>
  </si>
  <si>
    <t>https://ria.ru/20110706/398077400.html</t>
  </si>
  <si>
    <t>https://cdnn21.img.ria.ru/images/sharing/article/398077400.jpg?2613961361309954474</t>
  </si>
  <si>
    <t>Медузы парализовали работу одной из крупнейших ...</t>
  </si>
  <si>
    <t>Day.Az</t>
  </si>
  <si>
    <t>https://news.day.az/world/277193.html</t>
  </si>
  <si>
    <t>Korrespondent.net</t>
  </si>
  <si>
    <t>https://korrespondent.net/world/1236626-v-izraile-meduzy-ostanovili-rabotu-elektrostancii</t>
  </si>
  <si>
    <t>https://encrypted-tbn0.gstatic.com/images?q=tbn:ANd9GcT_R9uzQ6nKuRuACpqhfunvDUNL5HZz6cBMAw&amp;usqp=CAU</t>
  </si>
  <si>
    <t>РБК</t>
  </si>
  <si>
    <t>https://www.rbc.ru/society/06/07/2011/5703e9559a79477633d350fa</t>
  </si>
  <si>
    <t>https://s0.rbk.ru/v6_top_pics/media/img/8/16/754598741334168.jpeg</t>
  </si>
  <si>
    <t>В Израиле медузы парализовали работу электростанции — РБК</t>
  </si>
  <si>
    <t>https://encrypted-tbn0.gstatic.com/images?q=tbn:ANd9GcQzTlZjl-Zceh9wdoS8H9DojJkMIFQMpSlLmg&amp;usqp=CAU</t>
  </si>
  <si>
    <t>Ynet</t>
  </si>
  <si>
    <t>https://www.ynet.co.il/articles/07340L-409240600.html</t>
  </si>
  <si>
    <t>https://www.ynet.co.il/PicServer2/13062011/3313733/tapet.jpg</t>
  </si>
  <si>
    <t>אמיצים בחוף מחשמל אבל צורב</t>
  </si>
  <si>
    <t>akko</t>
  </si>
  <si>
    <t>bat yam</t>
  </si>
  <si>
    <t>herzelia</t>
  </si>
  <si>
    <t>https://encrypted-tbn0.gstatic.com/images?q=tbn:ANd9GcSdFRpgq7HirkC-2sDgvff-D1cjkR22G3j1CSRp14vkba2zFJD5&amp;s</t>
  </si>
  <si>
    <t>nevsedoma.com.ua</t>
  </si>
  <si>
    <t>https://nevsedoma.com.ua/119566-tysyachi-meduz-paralizovali-rabotu.html</t>
  </si>
  <si>
    <t>http://cn1.nevsedoma.com.ua/images/2011/149/7/10000000.jpg</t>
  </si>
  <si>
    <t>Тысячи медуз парализовали работу электростанции в Израиле ...</t>
  </si>
  <si>
    <t>21region.org</t>
  </si>
  <si>
    <t>https://21region.org/news/world_news/66421-ataka-meduz-v-izraile-12-foto.html</t>
  </si>
  <si>
    <t>https://encrypted-tbn0.gstatic.com/images?q=tbn:ANd9GcQ4D_03Q8-nRgUTETeVGAlhhOU4--XrxZC_YoSswNycVogF9m0&amp;s</t>
  </si>
  <si>
    <t>samanews.ps</t>
  </si>
  <si>
    <t>https://samanews.ps/ar/post/100047/%D8%A7%D9%84%D9%82%D9%86%D8%A7%D8%AF%D9%8A%D9%84-%D8%AA%D9%87%D8%A7%D8%AC%D9%85-%D9%85%D8%AD%D8%B7%D8%A7%D8%AA-%D8%A7%D9%84%D9%83%D9%87%D8%B1%D8%A8%D8%A7%D8%A1-%D8%A7%D9%84%D8%A5%D8%B3%D8%B1%D8%A7%D8%A6%D9%8A%D9%84%D9%8A%D8%A9-%D9%88%D8%AA%D9%87%D8%AF%D8%AF-%D8%A8%D8%AA%D9%88%D9%82%D9%81%D9%87%D8%A7</t>
  </si>
  <si>
    <t>https://samanews.ps/ar/thumb.php?src=uploads/images/110708113302lXvX.jpg&amp;w=420&amp;h=296&amp;zc=1</t>
  </si>
  <si>
    <t>القناديل تهاجم محطات الكهرباء الإسرائيلية وتهدد بتوقفها ...</t>
  </si>
  <si>
    <t>https://encrypted-tbn0.gstatic.com/images?q=tbn:ANd9GcQg1nKF8wuURl0i9fpABL-cwPEGM5GlOojZPgPbB04PflmGPJfY&amp;s</t>
  </si>
  <si>
    <t>paltimeps.ps</t>
  </si>
  <si>
    <t>https://paltimeps.ps/post/477/%D9%82%D9%86%D8%A7%D8%AF%D9%8A%D9%84-%D8%A7%D9%84%D8%A8%D8%AD%D8%B1-%D8%AA%D8%B9%D8%B7%D9%84-%D9%85%D8%AD%D8%B7%D8%A9-%D9%83%D9%87%D8%B1%D8%A8%D8%A7%D8%A1-%D8%A7%D8%B3%D8%B1%D8%A7%D8%A6%D9%8A%D9%84%D9%8A%D8%A9</t>
  </si>
  <si>
    <t>https://paltimeps.ps/thumb/850x450/uploads/archive/072011/1310149150.jpg</t>
  </si>
  <si>
    <t>قناديل البحر تعطل محطة كهرباء اسرائيلية | فلسطين الآن</t>
  </si>
  <si>
    <t>https://encrypted-tbn0.gstatic.com/images?q=tbn:ANd9GcS9GXDS1qeSGCMDbhistxv0NRBdH4d59ImiuGp-v0oS0Bq98AA&amp;s</t>
  </si>
  <si>
    <t>www.npr.org</t>
  </si>
  <si>
    <t>https://www.npr.org/sections/thetwo-way/2011/07/10/137658282/millions-of-jellyfish-threaten-to-shutdown-israeli-power-plant</t>
  </si>
  <si>
    <t>https://media.npr.org/assets/img/2011/07/06/118228783_custom-95a44766f508c4438f45c39757aae401c3830a4d.jpg</t>
  </si>
  <si>
    <t>Millions Of Jellyfish Threaten To Shut Down Israeli Power ...</t>
  </si>
  <si>
    <t>https://encrypted-tbn0.gstatic.com/images?q=tbn:ANd9GcR3pXqMiMVwnAZmi8F5TRX5zXqKM4--J0OMlIvEHKtMYY70pSs&amp;s</t>
  </si>
  <si>
    <t>muslimvillage.com</t>
  </si>
  <si>
    <t>https://muslimvillage.com/2011/07/12/12088/millions-of-jellyfish-invade-nuclear-reactors-in-japan-israel/</t>
  </si>
  <si>
    <t>https://muslimvillage.com/wp-content/uploads/2011/07/5.jpg</t>
  </si>
  <si>
    <t>Millions of Jellyfish Invade Nuclear Reactors in Japan &amp; Israel</t>
  </si>
  <si>
    <t>https://encrypted-tbn0.gstatic.com/images?q=tbn:ANd9GcRYYw4jkpvTCLRKQa_GOC7aV3oJ9r-WLReTfATunITYTmM5ha7w&amp;s</t>
  </si>
  <si>
    <t>meganbrand.blogspot.com</t>
  </si>
  <si>
    <t>http://meganbrand.blogspot.com/2011/07/mezudot.html</t>
  </si>
  <si>
    <t>http://2.bp.blogspot.com/-TMG7dMHsXeA/TiLLWrWfNSI/AAAAAAAAAOw/qfnMPPdJCf4/s1600/Jellyfish.PNG</t>
  </si>
  <si>
    <t>An American in Haifa: Meduzot (מדוזה)</t>
  </si>
  <si>
    <t>https://encrypted-tbn0.gstatic.com/images?q=tbn:ANd9GcRcVcTMW51e-0zaNhwXbRCeWIcV2Oah91Atxg&amp;usqp=CAU</t>
  </si>
  <si>
    <t>طقس فلسطين</t>
  </si>
  <si>
    <t>https://palweather.ps/ar/node/901.html</t>
  </si>
  <si>
    <t>https://palweather.ps/data/image/676X400/00051422278055241282353284027832.jpg</t>
  </si>
  <si>
    <t>مئات الأطنان من قناديل البحر تهاجم محطات الكهرباء الإسرائيلية - طقس فلسطين</t>
  </si>
  <si>
    <t>https://encrypted-tbn0.gstatic.com/images?q=tbn:ANd9GcRfaSaNa4h2vkghflEo3WZ_gFMXNxtFPlrzlYnpwYMcDJtKxYs&amp;s</t>
  </si>
  <si>
    <t>www.aljazeera.com</t>
  </si>
  <si>
    <t>https://www.aljazeera.com/news/2011/7/24/jellyfish-invade-israeli-shores</t>
  </si>
  <si>
    <t>https://www.aljazeera.com/wp-content/uploads/2011/07/2011724192653242734_20.jpeg?resize=1200%2C675</t>
  </si>
  <si>
    <t>Jellyfish invade Israeli shores</t>
  </si>
  <si>
    <t>https://encrypted-tbn0.gstatic.com/images?q=tbn:ANd9GcQCWLFPfj-MlBoOvoUGhOf1h-V4OUQvZUuwO93Dt6MFXre_Jss8&amp;s</t>
  </si>
  <si>
    <t>www.israelhayom.co.il</t>
  </si>
  <si>
    <t>https://www.israelhayom.co.il/article/37264</t>
  </si>
  <si>
    <t>nizanim</t>
  </si>
  <si>
    <t>https://www.israelhayom.co.il/sites/default/files/styles/566x349/public/images/articles/2011/07/29/131189371790768737a_b_3.jpg</t>
  </si>
  <si>
    <t>המדוזות עזבו החום עוד לא | ישראל היום</t>
  </si>
  <si>
    <t>https://encrypted-tbn0.gstatic.com/images?q=tbn:ANd9GcRjAZPUr7gYROj6lu3zCv2mvBuEXBjFNXq4G7Al8QZYPp5TakNn&amp;s</t>
  </si>
  <si>
    <t>100dorog.ru</t>
  </si>
  <si>
    <t>https://100dorog.ru/guide/news/4271832/</t>
  </si>
  <si>
    <t>https://100dorog.ru/upload/contents/434/2011/4271832-2011110902284655.jpg?width=420&amp;scale=both</t>
  </si>
  <si>
    <t>Воду в Израиле отравляют медузы</t>
  </si>
  <si>
    <t>46</t>
  </si>
  <si>
    <t>https://encrypted-tbn0.gstatic.com/images?q=tbn:ANd9GcR-49xOWIIYwQsbZlvbfQxc7_YARVZXJFx2aw&amp;usqp=CAU</t>
  </si>
  <si>
    <t>חקר ימים ואגמים לישראל</t>
  </si>
  <si>
    <t>http://www.ocean.org.il/meduzot/</t>
  </si>
  <si>
    <t>http://www.ocean.org.il/meduzot/images/Rhopilema_07052012.jpg</t>
  </si>
  <si>
    <t>חקר ימים ואגמים לישראל - תחזית מדוזות ומיקומן</t>
  </si>
  <si>
    <t>https://encrypted-tbn0.gstatic.com/images?q=tbn:ANd9GcQsBtj0o0SDXzrPfdSnlczRkJOaCOQf4XFS1e5SVl86DqZDo_n1&amp;s</t>
  </si>
  <si>
    <t>news.walla.co.il</t>
  </si>
  <si>
    <t>https://news.walla.co.il/item/2967476</t>
  </si>
  <si>
    <t>https://images.wcdn.co.il/f_autoq_autow_700t_54/2/1/5/9/2159009-46.jpg</t>
  </si>
  <si>
    <t>פלישת המדוזות מאיימת על חופי ישראל - וואלה! חדשות</t>
  </si>
  <si>
    <t>https://encrypted-tbn0.gstatic.com/images?q=tbn:ANd9GcR7xKJQuzQIO78B-rExcmxa9gLSyY6jFJijxJlUmX_ChVLUb7U&amp;s</t>
  </si>
  <si>
    <t>www.ocean.org.il</t>
  </si>
  <si>
    <t>http://www.ocean.org.il/meduzot/JellyfishGallery/rhopilemaphotographedbyshabirotman2862012.html</t>
  </si>
  <si>
    <t>michmoret</t>
  </si>
  <si>
    <t>http://www.ocean.org.il/meduzot/JellyfishGallery/rhopilemaphotographedbyshabirotman2862012.jpg</t>
  </si>
  <si>
    <t>Rhopilema - Photographed by Shabi Rotman 28.6.2012 מדוזות על ...</t>
  </si>
  <si>
    <t>https://www.makorrishon.co.il/nrg/online/1/ART2/381/831.html</t>
  </si>
  <si>
    <t>חדשות - סביבה nrg - המבשרת הרשמית של הקיץ: המדוזות כבר פה</t>
  </si>
  <si>
    <t>https://encrypted-tbn0.gstatic.com/images?q=tbn:ANd9GcQBFz1ACyV9YIOgw0z2w1tXiCSjQ0sB79078Q&amp;usqp=CAU</t>
  </si>
  <si>
    <t>https://www.mako.co.il/news-israel/local/Article-5f7a35167a83831018.htm</t>
  </si>
  <si>
    <t>https://img.mako.co.il/2009/11/04/73870.jpg</t>
  </si>
  <si>
    <t>N12 - צפו: נחיל מדהים של מדוזות בחופי הדרום</t>
  </si>
  <si>
    <t>https://encrypted-tbn0.gstatic.com/images?q=tbn:ANd9GcRDUo-t-GWS-RQajrq5aKu7R_O0H79iFGYvu7vodIaHI9FxTygz&amp;s</t>
  </si>
  <si>
    <t>m.strana.co.il</t>
  </si>
  <si>
    <t>http://m.strana.co.il/news/?ID=63616&amp;cat=3</t>
  </si>
  <si>
    <t>http://www.strana.co.il/XXXcicuilkjvkhasjkasihdchakbchQQkjcvlkhzvhzlhasdfWWW/650x488/29062012082952.jpg</t>
  </si>
  <si>
    <t>Детям не рекомендуют купаться в море из-за медуз</t>
  </si>
  <si>
    <t>https://encrypted-tbn0.gstatic.com/images?q=tbn:ANd9GcSHq10GYzAhZKtVn02Ryo2Y274c4o7WZrRbE77CtcDk2lQC1ggc&amp;s</t>
  </si>
  <si>
    <t>forward.com</t>
  </si>
  <si>
    <t>https://forward.com/news/breaking-news/158732/swarms-of-jellyfish-invade-israeli-beaches/</t>
  </si>
  <si>
    <t>https://images.forwardcdn.com/image/970x/center/images/cropped/t-jelly-070212-1425720021.jpg</t>
  </si>
  <si>
    <t>Swarms of Jellyfish Invade Israeli Beaches – The Forward</t>
  </si>
  <si>
    <t>https://encrypted-tbn0.gstatic.com/images?q=tbn:ANd9GcSfY5IX1gr5r9_4rRYa2r4bUsP4QIWTGrTE0Q&amp;usqp=CAU</t>
  </si>
  <si>
    <t>NEWSru</t>
  </si>
  <si>
    <t>https://www.newsru.co.il/israel/3jul2012/meduzot_103.html</t>
  </si>
  <si>
    <t>https://images.newsru.co.il/l/53/7/530753.jpg</t>
  </si>
  <si>
    <t>Концентрация медуз около восточного побережья Средиземного моря растет - NEWSru.co.il</t>
  </si>
  <si>
    <t>https://encrypted-tbn0.gstatic.com/images?q=tbn:ANd9GcQBSEMeObFoSMeMdo319o5lr12ctUpMZ8MexllX7bfKhQP8rEEG&amp;s</t>
  </si>
  <si>
    <t>krayot.mynet.co.il</t>
  </si>
  <si>
    <t>https://krayot.mynet.co.il/local_news/article/m_221602</t>
  </si>
  <si>
    <t>https://krayot.mynet.co.il/picserver/mynet/wcm_upload/wcm_mynet_pic/crop_images/2012/07/05/316913/84376_0_0_116_116_large.jpg</t>
  </si>
  <si>
    <t>היכונו היכונו: להקות המדוזות כבר במפרץ חיפה</t>
  </si>
  <si>
    <t>https://encrypted-tbn0.gstatic.com/images?q=tbn:ANd9GcT_5ou_jz52vHyANOjLy5YWBwQ0xW51U6lmlyreYUa1jVMROaA&amp;s</t>
  </si>
  <si>
    <t>bigasia.ru</t>
  </si>
  <si>
    <t>https://bigasia.ru/content/news/eco/meduzy-zasorili-izrailskuyu-ges/</t>
  </si>
  <si>
    <t>https://bigasia.ru/upload/medialibrary/78a/78a430538dade3a877017313b32ed07c.jpg</t>
  </si>
  <si>
    <t>Экосреда Азии. Медузы засорили израильскую ГЭС | Bigasia.ru</t>
  </si>
  <si>
    <t>https://encrypted-tbn0.gstatic.com/images?q=tbn:ANd9GcTuQp73gopuGRnXDa8HWahu-0Hztfy2qotNn4PctFSgrJbuHeY&amp;s</t>
  </si>
  <si>
    <t>www.7kanal.co.il</t>
  </si>
  <si>
    <t>https://www.7kanal.co.il/news/153287</t>
  </si>
  <si>
    <t>https://i.ytimg.com/vi/CvXmGiLD31M/mqdefault.jpg</t>
  </si>
  <si>
    <t>Израильским купальщикам угрожают медузы | 7 КАНАЛ - Аруц Шева</t>
  </si>
  <si>
    <t>https://serpapi.com/searches/637a446e8ccee01a43a050f8/images/a694e05bbaa764f09b8d5f2543be562c1280d72fb102dc128605b052ff371e73.jpeg</t>
  </si>
  <si>
    <t>https://www.ynet.co.il/news/article/ryPHqU8j00</t>
  </si>
  <si>
    <t>https://ynet-images1.yit.co.il/PicServer3/2012/07/14/4039696/IMG_4586-(Medium).jpg</t>
  </si>
  <si>
    <t>צפו במפת המדוזות: נחיל של מאות אלפים בדרך לישראל</t>
  </si>
  <si>
    <t>https://encrypted-tbn0.gstatic.com/images?q=tbn:ANd9GcQIY1bwM5_sEx9YyLvoMJOJOVD5nrpA8sn2iFFL7WjWRHvWJZY&amp;s</t>
  </si>
  <si>
    <t>emacare.com</t>
  </si>
  <si>
    <t>https://emacare.com/blog/jellyfish-season-in-israel</t>
  </si>
  <si>
    <t>https://emacare.com/images/easyblog_articles/b2ap3_amp_Fotolia_84048676_XS.jpg</t>
  </si>
  <si>
    <t>Jellyfish Season in Israel - EMA Care - EMA Care</t>
  </si>
  <si>
    <t>https://encrypted-tbn0.gstatic.com/images?q=tbn:ANd9GcSrv1fSPmBmaf_1WCZtADmqmJl50z3vwQmxR7nuD8gRaygWX2M&amp;s</t>
  </si>
  <si>
    <t>9gag.com</t>
  </si>
  <si>
    <t>https://9gag.com/gag/4789436</t>
  </si>
  <si>
    <t>https://img-9gag-fun.9cache.com/photo/4789436_460s.jpg</t>
  </si>
  <si>
    <t>Meanwhile in Israel : jellyfish pool - 9GAG</t>
  </si>
  <si>
    <t>351</t>
  </si>
  <si>
    <t>https://encrypted-tbn0.gstatic.com/images?q=tbn:ANd9GcTvQwO70l2eCF4p4rEaZ6W3nMEFwHrr3ZwopYdmS4eJiDxI7TI&amp;s</t>
  </si>
  <si>
    <t>http://hagainativ.com/archives/tag/%D7%9E%D7%93%D7%95%D7%96%D7%95%D7%AA</t>
  </si>
  <si>
    <t>http://hagainativ.com/wordpress/wp-content/uploads/2012/08/20120312_1418-365x365.jpg</t>
  </si>
  <si>
    <t>מדוזות – צלם תת מימי || חגי נתיב || צילום תת מימי</t>
  </si>
  <si>
    <t>https://encrypted-tbn0.gstatic.com/images?q=tbn:ANd9GcQIT3ptafCC6tvF_zfPaxo52CNPa7Jt2DVlVQ&amp;usqp=CAU</t>
  </si>
  <si>
    <t>ישראל היום</t>
  </si>
  <si>
    <t>https://www.israelhayom.co.il/article/36981</t>
  </si>
  <si>
    <t>https://www.israelhayom.co.il/sites/default/files/styles/566x349/public/images/articles/2011/07/08/131007782452451171a_b_3.jpg</t>
  </si>
  <si>
    <t>GPS למדוזות | ישראל היום</t>
  </si>
  <si>
    <t>https://encrypted-tbn0.gstatic.com/images?q=tbn:ANd9GcSburEwGH8gPKOzHYnK9MFdBPNZozYsffcCrgcZTP7QnIHsHR0&amp;s</t>
  </si>
  <si>
    <t>https://www.youtube.com/watch?v=A-GJ-BSWrX8</t>
  </si>
  <si>
    <t>https://i.ytimg.com/vi/A-GJ-BSWrX8/maxresdefault.jpg</t>
  </si>
  <si>
    <t>מדוזה חוטית נודדת בתנועה בים תיכון.mp4 - YouTube</t>
  </si>
  <si>
    <t>https://encrypted-tbn0.gstatic.com/images?q=tbn:ANd9GcR4g-SZYxCBQDhhnI7c2wPGm26YTvuRChDjL2kz6tBanBa7-Emr&amp;s</t>
  </si>
  <si>
    <t>www.tourprom.ru</t>
  </si>
  <si>
    <t>https://www.tourprom.ru/accounts/photo/32540/</t>
  </si>
  <si>
    <t>https://www.tourprom.ru/site_media/cache/33/b2/33b219979951cc555b0789f4f8bb9342.jpg</t>
  </si>
  <si>
    <t>Фото Нетании - медузы. | ТУРПРОМ</t>
  </si>
  <si>
    <t>https://encrypted-tbn0.gstatic.com/images?q=tbn:ANd9GcQajwfFqqMhUICO1aVEIYOn3ZX4WgT1FvPR8ZfdsMNKpS9Etaq2&amp;s</t>
  </si>
  <si>
    <t>https://www.tourprom.ru/accounts/photo/32535/</t>
  </si>
  <si>
    <t>https://www.tourprom.ru/site_media/cache/28/10/2810f4c2944ddeb27b022492c4f394aa.jpg</t>
  </si>
  <si>
    <t>https://encrypted-tbn0.gstatic.com/images?q=tbn:ANd9GcSyVrSUzdJ8TBle9W1qnEmBRgS5D0h2iHGACBxhWuBYYeN2k3zt&amp;s</t>
  </si>
  <si>
    <t>pixels.com</t>
  </si>
  <si>
    <t>https://pixels.com/featured/1-rhopilema-nomadica-jellyfish-photostock-israel.html</t>
  </si>
  <si>
    <t>https://images.fineartamerica.com/images-medium-large/1-rhopilema-nomadica-jellyfish-photostock-israel.jpg</t>
  </si>
  <si>
    <t>Rhopilema Nomadica Jellyfish Photograph by Photostock-israel ...</t>
  </si>
  <si>
    <t>https://encrypted-tbn0.gstatic.com/images?q=tbn:ANd9GcRZNzLoPUDInNroL4D1IRpIESwT3oRpqE5TGK-ilxIzqShsbmOS&amp;s</t>
  </si>
  <si>
    <t>hashmal103.wordpress.com</t>
  </si>
  <si>
    <t>https://hashmal103.wordpress.com/tag/%D7%A0%D7%97%D7%99%D7%9C%D7%99-%D7%9E%D7%93%D7%95%D7%96%D7%95%D7%AA/</t>
  </si>
  <si>
    <t>https://hashmal103.files.wordpress.com/2013/06/d79ed793d795d796d795d7aa.jpeg?w=584</t>
  </si>
  <si>
    <t xml:space="preserve">נחילי מדוזות | מבצע  חסכת-הרווחת </t>
  </si>
  <si>
    <t>https://encrypted-tbn0.gstatic.com/images?q=tbn:ANd9GcTfCO1btcGiFfJaeqs13gfWKSsA_AVLPwdmTw&amp;usqp=CAU</t>
  </si>
  <si>
    <t>The Times of Israel</t>
  </si>
  <si>
    <t>https://www.timesofisrael.com/israeli-tech-turns-jellyfish-into-paper-towels/</t>
  </si>
  <si>
    <t>https://static.timesofisrael.com/www/uploads/2013/07/F110713SL02-1024x640.jpg</t>
  </si>
  <si>
    <t>Israeli tech turns jellyfish into paper towels | The Times of Israel</t>
  </si>
  <si>
    <t>https://encrypted-tbn0.gstatic.com/images?q=tbn:ANd9GcS9n4_gHlzJmtSm0F_2m2SmXGUDWlt2z2R9Rw&amp;usqp=CAU</t>
  </si>
  <si>
    <t>חדשות חיפה והקריות</t>
  </si>
  <si>
    <t>https://krayot.com/archives/17957</t>
  </si>
  <si>
    <t>https://krayot.com/wp-content/uploads/2013/07/meduza.jpg</t>
  </si>
  <si>
    <t>זהירות: מכת מדוזות בחופי חיפה והקריות - חדשות חיפה והקריות</t>
  </si>
  <si>
    <t>https://encrypted-tbn0.gstatic.com/images?q=tbn:ANd9GcQ83KO_GlavYkf3wzOAd0bxo1lgY3YSLGOuTQ&amp;usqp=CAU</t>
  </si>
  <si>
    <t>I24NEWS</t>
  </si>
  <si>
    <t>https://www.i24news.tv/en/news/israel/environment/1652708385-origins-of-the-medusa-study-examines-israel-s-summer-jellyfish</t>
  </si>
  <si>
    <t>https://cdn.i24news.tv/uploads/86/b9/cd/6b/2c/9c/3e/99/8d/57/fa/bf/0f/15/36/55/86b9cd6b2c9c3e998d57fabf0f153655.jpg?width=1000</t>
  </si>
  <si>
    <t>Origins Of The Medusa: Study Examines Israel's Summer Jellyfish - I24NEWS</t>
  </si>
  <si>
    <t>https://encrypted-tbn0.gstatic.com/images?q=tbn:ANd9GcSzd3KpCbiV4UAJOabs2ABpOd0R2kw5xlMr1xyzv06zak91nVoF&amp;s</t>
  </si>
  <si>
    <t>www.perseus-net.eu</t>
  </si>
  <si>
    <t>http://www.perseus-net.eu/en/jellyfish_map/index.html</t>
  </si>
  <si>
    <t>http://www.perseus-net.eu/assets/media/PICTURES/Jellyfish/625_3.jpg</t>
  </si>
  <si>
    <t>Jellyfish map | perseus</t>
  </si>
  <si>
    <t>https://encrypted-tbn0.gstatic.com/images?q=tbn:ANd9GcSNVWZtIpACZOnlxbA5sXt2E0Ap2zWujXUNS8vkE8p1xFqvd0o&amp;s</t>
  </si>
  <si>
    <t>www.researchgate.net</t>
  </si>
  <si>
    <t>https://www.researchgate.net/figure/Specimens-of-Rhopilema-nomadica-off-Ashdod-Israel-January-2014-Photograph-by-R-Gevili_fig1_350741685</t>
  </si>
  <si>
    <t>https://www.researchgate.net/publication/350741685/figure/fig1/AS:1010548338618409@1617944907850/Specimens-of-Rhopilema-nomadica-off-Ashdod-Israel-January-2014-Photograph-by-R-Gevili.jpg</t>
  </si>
  <si>
    <t>Specimens of Rhopilema nomadica off Ashdod Israel January ...</t>
  </si>
  <si>
    <t>https://encrypted-tbn0.gstatic.com/images?q=tbn:ANd9GcRI9V-M2B2_ECgAUXdEcjbckn350Dir0SYh4bNyhuCrEvJt0SQ&amp;s</t>
  </si>
  <si>
    <t>zamnpress.com</t>
  </si>
  <si>
    <t>http://zamnpress.com/news/45163</t>
  </si>
  <si>
    <t>jaffa, haifa, ashkelon</t>
  </si>
  <si>
    <t>http://zamnpress.com/sites/default/files/news_images/2andel.jpg</t>
  </si>
  <si>
    <t>قناديل البحر الورديّة تغمر شواطى يافا وحيفا وعسقلان | Zamn ...</t>
  </si>
  <si>
    <t>https://encrypted-tbn0.gstatic.com/images?q=tbn:ANd9GcTlfvomuKkw6p3vhGUKc3HEZ3MMWXmWHMLTHQ&amp;usqp=CAU</t>
  </si>
  <si>
    <t>Strana.co.il - новости Израиля, мира, шоу-бизнеса</t>
  </si>
  <si>
    <t>http://www.strana.co.il/news/?ID=71109&amp;cat=</t>
  </si>
  <si>
    <t>kiryat haim</t>
  </si>
  <si>
    <t>http://www.strana.co.il/XXXcicuilkjvkhasjkasihdchakbchQQkjcvlkhzvhzlhasdfWWW/650x488/11022014224439.jpg</t>
  </si>
  <si>
    <t>Из-за теплой погоды медузы пришли в Израиль раньше</t>
  </si>
  <si>
    <t>http://m.strana.co.il/News/?ID=71109&amp;cat=3</t>
  </si>
  <si>
    <t>https://encrypted-tbn0.gstatic.com/images?q=tbn:ANd9GcSKS-kmbTkedVgUKyl0wZLxlRtEdIG9tKDKRObH1CM5OTgkyiY&amp;s</t>
  </si>
  <si>
    <t>13news.co.il</t>
  </si>
  <si>
    <t>https://13news.co.il/item/news/domestic/ntr-1039041/</t>
  </si>
  <si>
    <t>https://media.reshet.tv/image/upload/t_main_image_article/v1568886460/ntr_193871.jpg</t>
  </si>
  <si>
    <t>ביקור פתע: מדוזות ורודות הציפו את חופי ישראל – חדשות 13</t>
  </si>
  <si>
    <t>https://encrypted-tbn0.gstatic.com/images?q=tbn:ANd9GcTUwkG7MbcrlfbkM3rYIDCseyEQny29CExtofUQKn9iQdxx2WE&amp;s</t>
  </si>
  <si>
    <t>www.jpost.com</t>
  </si>
  <si>
    <t>https://www.jpost.com/enviro-tech/rare-pink-jellyfish-plaguing-israeli-waters-341923</t>
  </si>
  <si>
    <t>https://images.jpost.com/image/upload/f_auto,fl_lossy/t_JM_ArticleMainImage/236456</t>
  </si>
  <si>
    <t>Rare pink jellyfish plaguing Israeli waters - The Jerusalem Post</t>
  </si>
  <si>
    <t>https://serpapi.com/searches/637a2349f716eef683f2941a/images/6d27cb32fe6911be822e44a55e31820da4a8b62934182859f9ec4af60c1d25d8.jpeg</t>
  </si>
  <si>
    <t>https://www.ynet.co.il/articles/07340L-449950700.html</t>
  </si>
  <si>
    <t>https://www.ynet.co.il/PicServer3/2014/03/16/5216317/521629901001100490640no.jpg</t>
  </si>
  <si>
    <t>יפות אבל צורבות: מדוזות ורודות חזרו לארץ</t>
  </si>
  <si>
    <t>zikim</t>
  </si>
  <si>
    <t>Korabli.eu</t>
  </si>
  <si>
    <t>https://www.korabli.eu/blogs/novosti/morskie-novosti/v-izrail-vozvrashchayutsya</t>
  </si>
  <si>
    <t>ashkelon zikim</t>
  </si>
  <si>
    <t>211</t>
  </si>
  <si>
    <t>https://encrypted-tbn0.gstatic.com/images?q=tbn:ANd9GcQGm_odCF7pVB8Z3Fep__wLZxkDaea0zqa4a_oPtj7v1NAQ-ZGb&amp;s</t>
  </si>
  <si>
    <t>https://magazine.isees.org.il/?p=15808</t>
  </si>
  <si>
    <t>https://magazine.isees.org.il/wp-content/uploads/2020/11/EE_May_2014-15.jpg</t>
  </si>
  <si>
    <t>תמורות אקולוגיות בים התיכון לחופי ישראל - אקולוגיה וסביבה</t>
  </si>
  <si>
    <t>https://serpapi.com/searches/637b357437014cf32db57f90/images/62f790fc1e1a37c1bc2f5adffce58d40fdaa60ef80db259851dbf0e5bbf14f84.jpeg</t>
  </si>
  <si>
    <t>Facebook</t>
  </si>
  <si>
    <t>https://www.facebook.com/groups/1433983646837647/</t>
  </si>
  <si>
    <t>https://lookaside.fbsbx.com/lookaside/crawler/media/?media_id=10152491432934532</t>
  </si>
  <si>
    <t>מדוזות בעם | Facebook</t>
  </si>
  <si>
    <t>https://encrypted-tbn0.gstatic.com/images?q=tbn:ANd9GcQLCbr6Qkv2r5qVuJbsKzYAEW-nLMEihZ_P4g&amp;usqp=CAU</t>
  </si>
  <si>
    <t>https://www.mako.co.il/news-israel/health/Article-756f06ce7dbe641004.htm</t>
  </si>
  <si>
    <t>https://img.mako.co.il/2014/06/30/375704pic_I.jpg</t>
  </si>
  <si>
    <t>N12 - הן שוב כאן: מאות מדוזות נצפו מול חופי ישראל</t>
  </si>
  <si>
    <t>Herzelia</t>
  </si>
  <si>
    <t>https://serpapi.com/searches/638337d236e6a9e35d6b9242/images/11f1afed02345fce84ffc98f43674c137c528304b5b8acdf03cb15c728b59375.jpeg</t>
  </si>
  <si>
    <t>Haaretz</t>
  </si>
  <si>
    <t>https://www.haaretz.com/life/2014-07-01/ty-article/jellyfish-season-arrives-in-israel/0000017f-dba6-df9c-a17f-ffbe6cb40000</t>
  </si>
  <si>
    <t>https://img.haarets.co.il/bs/0000017f-dba6-df9c-a17f-ffbe6a8c0000/5b/c5/42ba4eb641fb8691ac4937b8a757/1018316866.jpg</t>
  </si>
  <si>
    <t>Jellyfish Season Arrives in Israel - Life &amp; Culture - Haaretz.com</t>
  </si>
  <si>
    <t>https://encrypted-tbn0.gstatic.com/images?q=tbn:ANd9GcQuOX92-4XZnyIPUHcJ3GfLElZZe1utDdjKpg&amp;usqp=CAU</t>
  </si>
  <si>
    <t>צלם ים</t>
  </si>
  <si>
    <t>http://streamer.co.il/news/view/giant-20kg-jellyfish-filmed-off-the-cornwall-coast</t>
  </si>
  <si>
    <t>https://i.ytimg.com/vi/iYBpkG06LI4/maxresdefault.jpg</t>
  </si>
  <si>
    <t>צלם ים :: עונת המדוזות: בארץ חוטית טורדנית ובאנגליה סלייטר והכלב שוחים עם  מדוזה במשקל 20 קילוגרמים</t>
  </si>
  <si>
    <t>169</t>
  </si>
  <si>
    <t>https://encrypted-tbn0.gstatic.com/images?q=tbn:ANd9GcTytCWgNKXUnb7EGzc71q46fz98hZ6kyPjBlPK1GeRSKMJxDjo&amp;s</t>
  </si>
  <si>
    <t>food.walla.co.il</t>
  </si>
  <si>
    <t>https://food.walla.co.il/item/2773361</t>
  </si>
  <si>
    <t>https://images.wcdn.co.il/f_auto,q_auto,w_1200,t_54/7/8/3/2/783204-46.jpg</t>
  </si>
  <si>
    <t>איך להכין מדוזות – המדריך - וואלה! אוכל</t>
  </si>
  <si>
    <t>https://encrypted-tbn0.gstatic.com/images?q=tbn:ANd9GcTV4pF-57o6IW1SzOsaC4Ci1IzrZ-_h_8vMihPd02OmQJTbreQY&amp;s</t>
  </si>
  <si>
    <t>www.zavit.org.il</t>
  </si>
  <si>
    <t>https://www.zavit.org.il/%D7%94%D7%9E%D7%93%D7%95%D7%96%D7%95%D7%AA-%D7%A9%D7%9C-%D7%94%D7%97%D7%95%D7%A8%D7%A3/</t>
  </si>
  <si>
    <t>https://www.zavit.org.il/wp-content/uploads/2015/01/119930010.BIkm62Zh.IMG_2093copy.jpg</t>
  </si>
  <si>
    <t>המדוזות של החורף | זווית</t>
  </si>
  <si>
    <t>https://encrypted-tbn0.gstatic.com/images?q=tbn:ANd9GcQd0CdCWU40DpsfZYQz6xa4Yfrq1-P8Gt3PmjLQhn87xWj14RQ&amp;s</t>
  </si>
  <si>
    <t>www.alarabiya.net</t>
  </si>
  <si>
    <t>https://www.alarabiya.net/arab-and-world/egypt/2015/08/30/%D9%85%D8%A7-%D9%87%D9%88-%D8%B3%D8%A8%D8%A8-%D8%AA%D8%AF%D9%81%D9%82-%D9%82%D9%86%D8%AF%D9%8A%D9%84-%D8%A7%D9%84%D8%A8%D8%AD%D8%B1-%D8%A7%D9%84%D8%B3%D8%A7%D9%85-%D8%A8%D8%B9%D8%AF-%D8%AA%D9%88%D8%B3%D9%8A%D8%B9-%D9%82%D9%86%D8%A7%D8%A9-%D8%A7%D9%84%D8%B3%D9%88%D9%8A%D8%B3%D8%9F</t>
  </si>
  <si>
    <t>https://vid.alarabiya.net/images/2015/02/18/525072d5-d874-43ac-89c2-bf6552544cf5/525072d5-d874-43ac-89c2-bf6552544cf5_16x9_600x338.jpg?width=335&amp;format=jpg</t>
  </si>
  <si>
    <t>ما هو سبب تدفق قنديل البحر السام بعد توسيع قناة السويس؟</t>
  </si>
  <si>
    <t>https://encrypted-tbn0.gstatic.com/images?q=tbn:ANd9GcRt-1zxA9w8-uDE37fInESirF6aXY8CLKodl7ML38GGXw-J6N4&amp;s</t>
  </si>
  <si>
    <t>https://www.makorrishon.co.il/nrg/online/1/ART2/696/974.html</t>
  </si>
  <si>
    <t>https://www.makorrishon.co.il/nrg/images/archive/465x349/1/334/979.jpg</t>
  </si>
  <si>
    <t>חדשות - בארץ nrg - המדוזות כבר כאן - הנחילים הגדולים בדרך</t>
  </si>
  <si>
    <t xml:space="preserve">bat yam </t>
  </si>
  <si>
    <t>https://encrypted-tbn0.gstatic.com/images?q=tbn:ANd9GcRz_l81bh9pTVZj1P9unqPpVvDI-v9H_24hzHHHtSUt2nvv7c1f&amp;s</t>
  </si>
  <si>
    <t>https://encrypted-tbn0.gstatic.com/images?q=tbn:ANd9GcTi0OowkJ3kp7DBAzAOvO7UnIl1bOP2o1RSQyHlsXUcK5r5qjcr&amp;s</t>
  </si>
  <si>
    <t>haipo.co.il</t>
  </si>
  <si>
    <t>https://haipo.co.il/item/27069/%D7%9E%D7%93%D7%95%D7%96%D7%94_12</t>
  </si>
  <si>
    <t>https://haipo.co.il/wp-content/uploads/2015/06/%D7%9E%D7%93%D7%95%D7%96%D7%94_12.jpg</t>
  </si>
  <si>
    <t>מדוזה_12 - חי פה - תאגיד החדשות של חיפה והסביבה</t>
  </si>
  <si>
    <t>https://serpapi.com/searches/63d00e61ea14429543229cd5/images/f752daf8bb5f9e58613f5a01ee1ab4e21b11d6ab8acb30af4a983aba5fd6bffb.jpeg</t>
  </si>
  <si>
    <t>Форум Винского</t>
  </si>
  <si>
    <t>https://forum.awd.ru/viewtopic.php?f=356&amp;t=180881&amp;start=80</t>
  </si>
  <si>
    <t>https://forum.awd.ru/files/37/52/83844_fbfcb00999d3d0352a1b3f63f4be05de.jpg</t>
  </si>
  <si>
    <t>Израиль медузы Средиземном море летом - Страница 5 • Форум Винского</t>
  </si>
  <si>
    <t>https://encrypted-tbn0.gstatic.com/images?q=tbn:ANd9GcTclyq7TrwZKw98dAnkNzuK4nE2371DWsgaVN6J1BYRDStycYQ&amp;s</t>
  </si>
  <si>
    <t>turpogoda.ru</t>
  </si>
  <si>
    <t>https://turpogoda.ru/news.php?shownew=2840</t>
  </si>
  <si>
    <t>https://turpogoda.ru/image.php?id=2840&amp;news=1</t>
  </si>
  <si>
    <t>Прибрежные воды Израиля атакуют опасные медузы / 15 июня ...</t>
  </si>
  <si>
    <t>https://encrypted-tbn0.gstatic.com/images?q=tbn:ANd9GcRSdYy5V7GaTxm8nSEWkdl6qECF3e-inIjkRzAmwR_PL3uGEPA&amp;s</t>
  </si>
  <si>
    <t>www.kolhazman.co.il</t>
  </si>
  <si>
    <t>https://www.kolhazman.co.il/43651</t>
  </si>
  <si>
    <t>https://www.kolhazman.co.il/wp-content/uploads/thumbs/%D7%A6%D7%95%D7%9C%D7%9D-%D7%91%D7%AA%D7%9C-%D7%90%D7%91%D7%99%D7%91-%D7%A2%D7%99-%D7%93%D7%A8-%D7%93%D7%A0%D7%99-%D7%91%D7%A8%D7%97%D7%A0%D7%90-30q4fnllc6om46i1o95nnu.jpg</t>
  </si>
  <si>
    <t>הקיץ כאן: נחיל מדוזות הגיע לחופי ישראל - כל הזמן</t>
  </si>
  <si>
    <t>https://encrypted-tbn0.gstatic.com/images?q=tbn:ANd9GcR3s0trlpc60w1gktq7MgUNZIW_DgrFw1oFAZWd_v7aEuJfCem0&amp;s</t>
  </si>
  <si>
    <t>mignews.com</t>
  </si>
  <si>
    <t>https://mignews.com/news/travel/k-poberezhiu-izrailia-priblizhaiutsia-polchishcha-meduz-r4st.html</t>
  </si>
  <si>
    <t>https://mignews.com/media/cache/8f/c8/8fc8f485313a415a73d9685dd6d77cbd.jpg</t>
  </si>
  <si>
    <t>К побережью Израиля приближаются полчища медуз | Путешествия ...</t>
  </si>
  <si>
    <t>https://encrypted-tbn0.gstatic.com/images?q=tbn:ANd9GcSSJc7BAMthUfDU8LdTQamYezmoYYPpLzqbnQ&amp;usqp=CAU</t>
  </si>
  <si>
    <t>https://www.srugim.co.il/118746-%D7%9E%D7%A8%D7%94%D7%99%D7%91-%D7%90%D7%9A-%D7%9E%D7%A1%D7%95%D7%9B%D7%9F-%D7%9E%D7%93%D7%95%D7%96%D7%94-%D7%9E%D7%99%D7%A4%D7%9F-%D7%A4%D7%9C%D7%A9%D7%94-%D7%9C%D7%97%D7%95%D7%A4%D7%99-%D7%99%D7%A9</t>
  </si>
  <si>
    <t>bet yannay</t>
  </si>
  <si>
    <t>https://www.srugim.co.il/i/wp-content/uploads/2015/06/shutterstock_144148564__w650h331q80.jpg</t>
  </si>
  <si>
    <t>https://encrypted-tbn0.gstatic.com/images?q=tbn:ANd9GcTkoard4TV4i9adifLx0YaL9V-NWaGe3H0Vt68WNXcgVgKzwLo&amp;s</t>
  </si>
  <si>
    <t>www1.haifa.muni.il</t>
  </si>
  <si>
    <t>http://www1.haifa.muni.il/news/20150617/newsletter.html</t>
  </si>
  <si>
    <t>http://www1.haifa.muni.il/news/20150624/a12.jpg</t>
  </si>
  <si>
    <t>עיריית חיפה - עירונט</t>
  </si>
  <si>
    <t>https://encrypted-tbn0.gstatic.com/images?q=tbn:ANd9GcSgdQkV7tXIg8jVgmFgwYG5rxXKjSw5tfjYAnpQ1XHpk-HW-Vo&amp;s</t>
  </si>
  <si>
    <t>www.inn.co.il</t>
  </si>
  <si>
    <t>https://www.inn.co.il/news/301075</t>
  </si>
  <si>
    <t>https://a7.org/pictures/000/596514.jpg</t>
  </si>
  <si>
    <t>המדוזות הציפו את תחנות הכוח | ערוץ ７</t>
  </si>
  <si>
    <t>https://encrypted-tbn0.gstatic.com/images?q=tbn:ANd9GcQ8JdYWXXzFFY3BKSyJGO5FM2skHYluOCLyxcEK7mHApCK8Qtg&amp;s</t>
  </si>
  <si>
    <t>https://forward.com/tag/jellyfish/</t>
  </si>
  <si>
    <t>https://images.forwardcdn.com/image/970x/center/images/cropped/jellyfish-1435244682.jpg</t>
  </si>
  <si>
    <t>jellyfish – The Forward</t>
  </si>
  <si>
    <t>7 CHANNEL</t>
  </si>
  <si>
    <t>https://www.7kanal.co.il/news/177598</t>
  </si>
  <si>
    <t>26</t>
  </si>
  <si>
    <t>https://encrypted-tbn0.gstatic.com/images?q=tbn:ANd9GcQTaw59qDZk1m4maDBZG5m7RnoBVSnensXbhQ&amp;usqp=CAU</t>
  </si>
  <si>
    <t>https://www.ynet.co.il/articles/0,7340,L-5543633,00.html</t>
  </si>
  <si>
    <t>https://www.ynet.co.il/PicServer4/2015/06/27/6134026/613401701001599640360no.jpg</t>
  </si>
  <si>
    <t>הווייז של המדוזות</t>
  </si>
  <si>
    <t>19</t>
  </si>
  <si>
    <t>https://serpapi.com/searches/637a446e8ccee01a43a050f8/images/a694e05bbaa764f09b8d5f2543be562cb719f4c0425a41bb04b730b34b3d2ebe.jpeg</t>
  </si>
  <si>
    <t>https://www.ynet.co.il/environment-science/article/h100eoj7ad</t>
  </si>
  <si>
    <t>https://ynet-images1.yit.co.il/PicServer4/2015/06/27/6134016/2_o.jpg</t>
  </si>
  <si>
    <t>המדוזות משתלטות על חופי ישראל: מתי הן יעלמו?</t>
  </si>
  <si>
    <t>https://encrypted-tbn0.gstatic.com/images?q=tbn:ANd9GcTR09CFsYN6Gf4PW3Qte7_NIUAhAB0ik5TISA&amp;usqp=CAU</t>
  </si>
  <si>
    <t>Vesty</t>
  </si>
  <si>
    <t>https://m.vesty.co.il/Articles/59625050</t>
  </si>
  <si>
    <t>https://www.ynet.co.il/picserver5/crop_images/2015/06/27/6134016/6134016_0_33_1280_720_0_large.jpg</t>
  </si>
  <si>
    <t>Когда медузы покинут пляжи Израиля: объясняет специалист</t>
  </si>
  <si>
    <t>https://encrypted-tbn0.gstatic.com/images?q=tbn:ANd9GcTuzvtbBuZv79NOBpgg1lq497dPItckliOgSup0yzH7da-eBSU&amp;s</t>
  </si>
  <si>
    <t>http://www.perseus-net.eu/assets/media/PICTURES/Jellyfish/618_3.jpg</t>
  </si>
  <si>
    <t>https://encrypted-tbn0.gstatic.com/images?q=tbn:ANd9GcSPBSs91xFrJUiabZByqytgVRLkVvyClwaHK4QNhnbpl1YKEgw&amp;s</t>
  </si>
  <si>
    <t>https://www.makorrishon.co.il/nrg/online/13/ART2/706/208.html</t>
  </si>
  <si>
    <t>https://www.makorrishon.co.il/nrg/images/archive/465x349/781/282.jpg</t>
  </si>
  <si>
    <t>מדע ומחשבים - מדעי החיים והחברה nrg - ...אז איזה מדוזה</t>
  </si>
  <si>
    <t>https://encrypted-tbn0.gstatic.com/images?q=tbn:ANd9GcRSP2UAsc_UiptPxAgJ9wIKLluYUOEzh6z8kneCPpZbMBbbFVxH&amp;s</t>
  </si>
  <si>
    <t>http://www.perseus-net.eu/assets/media/PICTURES/Jellyfish/631_3.jpg</t>
  </si>
  <si>
    <t>http://www.perseus-net.eu/assets/media/PICTURES/Jellyfish/623_3.jpg</t>
  </si>
  <si>
    <t>https://encrypted-tbn0.gstatic.com/images?q=tbn:ANd9GcQh-vlsFgePnoTyG9tj9Ly2RkUc35WKhLQ1wQ&amp;usqp=CAU</t>
  </si>
  <si>
    <t>חי פה</t>
  </si>
  <si>
    <t>https://haipo.co.il/item/27510</t>
  </si>
  <si>
    <t>http://neo.haipo.co.il/wp-content/uploads/2015/07/Screen_Captures59.jpg</t>
  </si>
  <si>
    <t>המדוזות ממשיכות להגיע לכל חופי חיפה - תמונה מהחוף הדרומי - חי פה - תאגיד  החדשות של חיפה והסביבה</t>
  </si>
  <si>
    <t>https://encrypted-tbn0.gstatic.com/images?q=tbn:ANd9GcRddv2E0lAMEKe2QbC4uez1eUUDRmNqkdAstADb6LG8XAvDVPvm&amp;s</t>
  </si>
  <si>
    <t>streamer.co.il</t>
  </si>
  <si>
    <t>http://streamer.co.il/articles/view/man-vs-jellyfish-this-summer-i-surfed-wih-my-wetsuit-on-and-it-was-not-cool</t>
  </si>
  <si>
    <t>http://streamer.co.il/news_img/art/1436032698_jerlly.jpg</t>
  </si>
  <si>
    <t>צלם ים :: נועם VS מדוזה: בקיץ הזה גלשתי עם חליפה והיה לי ...</t>
  </si>
  <si>
    <t>https://encrypted-tbn0.gstatic.com/images?q=tbn:ANd9GcT2gECpd8ehAaKZjcNUCAnyMuzZOjkJ-iBYCg&amp;usqp=CAU</t>
  </si>
  <si>
    <t>פיקיוויקי</t>
  </si>
  <si>
    <t>https://www.pikiwiki.org.il/image/view/44497</t>
  </si>
  <si>
    <t>https://upload.wikimedia.org/wikipedia/commons/thumb/7/7b/PikiWiki_Israel_44497_Jellyfish.jpg/800px-PikiWiki_Israel_44497_Jellyfish.jpg</t>
  </si>
  <si>
    <t>פיקיוויקי – מאגר תמונות שיתופי לשימוש חופשי – מדוזות על החוף</t>
  </si>
  <si>
    <t>https://serpapi.com/searches/63d00e61ea14429543229cd5/images/f752daf8bb5f9e58613f5a01ee1ab4e2391757681f7f06e8cc28e53148aa7ad7.jpeg</t>
  </si>
  <si>
    <t>ashkeloninfo</t>
  </si>
  <si>
    <t>http://ashkeloninfo.com/news/meduzy_pokidajut_izrail/2015-07-25-6690</t>
  </si>
  <si>
    <t>tel aviv-ashkelon</t>
  </si>
  <si>
    <t>http://ashkeloninfo.com/_nw/66/47532728.jpg</t>
  </si>
  <si>
    <t>Медузы покидают Израиль - АшкелонИнфо</t>
  </si>
  <si>
    <t>haifa north</t>
  </si>
  <si>
    <t>http://m.strana.co.il/News/?ID=80802&amp;cat=3</t>
  </si>
  <si>
    <t>https://encrypted-tbn0.gstatic.com/images?q=tbn:ANd9GcTnoBlHQ-G6r442_v2_hCpV9k_U0-3ygtcIDA&amp;usqp=CAU</t>
  </si>
  <si>
    <t>http://www.strana.co.il/news/?ID=80802&amp;cat=3</t>
  </si>
  <si>
    <t>http://www.strana.co.il/XXXcicuilkjvkhasjkasihdchakbchQQkjcvlkhzvhzlhasdfWWW/650x488/21062015101307.jpg</t>
  </si>
  <si>
    <t>В Израиле заканчивается сезон медуз</t>
  </si>
  <si>
    <t>https://encrypted-tbn0.gstatic.com/images?q=tbn:ANd9GcS31NxqiMo33RlZB3rqk2QrwKRags_K56M2MkZDqfl5PvJP7rtS&amp;s</t>
  </si>
  <si>
    <t>http://israelbusinessguide.com/news/meduzi2015/</t>
  </si>
  <si>
    <t>http://israelbusinessguide.com/photo/content/content_news/00262/7270_large.jpg</t>
  </si>
  <si>
    <t>На побережье Израиля медуз становится меньше</t>
  </si>
  <si>
    <t>https://encrypted-tbn0.gstatic.com/images?q=tbn:ANd9GcSslwmg2wKYpGEodUgEoqI6VU6iLvCYuk7JG-oDlvHRYkS5ITet&amp;s</t>
  </si>
  <si>
    <t>ramallah.news</t>
  </si>
  <si>
    <t>https://ramallah.news/post/35698/%D9%82%D9%86%D8%AF%D9%8A%D9%84-%D8%A7%D9%84%D8%A8%D8%AD%D8%B1-%D8%B9%D8%AF%D9%88-%D8%A7%D9%84%D8%BA%D8%B2%D9%8A%D9%8A%D9%86-%D8%A3%D8%AB%D9%86%D8%A7%D8%A1-%D8%AA%D9%88%D8%AC%D9%87%D9%87%D9%85-%D9%84%D9%84%D8%A8%D8%AC%D8%B1-%D9%88%D9%8A%D8%B3%D8%A8%D8%A8-%D9%84%D9%87%D9%85-%D8%A7%D8%B6%D8%B1%D8%A7%D8%B1-%D8%AC%D8%B3%D8%AF%D9%8A%D8%A9-%D8%A8%D8%A7%D9%84%D8%BA%D8%A9-%D9%88%D8%AD%D9%83%D8%A9-%D8%B4%D8%AF%D9%8A%D8%AF%D8%A9</t>
  </si>
  <si>
    <t>https://ramallah.news/thumb/1200x630/uploads/images/2015/08/%D9%82%D9%86%D8%AF%D9%8A%D9%84-3.jpg</t>
  </si>
  <si>
    <t>قنديل البحر  عدو الغزيين  أثناء توجههم للبجر ويسبب لهم ...</t>
  </si>
  <si>
    <t>https://encrypted-tbn0.gstatic.com/images?q=tbn:ANd9GcQcmcDOtLXaapQ2ci51cS7P0a3FkgwBcpOiWbNLWYWXTKaOHXSa&amp;s</t>
  </si>
  <si>
    <t>www.cnn.com</t>
  </si>
  <si>
    <t>https://www.cnn.com/2015/08/30/middleeast/jellyfish-invading-mediterranean-through-suez/index.html</t>
  </si>
  <si>
    <t>https://media.cnn.com/api/v1/images/stellar/prod/150827214629-suez-invasive-species-nomad-jellyfish.jpg?q=w_2000,h_1333,x_0,y_0,c_fill/w_1280</t>
  </si>
  <si>
    <t>Jellyfish 'invading' Mediterranean through Suez Canal | CNN</t>
  </si>
  <si>
    <t>https://encrypted-tbn0.gstatic.com/images?q=tbn:ANd9GcTtdEYHpyUIZwEy4HI9ByB_Vk_W76KvnUGPyw&amp;usqp=CAU</t>
  </si>
  <si>
    <t>CNN Arabic</t>
  </si>
  <si>
    <t>https://arabic.cnn.com/scitech/2015/08/30/gallery-jellyfish-invading-mediterranean-through-suez</t>
  </si>
  <si>
    <t>https://cnn-arabic-images.cnn.io/cloudinary/image/upload/w_1100,h_619,c_fill,q_auto,g_center/cnnarabic/2015/08/30/images/104543.jpg</t>
  </si>
  <si>
    <t>أسراب من قناديل البحر اللاسعة تغزو شواطئ البحر المتوسط والسبب... توسعة قناة السويس - CNN Arabic</t>
  </si>
  <si>
    <t>https://encrypted-tbn0.gstatic.com/images?q=tbn:ANd9GcSV6dcrxTm16d4k1DdiigdkCry61WyeLoiZug&amp;usqp=CAU</t>
  </si>
  <si>
    <t>מעריב</t>
  </si>
  <si>
    <t>https://www.maariv.co.il/news/israel/Article-512854</t>
  </si>
  <si>
    <t>https://m.maariv.co.il/HttpHandlers/ShowImage.ashx?id=313791&amp;w=1200&amp;h=628</t>
  </si>
  <si>
    <t>תופעה נדירה: מדוזות נצפו בחופי תל אביב ואשדוד באמצע נובמבר | חדשות מעריב</t>
  </si>
  <si>
    <t>https://serpapi.com/searches/637a3b77a5ad6d55c7dd6bef/images/5180850c0f0f6ef55bf83fb5b0dfc13539686d351648403b58d72cb1df47cf8c.jpeg</t>
  </si>
  <si>
    <t>https://hi-in.facebook.com/jellyfishwatch/photos/a.125535644203191/1074614025962010/</t>
  </si>
  <si>
    <t>https://lookaside.fbsbx.com/lookaside/crawler/media/?media_id=1074614025962010</t>
  </si>
  <si>
    <t>מדוזות אלמותיות | עובדות מדהימות תמונות | אקולס - בעלי חיים</t>
  </si>
  <si>
    <t>cesarea</t>
  </si>
  <si>
    <t>https://encrypted-tbn0.gstatic.com/images?q=tbn:ANd9GcTD_CcaSfwBEoUOoYhW1N2C_LU8k1LFFPT5YV3TVz5wwaD4RXE&amp;s</t>
  </si>
  <si>
    <t>www.newsru.co.il</t>
  </si>
  <si>
    <t>https://www.newsru.co.il/israel/17jun2016/meduzot_102.html</t>
  </si>
  <si>
    <t>https://images.newsru.co.il/m/83/66/836625.jpg</t>
  </si>
  <si>
    <t>Сезон медуз на побережье Средиземного моря в Израиле ...</t>
  </si>
  <si>
    <t>https://encrypted-tbn0.gstatic.com/images?q=tbn:ANd9GcS4BbLXZKyxM1WesJ04Dd2_gnsI0NNTYJbm8YliGGusN6bLy_Y&amp;s</t>
  </si>
  <si>
    <t>https://www.israelhayom.co.il/article/390163</t>
  </si>
  <si>
    <t>https://www.israelhayom.co.il/sites/default/files/u1373/yehoshua-yoseffff_0.jpg</t>
  </si>
  <si>
    <t>הקיץ כבר כאן | ישראל היום</t>
  </si>
  <si>
    <t>https://serpapi.com/searches/637a3b77a5ad6d55c7dd6bef/images/5180850c0f0f6ef55bf83fb5b0dfc135c9a2956efa387bb75f74abb08c370595.jpeg</t>
  </si>
  <si>
    <t>https://www.ynet.co.il/articles/07340L-482154900.html</t>
  </si>
  <si>
    <t>https://www.ynet.co.il/PicServer4/2016/06/21/7083270/708326101003678640360no.jpg</t>
  </si>
  <si>
    <t>מדוזות - אנשי הים התיכון</t>
  </si>
  <si>
    <t>https://encrypted-tbn0.gstatic.com/images?q=tbn:ANd9GcSozriaA7rB48062QAuEjnLBiGHfk83yliPCA&amp;usqp=CAU</t>
  </si>
  <si>
    <t>https://www.israelhayom.co.il/news/environment/article/13350657</t>
  </si>
  <si>
    <t>https://www.israelhayom.co.il/wp-content/uploads/2022/11/24/14665563063858_b-1920x960.jpg</t>
  </si>
  <si>
    <t>חם וצורב</t>
  </si>
  <si>
    <t>https://encrypted-tbn0.gstatic.com/images?q=tbn:ANd9GcSwPi0_H8gb76ZdXlhu-USGEiQQg1AT120LnQ&amp;usqp=CAU</t>
  </si>
  <si>
    <t>http://m.strana.co.il/News/?ID=88373&amp;cat=3</t>
  </si>
  <si>
    <t>ashkelon-nahariya</t>
  </si>
  <si>
    <t>http://www.strana.co.il/XXXcicuilkjvkhasjkasihdchakbchQQkjcvlkhzvhzlhasdfWWW/650x488/06042014100656.jpg</t>
  </si>
  <si>
    <t>Возросла концентрация медуз на израильском побережье</t>
  </si>
  <si>
    <t>https://encrypted-tbn0.gstatic.com/images?q=tbn:ANd9GcQP4uD1bWGtgEdk5Ctf6-ivXnpYPwHtrY1KnQ&amp;usqp=CAU</t>
  </si>
  <si>
    <t>https://www.newsru.co.il/israel/24jun2016/meduzot_105.html</t>
  </si>
  <si>
    <t>https://images.newsru.co.il/l/83/84/838441.jpg</t>
  </si>
  <si>
    <t>Возросла концентрация медуз на израильском побережье Средиземного моря - NEWSru.co.il</t>
  </si>
  <si>
    <t>https://encrypted-tbn0.gstatic.com/images?q=tbn:ANd9GcRkUpRq7k0IOPSecKePUZ0A6TcgumH0-Dn2h2m2k_mwGJhGnJde&amp;s</t>
  </si>
  <si>
    <t>fineartamerica.com</t>
  </si>
  <si>
    <t>https://fineartamerica.com/featured/jellyfish-on-the-beach-photostock-israel.html</t>
  </si>
  <si>
    <t>https://render.fineartamerica.com/images/rendered/small/greeting-card/images-medium-5/jellyfish-on-the-beach-photostock-israel.jpg?transparent=0&amp;targetx=0&amp;targety=-12&amp;imagewidth=700&amp;imageheight=525&amp;modelwidth=700&amp;modelheight=500&amp;backgroundcolor=AFAFB2&amp;orientation=0&amp;producttype=greetingcard</t>
  </si>
  <si>
    <t>Jellyfish On The Beach Photograph by Photostock-israel ...</t>
  </si>
  <si>
    <t>https://encrypted-tbn0.gstatic.com/images?q=tbn:ANd9GcSEmSW1QuYEHLb5di2Yk83ACrqiJoRlApC3fedkzkhHVk34TbSD&amp;s</t>
  </si>
  <si>
    <t>artur-s.livejournal.com</t>
  </si>
  <si>
    <t>https://artur-s.livejournal.com/5876215.html</t>
  </si>
  <si>
    <t>https://ic.pics.livejournal.com/artur_s/3570135/12745198/12745198_1000.jpg</t>
  </si>
  <si>
    <t>Необычно быстро заканчивается сезон медуз около побережья ...</t>
  </si>
  <si>
    <t>https://encrypted-tbn0.gstatic.com/images?q=tbn:ANd9GcS2hqxKQwytbgdI1kljLD-sROqYTCPps60Dww&amp;usqp=CAU</t>
  </si>
  <si>
    <t>MIGnews</t>
  </si>
  <si>
    <t>https://mignews.com/news/travel/130716_184414_10154.html</t>
  </si>
  <si>
    <t>https://mignews.com/media/cache/42/78/42785eeb3c65f08804e84bd8afdebfd0.jpg</t>
  </si>
  <si>
    <t>Медузы покидают пляжи Израиля | Путешествия | MIGnews - MigNews – новости Израиля и мира на русском языке</t>
  </si>
  <si>
    <t>nahariya</t>
  </si>
  <si>
    <t>https://encrypted-tbn0.gstatic.com/images?q=tbn:ANd9GcS9p7fvrQj64rSNCnmsYXx7OxBMw9gJfZGnog&amp;usqp=CAU</t>
  </si>
  <si>
    <t>israel4u.ru</t>
  </si>
  <si>
    <t>https://israel4u.ru/blog/69-v-izraile-zavershilsya-sezon-meduz</t>
  </si>
  <si>
    <t>ashkelon-na</t>
  </si>
  <si>
    <t>https://israel4u.ru/images/news/metzuya.jpg</t>
  </si>
  <si>
    <t>В Израиле завершился сезон медуз</t>
  </si>
  <si>
    <t>https://encrypted-tbn0.gstatic.com/images?q=tbn:ANd9GcRMAbHKf5xEPMVcj6oTObb1OqQBrj-B4lNK56wn7_Kp_OMt3CU&amp;s</t>
  </si>
  <si>
    <t>https://images.fineartamerica.com/images-medium-large-5/jellyfish-on-the-beach-photostock-israel.jpg</t>
  </si>
  <si>
    <t>https://encrypted-tbn0.gstatic.com/images?q=tbn:ANd9GcQp1PvvTXTyGaXsnddW2nsqG5rgOtv3lvGVI8v5wwTP8P5IZzE&amp;s</t>
  </si>
  <si>
    <t>https://pixels.com/featured/1-jellyfish-on-the-beach-photostock-israel.html</t>
  </si>
  <si>
    <t>hof hacarmel</t>
  </si>
  <si>
    <t>https://render.fineartamerica.com/images/rendered/square-product/small/images-medium-large-5/1-jellyfish-on-the-beach-photostock-israel.jpg</t>
  </si>
  <si>
    <t>Jellyfish On The Beach Photograph by Photostock-israel - Pixels</t>
  </si>
  <si>
    <t>https://encrypted-tbn0.gstatic.com/images?q=tbn:ANd9GcRP9G0vCMwWGXWuf7zmjtWaFx0xcHPdZkyWjYPqY1YLBg8iNQss&amp;s</t>
  </si>
  <si>
    <t>https://fineartamerica.com/featured/1-jellyfish-on-the-beach-photostock-israel.html</t>
  </si>
  <si>
    <t>https://images.fineartamerica.com/images-medium-large-5/1-jellyfish-on-the-beach-photostock-israel.jpg</t>
  </si>
  <si>
    <t>42</t>
  </si>
  <si>
    <t>https://encrypted-tbn0.gstatic.com/images?q=tbn:ANd9GcQVdzF2_laYtYbazyFwkrDQ-q2nEtYlPAu1ew&amp;usqp=CAU</t>
  </si>
  <si>
    <t>https://www.mako.co.il/news-science/2022_q2/Article-4ab17c42b1c7181026.htm</t>
  </si>
  <si>
    <t>https://img.mako.co.il/2016/08/19/644549_I.jpg</t>
  </si>
  <si>
    <t>N12 - כל השאלות על נחיל המדוזות שפוקד את ישראל</t>
  </si>
  <si>
    <t>https://serpapi.com/searches/637a2349f716eef683f2941a/images/6d27cb32fe6911be058961e53c32a67e5c555070ec515dcff73f2500399fc6df.jpeg</t>
  </si>
  <si>
    <t>אשדוד נט</t>
  </si>
  <si>
    <t>https://ashdodnet.com/%D7%97%D7%93%D7%A9%D7%95%D7%AA-%D7%90%D7%A9%D7%93%D7%95%D7%93/66922</t>
  </si>
  <si>
    <t>https://ashdodnet.com/dyncontent/Old/ganyavne/t_post/2016/8/26/852470713084471870636.jpg</t>
  </si>
  <si>
    <t>מדוזות בחופי אשדוד - בת שש נכוותה קשות מעקיצת מדוזה - אשדוד נט</t>
  </si>
  <si>
    <t>Russian Jew</t>
  </si>
  <si>
    <t>http://rusjev.net/2016/09/09/poberezhe-izrailya-atakuyut-gigantskie-meduzyi/</t>
  </si>
  <si>
    <t>densegodnya.ru</t>
  </si>
  <si>
    <t>https://densegodnya.ru/ecologya/article_post/rekordnoye-skopleniye-meduz-otmecheno-v-sredizemnom-more-u-beregov-izrailya</t>
  </si>
  <si>
    <t>haifa -north</t>
  </si>
  <si>
    <t>https://encrypted-tbn0.gstatic.com/images?q=tbn:ANd9GcSiwlHx3xBWX6b1Smdukyi7Q_eQRveRXRrrWw&amp;usqp=CAU</t>
  </si>
  <si>
    <t>הידען</t>
  </si>
  <si>
    <t>https://www.hayadan.org.il/nomad-jellyfish-swarm-reached-the-israeli-shores-0201176</t>
  </si>
  <si>
    <t>https://www.hayadan.org.il/images/content3/2017/01/%D7%9E%D7%93%D7%95%D7%96%D7%94-500x281.jpg</t>
  </si>
  <si>
    <t>הביקור החורפי של המדוזות: נחיל מדוזות ממין חוטית נודדת הגיע לחופי הארץ -  הידען</t>
  </si>
  <si>
    <t>https://encrypted-tbn0.gstatic.com/images?q=tbn:ANd9GcSOQLM32Jjhu5kWnL0vwy1Xs_lvunCOWyxdRb1R6VYAMmuSyOg&amp;s</t>
  </si>
  <si>
    <t>www.hevrati.org.il</t>
  </si>
  <si>
    <t>https://www.hevrati.org.il/%D7%97%D7%93%D7%A9%D7%95%D7%AA/%D7%94%D7%91%D7%99%D7%A7%D7%95%D7%A8-%D7%94%D7%97%D7%95%D7%A8%D7%A4%D7%99-%D7%A9%D7%9C-%D7%94%D7%9E%D7%93%D7%95%D7%96%D7%95%D7%AA-%D7%A0%D7%97%D7%99%D7%9C-%D7%9E%D7%93%D7%95%D7%96%D7%95%D7%AA-%D7%9E/</t>
  </si>
  <si>
    <t>https://www.hevrati.org.il/wp-content/uploads/2017/02/%D7%9E%D7%93%D7%95%D7%96%D7%94.jpg</t>
  </si>
  <si>
    <t>הביקור החורפי של המדוזות: נחיל מדוזות ממין חוטית נודדת הגיע ...</t>
  </si>
  <si>
    <t>naharia</t>
  </si>
  <si>
    <t>https://encrypted-tbn0.gstatic.com/images?q=tbn:ANd9GcQAXmH-wYOaxoF4wvbqOjavjbbxEfuxZsRxz9VmDAK_M0r7XiWk&amp;s</t>
  </si>
  <si>
    <t>news.old.bestoneonline.co.il</t>
  </si>
  <si>
    <t>https://news.old.bestoneonline.co.il/%D7%97%D7%93%D7%A9%D7%95%D7%AA/%D7%A1%D7%91%D7%99%D7%91%D7%94/%D7%92%D7%9C-%D7%9E%D7%93%D7%95%D7%96%D7%95%D7%AA-%D7%91%D7%A6%D7%A4%D7%95%D7%9F/</t>
  </si>
  <si>
    <t>https://news.old.bestoneonline.co.il/wp-content/uploads/sites/13/2017/02/%D7%9E%D7%93%D7%95%D7%96%D7%95%D7%AA-765x510.jpg</t>
  </si>
  <si>
    <t>גל מדוזות בצפון | המומלצים | חדשות</t>
  </si>
  <si>
    <t>https://encrypted-tbn0.gstatic.com/images?q=tbn:ANd9GcTjkiWERUg9EIk6gjOj1X73kscsoCVS9dIOrQ&amp;usqp=CAU</t>
  </si>
  <si>
    <t>https://www.alamy.com/stock-photo-jellyfish-washed-onto-the-beach-photographed-in-haifa-israel-135817917.html</t>
  </si>
  <si>
    <t>https://c8.alamy.com/comp/HTY13W/jellyfish-washed-onto-the-beach-photographed-in-haifa-israel-HTY13W.jpg</t>
  </si>
  <si>
    <t>Jellyfish washed onto the beach. Photographed in Haifa Israel Stock Photo - Alamy</t>
  </si>
  <si>
    <t>https://encrypted-tbn0.gstatic.com/images?q=tbn:ANd9GcQ9dfzSQv67-izyhsjkWkoJGlq04zEHe98ReQ&amp;usqp=CAU</t>
  </si>
  <si>
    <t>https://www.alamy.com/stock-photo-jellyfish-washed-onto-the-beach-photographed-in-haifa-israel-135817920.html</t>
  </si>
  <si>
    <t>https://c8.alamy.com/comp/HTY140/jellyfish-washed-onto-the-beach-photographed-in-haifa-israel-HTY140.jpg</t>
  </si>
  <si>
    <t>https://encrypted-tbn0.gstatic.com/images?q=tbn:ANd9GcT7TuIQi3Js1cb9EUeP7sW5x2o64yY9E6f8wQ&amp;usqp=CAU</t>
  </si>
  <si>
    <t>https://www.hidabroot.org/article/221259</t>
  </si>
  <si>
    <t>https://storage.hidabroot.org/articles_new/112775_tumb_750Xauto.jpg</t>
  </si>
  <si>
    <t>https://serpapi.com/searches/637b357437014cf32db57f90/images/62f790fc1e1a37c16a5ab82eb1d504db9052186f6efb45045b7bace94a93e532.jpeg</t>
  </si>
  <si>
    <t>הידברות</t>
  </si>
  <si>
    <t>https://storage.hidabroot.org/articles_new/112775_tumb_730Xauto.jpg</t>
  </si>
  <si>
    <t>זהירות: מדוזות ענק בחופי ישראל | חדשות היום</t>
  </si>
  <si>
    <t>https://encrypted-tbn0.gstatic.com/images?q=tbn:ANd9GcQQsmLCS7gsrOydmrUMu62VzuQtYbKhMLgns_inDnYuPjHgXipW&amp;s</t>
  </si>
  <si>
    <t>https://ashdodnet.com/%D7%97%D7%93%D7%A9%D7%95%D7%AA-%D7%90%D7%A9%D7%93%D7%95%D7%93/72210</t>
  </si>
  <si>
    <t>https://ashdodnet.com/dyncontent/Old/ashqelon/dyncontent/t_post/2017/6/1/461001839309222913636.jpg</t>
  </si>
  <si>
    <t>המדוזות כבר כאן - אשדוד נט</t>
  </si>
  <si>
    <t>https://encrypted-tbn0.gstatic.com/images?q=tbn:ANd9GcRa00ocXulsf-NufjtEQNSdzHH-etFvuBEUSYR74zwegBTzzwst&amp;s</t>
  </si>
  <si>
    <t>www.yeshuvnik.net</t>
  </si>
  <si>
    <t>https://www.yeshuvnik.net/mobile/%D7%97%D7%93%D7%A9%D7%95%D7%AA/2549</t>
  </si>
  <si>
    <t>https://yeshuvnik.net/dyncontent/tmp/249/Old_ashqelon_dyncontent_t_post_2017_6_1_371516589637132913636_1200_628_Fit_.jpg</t>
  </si>
  <si>
    <t>המדוזות כבר כאן - יישובניק נט</t>
  </si>
  <si>
    <t>https://encrypted-tbn0.gstatic.com/images?q=tbn:ANd9GcS5ChWZ9d22dD7F0w3HXNPRyfVYds2el1kAy7UJjf0wcNAcHk8A&amp;s</t>
  </si>
  <si>
    <t>www.ynetnews.com</t>
  </si>
  <si>
    <t>https://www.ynetnews.com/articles/0,7340,L-4970108,00.html</t>
  </si>
  <si>
    <t>https://www.ynetnews.com/PicServer5/2017/06/01/7817847/7817846099176640360no.jpg</t>
  </si>
  <si>
    <t>Jellyfish season officially begins</t>
  </si>
  <si>
    <t>https://encrypted-tbn0.gstatic.com/images?q=tbn:ANd9GcSYt-QA75vHDP3Kg2aIShbYct2XUyMleH_2PvvKdLmOaANozYs&amp;s</t>
  </si>
  <si>
    <t>batyam.mynet.co.il</t>
  </si>
  <si>
    <t>https://batyam.mynet.co.il/local_news/article/m_174658</t>
  </si>
  <si>
    <t>https://batyam.mynet.co.il/picserver/mynet/wcm_upload/wcm_mynet_pic/crop_images/2017/06/02/274558/121330_0_0_513_340_large.jpg</t>
  </si>
  <si>
    <t>מדוזות ראשונות לקיץ התחילו להגיע לחופים שלנו</t>
  </si>
  <si>
    <t>https://encrypted-tbn0.gstatic.com/images?q=tbn:ANd9GcSSuJ5TvfAl_AWQ_0MqpliOZEeLpRsIfAdx0GzinRtd6hodN_c&amp;s</t>
  </si>
  <si>
    <t>https://densegodnya.ru/ecologya/article_post/u-poberezhya-izrailya-poyavilis-bolshiye-i-opasnyye-meduzy-gazeta-vesti</t>
  </si>
  <si>
    <t>haifa-ashkelon</t>
  </si>
  <si>
    <t>https://densegodnya.ru/thumb/2/IMqfOegOGLVtVdqxwxuOtg/r/d/meduza_kornerot.jpg</t>
  </si>
  <si>
    <t>У побережья Израиля появились большие и опасные медузы ...</t>
  </si>
  <si>
    <t>https://encrypted-tbn0.gstatic.com/images?q=tbn:ANd9GcSkPtjGjZpvyKXRnXP_iGWMJpoSXLF5tp6A6g&amp;usqp=CAU</t>
  </si>
  <si>
    <t>YouTube</t>
  </si>
  <si>
    <t>https://www.youtube.com/watch?v=lC9MFksUKLI</t>
  </si>
  <si>
    <t>https://i.ytimg.com/vi/lC9MFksUKLI/maxresdefault.jpg</t>
  </si>
  <si>
    <t>GIANT JELLYFISH on ISRAEL beach / SJ7 STAR ON 1440P 60fps - YouTube</t>
  </si>
  <si>
    <t>https://encrypted-tbn0.gstatic.com/images?q=tbn:ANd9GcQHcGcTMZ4AnZIIf1_CfkwcUWkKRvlMMA-E-wnSjyias04m78k&amp;s</t>
  </si>
  <si>
    <t>www.vesty.co.il</t>
  </si>
  <si>
    <t>https://www.vesty.co.il/articles/0,7340,L-4974436,00.html</t>
  </si>
  <si>
    <t>https://images1.ynet.co.il/PicServer5/2017/06/11/7837076/7837074290099640360no.jpg</t>
  </si>
  <si>
    <t>Откуда в Израиле взялись медузы и как правильно лечить ожоги ...</t>
  </si>
  <si>
    <t>662</t>
  </si>
  <si>
    <t>https://encrypted-tbn0.gstatic.com/images?q=tbn:ANd9GcT62RUYkviIFLZw5hFWbKcj4eK4__edKA_Pdo-VKbBOBhhmCuc&amp;s</t>
  </si>
  <si>
    <t>www.davar1.co.il</t>
  </si>
  <si>
    <t>https://www.davar1.co.il/72422/</t>
  </si>
  <si>
    <t>https://www.davar1.co.il/wp-content/uploads/2017/06/150617_jellyfish1.jpg</t>
  </si>
  <si>
    <t>המדוזה שלך חזרה: כל מה שאתם צריכים לדעת על החברה הצורבת מהים ...</t>
  </si>
  <si>
    <t>56</t>
  </si>
  <si>
    <t>https://encrypted-tbn0.gstatic.com/images?q=tbn:ANd9GcTiQL1pbhjRWi936-Q61zkL0Wrlr6J-wBnOCw&amp;usqp=CAU</t>
  </si>
  <si>
    <t>רשת 13</t>
  </si>
  <si>
    <t>https://13tv.co.il/item/news/domestic/health/the-jellyfish-are-on-their-way-here-320793/</t>
  </si>
  <si>
    <t>https://media.reshet.tv/image/upload/t_grid-item-large/v1497810361/80-1_loilhs.webp</t>
  </si>
  <si>
    <t>צורב לכם? המדוזות בדרך לכאן | חדשות 13</t>
  </si>
  <si>
    <t>https://encrypted-tbn0.gstatic.com/images?q=tbn:ANd9GcTOS1JHOkHEM77ZKTpbS7RzyCXqLDb2ar8hO0bYk4YLxm9g3lwa&amp;s</t>
  </si>
  <si>
    <t>npaapress.com</t>
  </si>
  <si>
    <t>https://npaapress.com/ar/post/78382</t>
  </si>
  <si>
    <t>https://npaapress.com/ar/uploads/images/750x450/zjlr0bzantwqbxrbaf8hj5abdvw4jqtv.jpg</t>
  </si>
  <si>
    <t>خبراء صهاينة يحذرون من اقتراب ملايين القناديل لسواحل فلسطين ...</t>
  </si>
  <si>
    <t>https://serpapi.com/searches/63d011560b5062e5ae5bfdcb/images/aab8c0efcf0389bc9990edc13a685c05bc7597862f21375d005d6ccc87942ddf.jpeg</t>
  </si>
  <si>
    <t>وكـالـة مـعـا الاخـبـارية</t>
  </si>
  <si>
    <t>https://www.maannews.net/news/911806.html</t>
  </si>
  <si>
    <t>https://cdn1.maannews.net/cached_uploads/resize/812/1674/n/Photos/436664.jpg?_mhk=60cbcef0e623dc9c7f5da3cf09eed6515d1140d97d0262163c402de7ba7cd9dc1c60dfc5da23809e1e3e299a8abab930</t>
  </si>
  <si>
    <t>أعداد هائلة من قناديل البحر في طريقها لسواحل إسرائيل</t>
  </si>
  <si>
    <t>https://encrypted-tbn0.gstatic.com/images?q=tbn:ANd9GcSLYjVFcKZzDupiP3cCoc0Gr3CQfGWqqVrrB60tgg6Uu4nICPc&amp;s</t>
  </si>
  <si>
    <t>www.shomosnews.com</t>
  </si>
  <si>
    <t>https://www.shomosnews.com/%D8%B4%D8%A7%D9%87%D8%AF%D9%88%D8%A7-%D9%82%D9%86%D8%A7%D8%AF%D9%8A%D9%84-%D8%A7%D9%84%D8%A8%D8%AD%D8%B1-%D8%AA%D8%AC%D8%AA%D8%A7%D8%AD-%D8%B4%D9%88%D8%A7%D8%B7%D8%A6-%D8%A5%D8%B3%D8%B1%D8%A7%D8%A6/</t>
  </si>
  <si>
    <t>https://www.shomosnews.com/wp-content/uploads/2017/07/%D9%82%D9%86%D8%A7%D8%AF%D9%8A%D9%84-%D8%A7%D9%84%D8%A8%D8%AD%D8%B1.jpg</t>
  </si>
  <si>
    <t>شاهدوا: قناديل البحر تجتاح شواطئ إسرائيل - بوابة شموس نيوز</t>
  </si>
  <si>
    <t>https://encrypted-tbn0.gstatic.com/images?q=tbn:ANd9GcSwe4hvD0gjt94ZMWKHgRv9KdfJ4630RQXejw&amp;usqp=CAU</t>
  </si>
  <si>
    <t>Irecommend</t>
  </si>
  <si>
    <t>https://irecommend.ru/content/izrail-kolybel-khristianstva-ekskursii-i-sredizemnoe-more-plyazhnyi-otdykh-v-etoi-strane-ply</t>
  </si>
  <si>
    <t>https://irecommend.ru/sites/default/files/imagecache/copyright1/user-images/616945/maHDmqzLAP0TquVMf8iSlA.jpg</t>
  </si>
  <si>
    <t>Израиль - « Как меня в Израиле укусила медуза: чем лечить, последствия. Шокирующие фото ожога (слабонервным не смотреть). Советы по прохождению пограничного контроля. Что посмотреть в этой стране? » | отзывы</t>
  </si>
  <si>
    <t>https://encrypted-tbn0.gstatic.com/images?q=tbn:ANd9GcQ2fUtjjS1sxbIx1JVNEyafQbuYQ3rXkgA_Q5X0IDchZdNt6J8&amp;s</t>
  </si>
  <si>
    <t>https://mignews.com/news/travel/190617_164259_07209.html</t>
  </si>
  <si>
    <t>ashdod, ashkelon, palmachim, zikim</t>
  </si>
  <si>
    <t>https://mignews.com/media/cache/f5/71/f5718cfb706c70ef49ffb5501ee4e746.jpg</t>
  </si>
  <si>
    <t>Полчища медуз - на пути к берегам Израиля | Путешествия ...</t>
  </si>
  <si>
    <t>https://encrypted-tbn0.gstatic.com/images?q=tbn:ANd9GcTX0-Dzsz4Ar6V_5WivUbbfkJ0ecoOkM_GetA&amp;usqp=CAU</t>
  </si>
  <si>
    <t>تلفزيون السلام</t>
  </si>
  <si>
    <t>https://www.salam-tv.net/ar/news/110397.html</t>
  </si>
  <si>
    <t>https://www.salam-tv.net/data/image/full/01067898837522324106711680803135.jpg</t>
  </si>
  <si>
    <t>أعداد هائلة من قناديل البحر في طريقها لسواحل إسرائيل - تلفزيون السلام</t>
  </si>
  <si>
    <t>https://encrypted-tbn0.gstatic.com/images?q=tbn:ANd9GcTVtPJ32iC9B8IU7niJvghFB2Ub3qaprEnn8g&amp;usqp=CAU</t>
  </si>
  <si>
    <t>كنوز نت</t>
  </si>
  <si>
    <t>https://www.knooznet.com/?app=article.show.16611</t>
  </si>
  <si>
    <t>https://www.knooznet.com/upload/06-2017/article/20150622-1418531295998297.jpg</t>
  </si>
  <si>
    <t>مع اقتراب عيد الفطر : أعداد هائلة من قناديل البحر في طريقها لسواحل إسرائيل</t>
  </si>
  <si>
    <t>https://encrypted-tbn0.gstatic.com/images?q=tbn:ANd9GcRsEHuKbb2hoSMycKg7STVEzJZRw0fBt6-qEw&amp;usqp=CAU</t>
  </si>
  <si>
    <t>נתניה און ליין</t>
  </si>
  <si>
    <t>https://www.ksn.co.il/%D7%94%D7%9E%D7%93%D7%95%D7%96%D7%95%D7%AA-%D7%9B%D7%91%D7%A8-%D7%9B%D7%90%D7%9F/</t>
  </si>
  <si>
    <t>https://www.ksn.co.il/wp-content/uploads/2017/06/mediza11.jpg</t>
  </si>
  <si>
    <t>המדוזות כבר כאן – נתניה און ליין</t>
  </si>
  <si>
    <t>https://encrypted-tbn0.gstatic.com/images?q=tbn:ANd9GcSd4gGTBOW-meKVtip2oRV7fwWz2KEz49GJJA&amp;usqp=CAU</t>
  </si>
  <si>
    <t>www.themarker.com</t>
  </si>
  <si>
    <t>https://www.themarker.com/consumer/tourism/2017-06-22/ty-article/0000017f-deec-db5a-a57f-deeee6c60000</t>
  </si>
  <si>
    <t>https://img.haarets.co.il/bs/0000017f-deec-db5a-a57f-deeee5f30000/b7/23/e4dbd56ec1c33d8c549dbba1403b/3867212592.jpg?precrop=16331633x58y18</t>
  </si>
  <si>
    <t>הלו אולד פרינד: המדוזות חוזרות - ולמה זה מלחיץ את חברת החשמל - תיירות -  TheMarker</t>
  </si>
  <si>
    <t>https://encrypted-tbn0.gstatic.com/images?q=tbn:ANd9GcSbHu3Mv74737GwXcytDJ4UcVa6sjq1waHVLSR2uW5p6djWr5k&amp;s</t>
  </si>
  <si>
    <t>https://www.youtube.com/watch?v=0-mSw7ZUXSo</t>
  </si>
  <si>
    <t>https://i.ytimg.com/vi/0-mSw7ZUXSo/maxresdefault.jpg</t>
  </si>
  <si>
    <t>מדוזות חוף הצוק תל אביב tlv</t>
  </si>
  <si>
    <t>https://encrypted-tbn0.gstatic.com/images?q=tbn:ANd9GcTEAcRgjCY3feEnppMxnjxGwwSk4ltPJIMYFg&amp;usqp=CAU</t>
  </si>
  <si>
    <t>חדשות 13</t>
  </si>
  <si>
    <t>https://13news.co.il/item/news/domestic/ntr-1252602/</t>
  </si>
  <si>
    <t>https://media.reshet.tv/image/upload/t_main_image_article/v1568828689/ntr_26285.jpg</t>
  </si>
  <si>
    <t>צפו: מדוזה ענקית נלכדה מול חופי אשדוד – חדשות 13</t>
  </si>
  <si>
    <t>8</t>
  </si>
  <si>
    <t>https://serpapi.com/searches/637a446e8ccee01a43a050f8/images/a694e05bbaa764f02bef644bd5cc6f2b5117c50ab5b7bd6fd96c56c88cde838f.jpeg</t>
  </si>
  <si>
    <t>https://www.mako.co.il/hix-nature/environment/Article-a0092be8d80dc51006.htm</t>
  </si>
  <si>
    <t>https://img.mako.co.il/2017/06/22/jelly-large_trans_NvBQzQNjv4BqqVzuuqpFlyLIwiB6NTmJwfSVWeZ_vEN7c6bHu2jJnT8_i.jpg</t>
  </si>
  <si>
    <t>קיץ של מדוזות</t>
  </si>
  <si>
    <t>https://encrypted-tbn0.gstatic.com/images?q=tbn:ANd9GcSpiaHvPC8Qi4nKqDBvrT90tej05djBtz7-zw&amp;usqp=CAU</t>
  </si>
  <si>
    <t>https://www.israelhayom.co.il/animals/article/2226316</t>
  </si>
  <si>
    <t>https://www.israelhayom.co.il/wp-content/uploads/2021/06/62856_LIRO8956_2017-06-24-600x400.jpg</t>
  </si>
  <si>
    <t>קיץ צורב: נחילי מדוזות בדרכם לחופי ישראל</t>
  </si>
  <si>
    <t>https://encrypted-tbn0.gstatic.com/images?q=tbn:ANd9GcQPlQVL8yq7Bvq2TY3S8xplX0X0j7QRS3vy6Q&amp;usqp=CAU</t>
  </si>
  <si>
    <t>https://www.israelhayom.co.il/weathern/article/11800629</t>
  </si>
  <si>
    <t>https://www.israelhayom.co.il/wp-content/uploads/2021/06/62856_LIRO8956_2017-06-24.jpg</t>
  </si>
  <si>
    <t>https://encrypted-tbn0.gstatic.com/images?q=tbn:ANd9GcToXYjFm8tZqLB9IWfI9_TWXNzQtOTBokPbdQ&amp;usqp=CAU</t>
  </si>
  <si>
    <t>אשדוד אונליין</t>
  </si>
  <si>
    <t>https://ashdodonline.co.il/tag/%D7%9E%D7%93%D7%95%D7%96%D7%95%D7%AA-%D7%91%D7%90%D7%A9%D7%93%D7%95%D7%93/</t>
  </si>
  <si>
    <t>https://ashdodonline.co.il/wp-content/uploads/2017/06/Depositphotos_75296745_original.jpg</t>
  </si>
  <si>
    <t>מדוזות באשדוד - אשדוד אונליין</t>
  </si>
  <si>
    <t>https://encrypted-tbn0.gstatic.com/images?q=tbn:ANd9GcT9EOA6aFYIxzQsaSzEd3NQJnM-1wIZSJAdujlt6-OpJkKWhiQ&amp;s</t>
  </si>
  <si>
    <t>www.colbonews.co.il</t>
  </si>
  <si>
    <t>https://www.colbonews.co.il/haifa-news/13078/</t>
  </si>
  <si>
    <t>https://www.colbonews.co.il/wp-content/uploads/2017/06/%D7%A7%D7%95%D7%98%D7%99%D7%9C%D7%95%D7%A8%D7%99%D7%96%D7%94-%D7%9E%D7%A9%D7%94-%D7%96%D7%95%D7%A8%D7%A2-%D7%9E%D7%A2%D7%92%D7%9F-%D7%9E%D7%99%D7%9B%D7%90%D7%9C.jpg</t>
  </si>
  <si>
    <t>מאות אלפי מדוזות בדרך לחופי חיפה - כלבו – חיפה והקריות</t>
  </si>
  <si>
    <t>https://serpapi.com/searches/637a446e8ccee01a43a050f8/images/a694e05bbaa764f09b8d5f2543be562caf4b72a979aa5b6f0436e0e57c5fd192.jpeg</t>
  </si>
  <si>
    <t>https://www.maariv.co.il/news/israel/Article-589161</t>
  </si>
  <si>
    <t>https://images.maariv.co.il/image/upload/f_autofl_lossy/c_fillg_faces:centerw_500/446240</t>
  </si>
  <si>
    <t>מאות התלוננו על צריבות: המדוזות כבשו את חופי תל אביב | חדשות מעריב</t>
  </si>
  <si>
    <t>https://encrypted-tbn0.gstatic.com/images?q=tbn:ANd9GcTxDKBRXwL2ac8PW_EjDH5ZeanIRlB0Icndlvs_-PmyH5PtViYj&amp;s</t>
  </si>
  <si>
    <t>m.facebook.com</t>
  </si>
  <si>
    <t>https://m.facebook.com/www.0404.co.il/photos/a.346087322130722/1599032430169532/?type=3&amp;locale2=ar_AR</t>
  </si>
  <si>
    <t>https://lookaside.fbsbx.com/lookaside/crawler/media/?media_id=1599032430169532</t>
  </si>
  <si>
    <t>0404 - ראיתם פעם כזאת מדוזה? הגולשת שקד רמתי צילמה אותה בחוף ...</t>
  </si>
  <si>
    <t>https://encrypted-tbn0.gstatic.com/images?q=tbn:ANd9GcQ1pT5u_KmrjpFYje0KImtJHe7jgsNKDPHHzu5-i0q1dEej_uo&amp;s</t>
  </si>
  <si>
    <t>www.0404.co.il</t>
  </si>
  <si>
    <t>https://www.0404.co.il/?p=43057</t>
  </si>
  <si>
    <t>https://www.0404.co.il/wp-content/uploads/2017/06/1498500174821.jpeg</t>
  </si>
  <si>
    <t>מדוזה כזאת לא ראיתם והיא כאן אצלנו בחוף הים - 0404</t>
  </si>
  <si>
    <t>https://serpapi.com/searches/637b357437014cf32db57f90/images/62f790fc1e1a37c19d5b68a390beb35d7e4159db4f4ce4175add74e0e1280258.jpeg</t>
  </si>
  <si>
    <t>0404</t>
  </si>
  <si>
    <t>https://www.0404.co.il/wp-content/uploads/2017/06/1498501681506.jpeg</t>
  </si>
  <si>
    <t>https://encrypted-tbn0.gstatic.com/images?q=tbn:ANd9GcQfOMh_z0jJA0v8c-df1XjtnmvfdcV0EYH4QpsbbTkZw9hEpIY&amp;s</t>
  </si>
  <si>
    <t>www.93fm.co.il</t>
  </si>
  <si>
    <t>https://www.93fm.co.il/radio/408421/</t>
  </si>
  <si>
    <t>https://www.93fm.co.il/wp-content/uploads/2017/06/%D7%9E%D7%93%D7%95%D7%96%D7%95%D7%AA-%D7%AA%D7%97%D7%A0%D7%AA-%D7%9B%D7%97-e1498488002497.jpg</t>
  </si>
  <si>
    <t>בתחנת הכח באשקלון הופתעו: נחיל של אלפי מדוזות - רדיו קול חי</t>
  </si>
  <si>
    <t>https://encrypted-tbn0.gstatic.com/images?q=tbn:ANd9GcQUW9iU1YEw17MbLMN5DSBe0uNOeX0IX0RLCw&amp;usqp=CAU</t>
  </si>
  <si>
    <t>מגדלור ניוז</t>
  </si>
  <si>
    <t>https://www.migdalor-news.co.il/27803-2/</t>
  </si>
  <si>
    <t>https://www.migdalor-news.co.il/wp-content/uploads/2018/06/%D7%9E%D7%93%D7%95%D7%96%D7%94.jpg</t>
  </si>
  <si>
    <t>המדוזות כבר כאן: נחיל גדול של מדוזות מגיע לישראל וגם לחופי קיסריה שדות ים  חוף הכרמל וחדרה (VOD 📹) - מגדלור ניוז</t>
  </si>
  <si>
    <t>https://encrypted-tbn0.gstatic.com/images?q=tbn:ANd9GcQGoBJYkL3DTUesV3rBv0uvh_u-x9zJ0zhZkw&amp;usqp=CAU</t>
  </si>
  <si>
    <t>בחדרי חרדים</t>
  </si>
  <si>
    <t>https://www.bhol.co.il/news/808729</t>
  </si>
  <si>
    <t>https://f7k6f9k9.ssl.hwcdn.net/ImageBank/orig/orig_915841E0FA384D7282A909C2F786B5EE.JPG</t>
  </si>
  <si>
    <t>צפו: נחיל של אלפי מדוזות בתחנת הכוח - בחדרי חרדים</t>
  </si>
  <si>
    <t>https://serpapi.com/searches/637a3b77a5ad6d55c7dd6bef/images/5180850c0f0f6ef55bf83fb5b0dfc135fa392b1b353c5f92a505e43279421b92.jpeg</t>
  </si>
  <si>
    <t>https://hadera.mynet.co.il/local_news/article/m_182317</t>
  </si>
  <si>
    <t>https://hadera.mynet.co.il/picserver/mynet/wcm_upload/wcm_mynet_pic/crop_images/2017/06/26/283130/197127_0_0_408_272_large.jpg</t>
  </si>
  <si>
    <t>מדוזה | mako</t>
  </si>
  <si>
    <t>sdot yam</t>
  </si>
  <si>
    <t>https://encrypted-tbn0.gstatic.com/images?q=tbn:ANd9GcR9Va8elWgDsWrOiMM4QC3uCWb6eb9BUWZBJuGibUzaSwRySdV5&amp;s</t>
  </si>
  <si>
    <t>www.istockphoto.com</t>
  </si>
  <si>
    <t>https://www.istockphoto.com/photo/the-nomadic-jellyfish-swarms-the-israeli-shores-every-summer-eventually-getting-stuck-gm802610112-130116391</t>
  </si>
  <si>
    <t>https://media.istockphoto.com/photos/the-nomadic-jellyfish-swarms-the-israeli-shores-every-summer-getting-picture-id802610112?s=612x612</t>
  </si>
  <si>
    <t>The Nomadic Jellyfish Swarms The Israeli Shores Every Summer ...</t>
  </si>
  <si>
    <t>https://encrypted-tbn0.gstatic.com/images?q=tbn:ANd9GcR8U-eTsCAdkRg9PF6WOL_uWk8oYHdba4RIWqe3zOdOPIf0s_ok&amp;s</t>
  </si>
  <si>
    <t>https://www.istockphoto.com/photo/the-nomadic-jellyfish-swarms-the-israeli-shores-every-summer-eventually-getting-stuck-gm802610144-130116397</t>
  </si>
  <si>
    <t>https://media.istockphoto.com/photos/the-nomadic-jellyfish-swarms-the-israeli-shores-every-summer-getting-picture-id802610144?s=612x612</t>
  </si>
  <si>
    <t>https://encrypted-tbn0.gstatic.com/images?q=tbn:ANd9GcRHoRqwDOS4TM5ldu4CSD7p0Uodyut7-9uxko-WpnelUOxTXto&amp;s</t>
  </si>
  <si>
    <t>https://www.istockphoto.com/ru/%D1%84%D0%BE%D1%82%D0%BE/%D0%BA%D0%BE%D1%87%D0%B5%D0%B2%D1%8B%D0%B5-%D0%BC%D0%B5%D0%B4%D1%83%D0%B7%D1%8B-%D1%80%D0%BE%D0%B8-%D0%B8%D0%B7%D1%80%D0%B0%D0%B8%D0%BB%D1%8C%D1%81%D0%BA%D0%B8%D1%85-%D0%B1%D0%B5%D1%80%D0%B5%D0%B3%D0%BE%D0%B2-%D0%BA%D0%B0%D0%B6%D0%B4%D0%BE%D0%B5-%D0%BB%D0%B5%D1%82%D0%BE-%D0%B2-%D0%BA%D0%BE%D0%BD%D0%B5%D1%87%D0%BD%D0%BE%D0%BC-%D0%B8%D1%82%D0%BE%D0%B3%D0%B5-%D0%B7%D0%B0%D1%81%D1%82%D1%80%D1%8F%D1%82%D1%8C-%D0%BD%D0%B0-%D0%B1%D0%B5%D1%80%D0%B5%D0%B3%D1%83-gm802610112-130116391</t>
  </si>
  <si>
    <t>https://media.istockphoto.com/id/802610112/ru/%D1%84%D0%BE%D1%82%D0%BE/%D0%BA%D0%BE%D1%87%D0%B5%D0%B2%D1%8B%D0%B5-%D0%BC%D0%B5%D0%B4%D1%83%D0%B7%D1%8B-%D1%80%D0%BE%D0%B8-%D0%B8%D0%B7%D1%80%D0%B0%D0%B8%D0%BB%D1%8C%D1%81%D0%BA%D0%B8%D1%85-%D0%B1%D0%B5%D1%80%D0%B5%D0%B3%D0%BE%D0%B2-%D0%BA%D0%B0%D0%B6%D0%B4%D0%BE%D0%B5-%D0%BB%D0%B5%D1%82%D0%BE-%D0%B2-%D0%BA%D0%BE%D0%BD%D0%B5%D1%87%D0%BD%D0%BE%D0%BC-%D0%B8%D1%82%D0%BE%D0%B3%D0%B5-%D0%B7%D0%B0%D1%81%D1%82%D1%80%D1%8F%D1%82%D1%8C-%D0%BD%D0%B0-%D0%B1%D0%B5%D1%80%D0%B5%D0%B3%D1%83.jpg?s=1024x1024&amp;w=is&amp;k=20&amp;c=aG43SJFwf3uCzLlFJXSeQPs_ThSf8G1HTkZwnTPL4Zg=</t>
  </si>
  <si>
    <t>Кочевые Медузы Рои Израильских Берегов Каждое Лето В ...</t>
  </si>
  <si>
    <t>https://encrypted-tbn0.gstatic.com/images?q=tbn:ANd9GcR-hNolqFZTvPh1nbdJZ129vq3kmJ4JKpGJeA&amp;usqp=CAU</t>
  </si>
  <si>
    <t>https://www.makorrishon.co.il/nrg/online/1/ART2/883/958.html</t>
  </si>
  <si>
    <t>https://www.makorrishon.co.il/nrg/images/archive/2x1/1/780/863.jpg</t>
  </si>
  <si>
    <t>חדשות - בארץ nrg - ...המדוזה הכחולה שמסעירה את הרשת: אין</t>
  </si>
  <si>
    <t>https://encrypted-tbn0.gstatic.com/images?q=tbn:ANd9GcQms0H6Qu6ccfTRgyGcYEMiiCn11jPtN-lCC5qJeP-DZ9ocni60&amp;s</t>
  </si>
  <si>
    <t>https://www.makorrishon.co.il/nrg/online/1/ART2/249/299.html</t>
  </si>
  <si>
    <t>https://www.makorrishon.co.il/nrg/images/archive/465x349/1/334/977.jpg</t>
  </si>
  <si>
    <t>חדשות - סביבה nrg - המתקפה החלה: המדוזות מגיעות לחופים</t>
  </si>
  <si>
    <t>https://encrypted-tbn0.gstatic.com/images?q=tbn:ANd9GcT1jrj-TC3PID7NsDtFP_mwwYnb8xAimaxyybzdX_cd2IZPEro&amp;s</t>
  </si>
  <si>
    <t>https://www.businessinsider.com/swarms-jellyfish-shutting-down-power-plants-clogging-israel-2017-6</t>
  </si>
  <si>
    <t>https://i.insider.com/5952a878a3630f1a008b5df1?width=1136&amp;format=jpeg</t>
  </si>
  <si>
    <t>Swarms of jellyfish are shutting down power plants around the world</t>
  </si>
  <si>
    <t>https://encrypted-tbn0.gstatic.com/images?q=tbn:ANd9GcSH5NmWc44r_pX9LNebRRwwLFNCcHu51rk5r02ZyPqglFIXzV4&amp;s</t>
  </si>
  <si>
    <t>www.haaretz.com</t>
  </si>
  <si>
    <t>https://www.haaretz.com/israel-news/2017-06-28/ty-article-magazine/in-photos-swarms-of-jellyfish-clog-israeli-power-plant-by-the-ton/0000017f-e802-df5f-a17f-fbde8b590000</t>
  </si>
  <si>
    <t>https://img.haarets.co.il/bs/0000017f-e802-df5f-a17f-fbde8b4f0000/c2/34/02a4b9e9375aba505d9bfc34b3fb/1018316866.jpg?height=700&amp;width=700</t>
  </si>
  <si>
    <t>These Photos of Jellyfish Clogging an Israeli Power Plant ...</t>
  </si>
  <si>
    <t>https://encrypted-tbn0.gstatic.com/images?q=tbn:ANd9GcTCXbyHNo4FvOJ0rPD4pHhcR3ZHZbPkC3UVh6p8jZBdrgrBrG8&amp;s</t>
  </si>
  <si>
    <t>https://www.gettyimages.ie/detail/news-photo/digger-drops-hundreds-of-jellyfish-crated-away-after-being-news-photo/802018786</t>
  </si>
  <si>
    <t>https://media.gettyimages.com/photos/digger-drops-hundreds-of-jellyfish-crated-away-after-being-fished-out-picture-id802018786</t>
  </si>
  <si>
    <t>A digger drops hundreds of jellyfish crated away after being ...</t>
  </si>
  <si>
    <t>https://encrypted-tbn0.gstatic.com/images?q=tbn:ANd9GcQ_Cx9qLNTOJt2ImGKU47Pl5xSB5R8mcrxmjnXfVyRA6SxvUY6O&amp;s</t>
  </si>
  <si>
    <t>24.ae</t>
  </si>
  <si>
    <t>https://24.ae/article/359113/%D9%82%D9%86%D8%A7%D8%AF%D9%8A%D9%84-%D8%A8%D8%AD%D8%B1-%D8%AA%D9%87%D8%AF%D8%AF-%D8%A8%D8%A5%D8%BA%D9%84%D8%A7%D9%82-%D9%85%D8%AD%D8%B7%D8%A9-%D9%83%D9%87%D8%B1%D8%A8%D8%A7%D8%A1-%D9%81%D9%8A-%D8%A5%D8%B3%D8%B1%D8%A7%D8%A6%D9%8A%D9%84</t>
  </si>
  <si>
    <t>https://24.ae/images/Articles/2017627195413931RZ.jpg</t>
  </si>
  <si>
    <t>قناديل بحر تهدد بإغلاق محطة كهرباء في إسرائيل</t>
  </si>
  <si>
    <t>https://encrypted-tbn0.gstatic.com/images?q=tbn:ANd9GcQHdsok89f6nBbSbVOGtuoJZ8iz23iX1bt7UqOiZ7MQA-EBbhk&amp;s</t>
  </si>
  <si>
    <t>https://npaapress.com/ar/post/78730/%D9%82%D9%86%D8%A7%D8%AF%D9%8A%D9%84-%D8%A8%D8%AD%D8%B1-%D8%AA%D9%87%D8%AF%D8%AF-%D8%A8%D8%A5%D8%BA%D9%84%D8%A7%D9%82-%D9%85%D8%AD%D8%B7%D8%A9-%D9%83%D9%87%D8%B1%D8%A8%D8%A7%D8%A1-%D9%81%D9%8A-%D8%A5%D8%B3%D8%B1%D8%A7%D8%A6%D9%8A%D9%84.html</t>
  </si>
  <si>
    <t>https://npaapress.com/ar/uploads/images/750x450/xkglplnyf5bpmxrodcz86ncl9ad5i46r.jpg</t>
  </si>
  <si>
    <t>قناديل بحر تهدد بإغلاق محطة كهرباء في (إسرائيل) | نبأ برس</t>
  </si>
  <si>
    <t>https://encrypted-tbn0.gstatic.com/images?q=tbn:ANd9GcQ7bBk2hDsEWt8xTXogNbSmR1-wGHb4fAAOLQ&amp;usqp=CAU</t>
  </si>
  <si>
    <t>https://www.youtube.com/watch?v=lpwO3BKyOYw</t>
  </si>
  <si>
    <t>https://i.ytimg.com/vi/lpwO3BKyOYw/sddefault.jpg</t>
  </si>
  <si>
    <t>شاهد: قناديل البحر تهاجم محطة لتوليد الكهرباء في اسرائيل - YouTube</t>
  </si>
  <si>
    <t>https://encrypted-tbn0.gstatic.com/images?q=tbn:ANd9GcSgLv4xzcufX2L6MHXo8tRcp7RFHjoDU7ot5A&amp;usqp=CAU</t>
  </si>
  <si>
    <t>ראשון נט</t>
  </si>
  <si>
    <t>https://www.rishonet.com/%D7%97%D7%93%D7%A9%D7%95%D7%AA/45717</t>
  </si>
  <si>
    <t>https://www.rishonet.com/dyncontent/Old/rishonet/dyncontent/t_post/2017/6/28/234161557556885243636.jpg</t>
  </si>
  <si>
    <t>המדוזות כבשו את חופי ראשון לציון -</t>
  </si>
  <si>
    <t>https://encrypted-tbn0.gstatic.com/images?q=tbn:ANd9GcR_0EtJVoxbA8ZTuP--gpR7d3TxaI5G4tyvF2aMZXGeZizkKzmO&amp;s</t>
  </si>
  <si>
    <t>https://mignews.com/news/280617_173428_25470.html</t>
  </si>
  <si>
    <t>https://mignews.com/media/cache/2f/0c/2f0c2a7110634c638b283ff70b1218cf.jpg</t>
  </si>
  <si>
    <t>Медузы угрожают работе одной из электростанций Израиля ...</t>
  </si>
  <si>
    <t>https://encrypted-tbn0.gstatic.com/images?q=tbn:ANd9GcQq10RtG859yeLYzVitB3rCTZABNeQoeipEa9hUBWSA5ePn-VS7&amp;s</t>
  </si>
  <si>
    <t>www.masrawy.com</t>
  </si>
  <si>
    <t>https://www.masrawy.com/news/news_egypt/details/2017/6/28/1111252/%D8%A8%D8%B9%D8%AF-%D8%A7%D9%86%D8%AA%D8%B4%D8%A7%D8%B1%D9%87%D8%A7-%D8%A8%D8%B3%D9%88%D8%A7%D8%AD%D9%84-%D8%A7%D9%84%D9%85%D8%AA%D9%88%D8%B3%D8%B7-%D8%A7%D9%84%D8%A8%D9%8A%D8%A6%D8%A9-%D8%AA%D8%B5%D8%AF%D8%B1-%D8%A8%D9%8A%D8%A7%D9%86-%D8%A7-%D8%A8%D8%B4%D8%A3%D9%86-%D9%82%D9%86%D8%A7%D8%AF%D9%8A%D9%84-%D8%A7%D9%84%D8%A8%D8%AD%D8%B1</t>
  </si>
  <si>
    <t>https://media.gemini.media/img/large/2017/6/28/2017_6_28_1_4_47_702.jpg</t>
  </si>
  <si>
    <t>بعد انتشارها بسواحل المتوسط.. البيئة تصدر بيانًا بشأن قناديل ...</t>
  </si>
  <si>
    <t>https://encrypted-tbn0.gstatic.com/images?q=tbn:ANd9GcTFUdrBtU_eh-3a0Z6DuCVLbmZc06NunmLGkaompVKVEueC8BUe&amp;s</t>
  </si>
  <si>
    <t>www.almasryalyoum.com</t>
  </si>
  <si>
    <t>https://www.almasryalyoum.com/news/details/1156581</t>
  </si>
  <si>
    <t>https://mediaaws.almasryalyoum.com/news/verylarge/2017/06/28/677120_0.jpeg</t>
  </si>
  <si>
    <t>البيئة»: انحسار «القناديل» عن شواطئ بالإسكندرية.. ولجان لمسح ...</t>
  </si>
  <si>
    <t>https://encrypted-tbn0.gstatic.com/images?q=tbn:ANd9GcT1VoLDbR8VFAtj81eqqlp82boBHvp15Hty16u917M4IMSV6CM&amp;s</t>
  </si>
  <si>
    <t>5khtawat.com</t>
  </si>
  <si>
    <t>https://5khtawat.com/%D8%A7%D8%B3%D8%A8%D8%A7%D8%A8-%D8%B8%D9%87%D9%88%D8%B1-%D9%82%D9%86%D8%AF%D9%8A%D9%84-%D8%A7%D9%84%D8%A8%D8%AD%D8%B1-%D9%81%D9%8A-%D8%A7%D9%84%D8%B3%D8%A7%D8%AD%D9%84-%D9%84%D8%B3%D8%B9%D8%A9/</t>
  </si>
  <si>
    <t>http://5khtawat.com/wp-content/uploads/2017/06/kandel-elba7r-2017-5khtawat-com.jpg</t>
  </si>
  <si>
    <t>اسباب ظهور قنديل البحر في الساحل وطرق التعامل مع لسعة ...</t>
  </si>
  <si>
    <t>https://encrypted-tbn0.gstatic.com/images?q=tbn:ANd9GcS1tCAg9ee2hNl2Tq0-ylB34iPjb5EWLMrPzWH44woMzoUNI_IJ&amp;s</t>
  </si>
  <si>
    <t>vespig.wordpress.com</t>
  </si>
  <si>
    <t>https://vespig.wordpress.com/2017/06/29/%D0%BD%D0%B0%D0%BF%D0%BB%D1%8B%D0%B2-%D0%BC%D0%B5%D0%B4%D1%83%D0%B7-%D1%83%D0%B3%D1%80%D0%BE%D0%B6%D0%B0%D0%B5%D1%82-%D1%80%D0%B0%D0%B1%D0%BE%D1%82%D0%B5-%D0%BA%D1%80%D1%83%D0%BF%D0%BD%D0%B5%D0%B9/</t>
  </si>
  <si>
    <t>https://i0.wp.com/newsru.co.il/pict/id/large/928608_20170629082658.jpg</t>
  </si>
  <si>
    <t>Наплыв медуз угрожает работе крупнейшей электростанции ...</t>
  </si>
  <si>
    <t>https://encrypted-tbn0.gstatic.com/images?q=tbn:ANd9GcTQI4OXXgMAXtpJzIzlO7VqDp9JjRmfENAMOX7XTOUCvAfXY-s&amp;s</t>
  </si>
  <si>
    <t>ntdtv.ru</t>
  </si>
  <si>
    <t>https://ntdtv.ru/61275-krupnejshaya-izrailskaya-elektrostantsiya-stradaet-ot-naplyva-meduz</t>
  </si>
  <si>
    <t>http://ntdtv.ru/wp-content/uploads/2017/06/17_06_29_ISRAEL-JELLYFISH.jpg</t>
  </si>
  <si>
    <t>Крупнейшая израильская электростанция страдает от наплыва медуз</t>
  </si>
  <si>
    <t>https://encrypted-tbn0.gstatic.com/images?q=tbn:ANd9GcSYcNpmrSbw_iteqAEn1mnVTZRW9hE8wQOPnSkYyHyiSj_PaLQ&amp;s</t>
  </si>
  <si>
    <t>khbrpress.ps</t>
  </si>
  <si>
    <t>https://khbrpress.ps/post/115023/%D9%88%D8%B5%D9%88%D9%84-%D9%82%D9%86%D8%A7%D8%AF%D9%8A%D9%84-%D8%A7%D9%84%D8%A8%D8%AD%D8%B1-%D8%A7%D9%84%D8%B3%D8%A7%D9%85%D8%A9-%D8%A5%D9%84%D9%89-%D8%B4%D9%88%D8%A7%D8%B7%D8%A6-%D9%81%D9%84%D8%B3%D8%B7%D9%8A%D9%86</t>
  </si>
  <si>
    <t>https://khbrpress.ps/thumb/830x506/uploads/images/8bGEi.jpg</t>
  </si>
  <si>
    <t>وصول قناديل البحر السامة إلى شواطئ فلسطين - وكالة خبر ...</t>
  </si>
  <si>
    <t>https://encrypted-tbn0.gstatic.com/images?q=tbn:ANd9GcRmbVkjIFdRu6AOKGtndJ9eHE4vkwx1e9fz_HIXVkWI56HToMvI&amp;s</t>
  </si>
  <si>
    <t>www.youm7.com</t>
  </si>
  <si>
    <t>https://www.youm7.com/story/2017/6/29/%D8%A8%D8%A7%D9%84%D8%B5%D9%88%D8%B1-%D8%A2%D9%84%D8%A7%D9%81-%D8%A7%D9%84%D9%85%D8%B5%D8%B7%D8%A7%D9%81%D9%8A%D9%86-%D8%B9%D9%84%D9%89-%D8%B4%D8%A7%D8%B7%D8%A6-%D8%A8%D9%88%D8%B1%D8%B3%D8%B9%D9%8A%D8%AF-%D9%81%D9%8A-%D8%AA%D8%AD%D8%AF%D9%89-%D9%84%D8%B8%D9%87%D9%88%D8%B1-%D9%82%D9%86%D8%AF%D9%8A%D9%84/3303858</t>
  </si>
  <si>
    <t>https://img.youm7.com/ArticleImgs/2017/6/29/146457-2-%D8%A7%D9%82%D8%A8%D8%A7%D9%84-%D9%83%D8%AB%D9%8A%D9%81-%D8%B9%D9%84%D9%89-%D8%A7%D9%84%D8%B4%D8%A7%D8%B7%D8%A6-%D9%88%D8%AA%D9%88%D8%A7%D8%AC%D8%AF-%D9%84%D8%A8%D8%A7%D8%A6%D8%B9%D9%8A-%D8%A7%D9%84%D8%A7%D9%84%D8%B9%D8%A7%D8%A8-%D9%88%D8%A7%D9%84%D9%85%D8%B5%D9%88%D8%B1%D9%8A%D9%86.jpg</t>
  </si>
  <si>
    <t>بالصور.. آلاف المصطافين على شاطئ بورسعيد في تحدى لظهور قنديل ...</t>
  </si>
  <si>
    <t>https://encrypted-tbn0.gstatic.com/images?q=tbn:ANd9GcQrfVbRDQaEaHu_4HnEDG3-4SHY4g1vSG5zGAiUNv-d2Lo_TYZJ&amp;s</t>
  </si>
  <si>
    <t>https://ramallah.news/post/84179/%D8%A7%D9%84%D9%82%D9%86%D8%A7%D8%AF%D9%8A%D9%84-%D8%A7%D9%84%D8%B3%D8%A7%D9%85%D8%A9-%D8%AA%D8%AC%D8%AA%D8%A7%D8%AD-%D8%B4%D9%88%D8%A7%D8%B7%D8%A6-%D9%81%D9%84%D8%B3%D8%B7%D9%8A%D9%86</t>
  </si>
  <si>
    <t>https://ramallah.news/thumb/1200x630/uploads//images/b6541ed78c29f6533b66a0cb0e7b3df5.jpg</t>
  </si>
  <si>
    <t>القناديل السامة تجتاح شواطئ فلسطين | رام الله</t>
  </si>
  <si>
    <t>https://serpapi.com/searches/63d011560b5062e5ae5bfdcb/images/aab8c0efcf0389bc860eb9c771ee02892fb2c026e5c19869361a0d80aa82a0c9.jpeg</t>
  </si>
  <si>
    <t>موقع هنا</t>
  </si>
  <si>
    <t>https://www.hona.co.il/article/21568</t>
  </si>
  <si>
    <t>https://www.hona.co.il/static/pic/2017/6/29/hona-2017642983258.jpg</t>
  </si>
  <si>
    <t>موقع هنا | العطلة الصيفية ... احذروا قناديل البحر :الميدوزا : تجتاح شواطئ إسرائيل بالملايين</t>
  </si>
  <si>
    <t>https://encrypted-tbn0.gstatic.com/images?q=tbn:ANd9GcSAZX7wBSBoh59m6-yQEK2hN7Jg4YaV_6gDhfcYZHG0eAfcemM&amp;s</t>
  </si>
  <si>
    <t>www.al-ayyam.ps</t>
  </si>
  <si>
    <t>https://www.al-ayyam.ps/ar_page.php?id=1223b6ddy304330461Y1223b6dd</t>
  </si>
  <si>
    <t>http://www.al-ayyam.ps/files/image/thumb/20170107111427.jpg</t>
  </si>
  <si>
    <t>قناديل البحر تفسد متعة السباحة في بحر غزة</t>
  </si>
  <si>
    <t>https://encrypted-tbn0.gstatic.com/images?q=tbn:ANd9GcQYtogMnl8MC3ThmduuDJ2X4HzT1mhS-F-qsGxR0Yl1Bc07_Jnk&amp;s</t>
  </si>
  <si>
    <t>https://www.masrawy.com/news/News_Reports/details/2017/7/1/1112901/%D8%A8%D8%A7%D9%84%D8%B5%D9%88%D8%B1-%D9%83%D9%8A%D9%81-%D8%AA%D8%AA%D8%B9%D8%A7%D9%85%D9%84-%D9%81%D8%B1%D9%82-%D8%A7%D9%84%D8%A5%D9%86%D9%82%D8%A7%D8%B0-%D9%88%D8%A7%D9%84%D8%A5%D8%B3%D8%B9%D8%A7%D9%81-%D9%85%D8%B9-%D9%84%D8%B3%D8%B9%D8%A7%D8%AA-%D9%82%D9%86%D8%A7%D8%AF%D9%8A%D9%84-%D8%A7%D9%84%D8%A8%D8%AD%D8%B1-</t>
  </si>
  <si>
    <t>https://media.gemini.media/img/Medium/2017/7/1/2017_7_1_15_30_54_310.jpg</t>
  </si>
  <si>
    <t>بالصور - كيف تتعامل فرقُ الإنقاذ والإسعاف مع لسعات قناديل ال ...</t>
  </si>
  <si>
    <t>https://encrypted-tbn0.gstatic.com/images?q=tbn:ANd9GcQLqaWBrfgIuM7EIr0VRzNX3p89uc_lcrDgLf4bfrYwfn6j2MI&amp;s</t>
  </si>
  <si>
    <t>aljarmaq.net</t>
  </si>
  <si>
    <t>https://aljarmaq.net/public/post/3446/%D8%A5%D8%B3%D8%B1%D8%A7%D8%A6%D9%8A%D9%84-%D9%88%D8%A3%D8%B9%D8%AF%D8%A7%D8%A1-%D8%A2%D8%AE%D8%B1%D9%88%D9%86-%D9%8A%D9%84%D8%A7%D8%AD%D9%82%D9%88%D9%86-%D8%A7%D9%84%D8%B5%D9%8A%D8%A7%D8%AF%D9%8A%D9%86-%D9%81%D9%8A-%D8%B9%D9%83%D8%A7</t>
  </si>
  <si>
    <t>https://aljarmaq.net/public/uploads/2021/7/news/3446/thumbnail/largeWhatsApp-Image-2021-07-01-at-5.08.51-PM.jpeg</t>
  </si>
  <si>
    <t>الجرمق شبكة إخبارية فلسطينية مختصة في متابعة الأحداث في ...</t>
  </si>
  <si>
    <t>https://encrypted-tbn0.gstatic.com/images?q=tbn:ANd9GcSKj4Ky1UVrca5ocscl_6EkvYL0SlCDWduygEYAuAtQr5Jm16z5&amp;s</t>
  </si>
  <si>
    <t>www.nawa.ps</t>
  </si>
  <si>
    <t>https://www.nawa.ps/ar/post/36901</t>
  </si>
  <si>
    <t>https://www.nawa.ps/resize?photo=upload/ar/images/40_1498857841_7847.jpg&amp;mode=2&amp;rc=0&amp;w=800&amp;h=450</t>
  </si>
  <si>
    <t>قناديل البحر تنافس الغزيّين في غزو البحر - شبكة نوى، فلسطينيات</t>
  </si>
  <si>
    <t>المركز الفلسطيني للإعلام</t>
  </si>
  <si>
    <t>https://www.palinfo.com/203958</t>
  </si>
  <si>
    <t>https://encrypted-tbn0.gstatic.com/images?q=tbn:ANd9GcT1eLbip2tb0DFB7zBi233Wks-c4b0zu9iftA&amp;usqp=CAU</t>
  </si>
  <si>
    <t>https://www.palinfo.com/204172</t>
  </si>
  <si>
    <t>https://www.palinfo.com/Uploads/Models/Media/Images/2017/7/2/2041962622.jpg</t>
  </si>
  <si>
    <t>قناديل البحر .. انتشار يزعج روّاد بحر غزة</t>
  </si>
  <si>
    <t>https://serpapi.com/searches/637b357437014cf32db57f90/images/62f790fc1e1a37c116259e4339b096ac101caf933580d5df1ef59f825da3d8aa.jpeg</t>
  </si>
  <si>
    <t>השקמה ראשון לציון</t>
  </si>
  <si>
    <t>https://www.hashikma-rishon.co.il/news/2759</t>
  </si>
  <si>
    <t>https://www.hashikma-rishon.co.il/wp-content/uploads/2017/08/-%D7%94%D7%9B%D7%95%D7%9B%D7%91%D7%A0%D7%99%D7%AA-e1501751259959.jpg</t>
  </si>
  <si>
    <t>המדוזות הסתערו גם על חופי ראשון לציון - השקמה ראשון לציון</t>
  </si>
  <si>
    <t>https://encrypted-tbn0.gstatic.com/images?q=tbn:ANd9GcQdl94E9RbP_7cJnz89FvWk4O0mFBnoXtE5VKBNfYxh6QKRWZxX&amp;s</t>
  </si>
  <si>
    <t>https://ashdodnet.com/mobile/%D7%97%D7%93%D7%A9%D7%95%D7%AA-%D7%90%D7%A9%D7%93%D7%95%D7%93/%D7%9E%D7%93%D7%95%D7%96%D7%95%D7%AA-%D7%A8%D7%90%D7%A9%D7%95%D7%A0%D7%95%D7%AA-%D7%9C%D7%A2%D7%95%D7%A0%D7%94-%D7%A0%D7%A6%D7%A4%D7%95-%D7%91%D7%97%D7%95%D7%A4%D7%99-%D7%94%D7%93%D7%A8%D7%95%D7%9D-387491</t>
  </si>
  <si>
    <t>https://ashdodnet.com/dyncontent/2017/7/5/52c8ceec-53ec-4cc3-9c98-3edc3418a52b.jpg</t>
  </si>
  <si>
    <t>מדוזות ראשונות לעונה נצפו בחופי הדרום - אשדוד נט</t>
  </si>
  <si>
    <t>https://serpapi.com/searches/637a2349f716eef683f2941a/images/6d27cb32fe6911be822e44a55e31820dff9e7305401c622b96d379af6771acf3.jpeg</t>
  </si>
  <si>
    <t>https://ashdodnet.com/%D7%97%D7%93%D7%A9%D7%95%D7%AA-%D7%90%D7%A9%D7%93%D7%95%D7%93/189937</t>
  </si>
  <si>
    <t>https://ashdodnet.com/dyncontent/2017/7/5/dbd5b7d4-8801-418d-a167-a556044702e9.jpg</t>
  </si>
  <si>
    <t>צפו: אחרי מדוזות הענק בחופי אשדוד - מיני מדוזות בביקור בחופי העיר - אשדוד נט</t>
  </si>
  <si>
    <t>284</t>
  </si>
  <si>
    <t>https://encrypted-tbn0.gstatic.com/images?q=tbn:ANd9GcQoLo10VIP1b51VPtHfWV5PiWMLPQuJokNQMmrLeptxmvOo9nWK&amp;s</t>
  </si>
  <si>
    <t>www.keshersavta.co.il</t>
  </si>
  <si>
    <t>http://www.keshersavta.co.il/?attachment_id=16730</t>
  </si>
  <si>
    <t>http://www.keshersavta.co.il/wp-content/uploads/2017/07/-%D7%97%D7%95%D7%98%D7%99%D7%AA-%D7%A0%D7%95%D7%93%D7%93%D7%AA-e1499427246641.jpg</t>
  </si>
  <si>
    <t>להקת מדוזות - קשר סבתא</t>
  </si>
  <si>
    <t>دنيا الوطن</t>
  </si>
  <si>
    <t>https://www.alwatanvoice.com/arabic/news/2017/07/08/1065459.html</t>
  </si>
  <si>
    <t>https://encrypted-tbn0.gstatic.com/images?q=tbn:ANd9GcRNMlAlbafEIgEyaQBtpiNrjtOjiwGIuAzM2rz8hFHlGMN09-Er&amp;s</t>
  </si>
  <si>
    <t>shehabnews.com</t>
  </si>
  <si>
    <t>https://shehabnews.com/p/15788</t>
  </si>
  <si>
    <t>https://shehabnews.com/uploads/images/c675b8c6e8dadd7ebb5a0dcec7b70423.jpg</t>
  </si>
  <si>
    <t>بالصور قناديل البحر تهاجم محطة لتوليد الكهرباء في اسرائيل ...</t>
  </si>
  <si>
    <t>https://encrypted-tbn0.gstatic.com/images?q=tbn:ANd9GcQVinhmkidrkiwHiHzEZSTHjOESXJqXewQmFoQHIGMXTkVjd4VL&amp;s</t>
  </si>
  <si>
    <t>kanal24.az</t>
  </si>
  <si>
    <t>https://kanal24.az/?l=ru&amp;m=xeber&amp;id=51017</t>
  </si>
  <si>
    <t>https://kanal24.az/photo.php?w=1000&amp;h=0&amp;zc=2&amp;src=/upload//2017-07-10/8815510_z.jpg</t>
  </si>
  <si>
    <t>Институт моря: обжигающие медузы уходят от берегов Израиля ...</t>
  </si>
  <si>
    <t>https://encrypted-tbn0.gstatic.com/images?q=tbn:ANd9GcTI2suhvYFA94ET37WWMAOd7P2hNVUvNu3luoU40r1D6QXPl6k&amp;s</t>
  </si>
  <si>
    <t>ashdodhayom.co.il</t>
  </si>
  <si>
    <t>https://ashdodhayom.co.il/tag/%D7%9E%D7%93%D7%95%D7%96%D7%95%D7%AA/</t>
  </si>
  <si>
    <t>https://ashdodhayom.co.il/wp-content/uploads/2017/07/%D7%9E%D7%93%D7%95%D7%96%D7%94-%D7%9C%D7%9C%D7%90-%D7%96%D7%9B%D7%95%D7%99%D7%95%D7%AA-%D7%99%D7%95%D7%A6%D7%A8%D7%99%D7%9D-310x165.jpg</t>
  </si>
  <si>
    <t>מדוזות Archives - אשדוד היום</t>
  </si>
  <si>
    <t>https://encrypted-tbn0.gstatic.com/images?q=tbn:ANd9GcTFJJQR9TRxQx1dVR4FKJloMuMjAk2CONrdpw&amp;usqp=CAU</t>
  </si>
  <si>
    <t>https://ashdodonline.co.il/wp-content/uploads/2017/07/IMG_5585.jpg</t>
  </si>
  <si>
    <t>https://encrypted-tbn0.gstatic.com/images?q=tbn:ANd9GcQm_NO3P_a-U6rx65BOFb0FM63c50YQJYnZcA&amp;usqp=CAU</t>
  </si>
  <si>
    <t>אשקלון נט</t>
  </si>
  <si>
    <t>https://www.ashqelon.net/%D7%9E%D7%92%D7%96%D7%99%D7%9F-%D7%90%D7%A9%D7%A7%D7%9C%D7%95%D7%9F-%D7%A0%D7%98/5929</t>
  </si>
  <si>
    <t>https://ashqelon.net/dyncontent/Old/ashqelon/t_post/2017/7/13/880120061043325553636.jpg</t>
  </si>
  <si>
    <t>הכר את האויב-המדוזות של חופי ישראל - אשקלון נט</t>
  </si>
  <si>
    <t>https://serpapi.com/searches/637a446e8ccee01a43a050f8/images/a694e05bbaa764f09b8d5f2543be562c5dba53c006b7b33a5044ab31028ff4ce.jpeg</t>
  </si>
  <si>
    <t>TLV.AM</t>
  </si>
  <si>
    <t>https://tlv.am/article/1305</t>
  </si>
  <si>
    <t>https://storage.appwrite.io/preview/180?X-Appwrite-Appid=10&amp;token=98da7a52cadb02cb1f73935d6688624b460b81baf949fe354ddca006d8260fdf2c9494c0931cf24d58a8242de8f3e0419faa5a9fd1e2d5f719935efe1eaa03c8&amp;width=485&amp;height=273&amp;quality=80&amp;output=webp</t>
  </si>
  <si>
    <t>המדוזות עזבו את חופי תל אביב - TLV.AM</t>
  </si>
  <si>
    <t>https://serpapi.com/searches/637a2349f716eef683f2941a/images/6d27cb32fe6911be822e44a55e31820d3d5d08c828533390655568ec65c57aa7.jpeg</t>
  </si>
  <si>
    <t>https://www.youtube.com/watch?v=xz4YQsbx5YU</t>
  </si>
  <si>
    <t>https://i.ytimg.com/vi/xz4YQsbx5YU/maxresdefault.jpg</t>
  </si>
  <si>
    <t>חוף לידו אשדוד - ים של מדוזות 27.6.17 - YouTube</t>
  </si>
  <si>
    <t>https://encrypted-tbn0.gstatic.com/images?q=tbn:ANd9GcTbPBLHOqPfQoSYBQZELozntWqSh-jJSUBVdYRDfSqxvAu9hkux&amp;s</t>
  </si>
  <si>
    <t>https://www.gettyimages.ie/detail/news-photo/digger-drops-hundreds-of-jellyfish-crated-away-after-being-news-photo/802018478</t>
  </si>
  <si>
    <t>https://media.gettyimages.com/photos/digger-drops-hundreds-of-jellyfish-crated-away-after-being-fished-out-picture-id802018478?s=2048x2048</t>
  </si>
  <si>
    <t>https://encrypted-tbn0.gstatic.com/images?q=tbn:ANd9GcR6fACJY2uMUq4YiV0QuOEWAt3uD3Q72Pmzp9yl9zjD1FkaJGU&amp;s</t>
  </si>
  <si>
    <t>www.talmermaid.com</t>
  </si>
  <si>
    <t>https://www.talmermaid.com/post/%D7%9E%D7%93%D7%95%D7%96%D7%94-%D7%A2%D7%A0%D7%A7%D7%99%D7%AA</t>
  </si>
  <si>
    <t>bat galim</t>
  </si>
  <si>
    <t>https://static.wixstatic.com/media/d80a0d_8a36d0c885604eb5bf39ff197181fb5c~mv2_d_2592_1944_s_2.jpg/v1/fill/w_640h_480al_cq_80usm_0.66_1.00_0.01enc_auto/d80a0d_8a36d0c885604eb5bf39ff197181fb5c~mv2_d_2592_1944_s_2.jpg</t>
  </si>
  <si>
    <t>מדוזה ענקית</t>
  </si>
  <si>
    <t>https://encrypted-tbn0.gstatic.com/images?q=tbn:ANd9GcToxwvM9q5AOvHQe-XNS0Vd2T1bepBfxy39ow&amp;usqp=CAU</t>
  </si>
  <si>
    <t>מיינט נתניה</t>
  </si>
  <si>
    <t>https://netanya.mynet.co.il/local_news/article/m_267013</t>
  </si>
  <si>
    <t>https://netanya.mynet.co.il/picserver/mynet/wcm_upload/wcm_mynet_pic/2018/03/05/358666/358666.png</t>
  </si>
  <si>
    <t>מוקדם מהרגיל: מדוזות עצומות בגודלן הגיעו לחוף ארגמן בנתניה</t>
  </si>
  <si>
    <t>https://encrypted-tbn0.gstatic.com/images?q=tbn:ANd9GcTcQO3Gdt-IHeBs8-rpJ3hMO000nHpolEBg_aEoEEvw4otZT89o&amp;s</t>
  </si>
  <si>
    <t>netanya.mynet.co.il</t>
  </si>
  <si>
    <t>https://www.ynetespanol.com/picserver/mynet/wcm_upload/wcm_mynet_pic/crop_images/2018/03/05/358667/58216_0_0_694_762_large.jpg</t>
  </si>
  <si>
    <t>https://encrypted-tbn0.gstatic.com/images?q=tbn:ANd9GcTb8tPeLmZ3bsFtkAE8kBrE_FhC-a9xTTlt-ge5UxdoeRfn5EQ&amp;s</t>
  </si>
  <si>
    <t>traveling-with-eran.com</t>
  </si>
  <si>
    <t>https://traveling-with-eran.com/the-jellyfish-trail/</t>
  </si>
  <si>
    <t>https://traveling-with-eran.com/wp-content/uploads/2018/03/%D7%9E%D7%93%D7%95%D7%96%D7%95%D7%AA-10-678x381.jpg</t>
  </si>
  <si>
    <t>ברחבי חופי ישראל - קהילת הטיולים טיול בשביל המדוזות..</t>
  </si>
  <si>
    <t>https://encrypted-tbn0.gstatic.com/images?q=tbn:ANd9GcQqHG4Dh2Esf973gdQR7JGl2ITWjPtbQIvXMg&amp;usqp=CAU</t>
  </si>
  <si>
    <t>https://www.mako.co.il/hix-nature/environment/Article-9655ec3c9e09261006.htm</t>
  </si>
  <si>
    <t>https://img.mako.co.il/2018/04/04/iyfyfif_c.jpg</t>
  </si>
  <si>
    <t>המכה ה-11: מכת מדוזות הגיעה לישראל מוקדם מהצפוי</t>
  </si>
  <si>
    <t>https://serpapi.com/searches/63d00e61ea14429543229cd5/images/f752daf8bb5f9e58613f5a01ee1ab4e2869e60bd2a5489ab477c0fc9c09abb03.jpeg</t>
  </si>
  <si>
    <t>https://www.vesty.co.il/articles/0,7340,L-5221287,00.html</t>
  </si>
  <si>
    <t>https://images1.ynet.co.il/PicServer5/2017/07/10/7898134/002.jpg</t>
  </si>
  <si>
    <t>Медузы приплыли к берегам Израиля необычно рано: что следует знать</t>
  </si>
  <si>
    <t>https://encrypted-tbn0.gstatic.com/images?q=tbn:ANd9GcTN4zss1tkpsvIVWg0kCWD_zV-47Ym5cluAmcDH65UMzvfU34Cl&amp;s</t>
  </si>
  <si>
    <t>dzen.ru</t>
  </si>
  <si>
    <t>https://dzen.ru/media/gorskie/meduzy-priplyli-k-beregam-izrailia-na-dva-mesiaca-ranshe-sroka-5ac725de482677727505d18c</t>
  </si>
  <si>
    <t>achziv-askelon</t>
  </si>
  <si>
    <t>https://avatars.dzeninfra.ru/get-zen_doc/170671/pub_5ac725de482677727505d18c_5ac726004bf1612c3ddf92fd/scale_1200</t>
  </si>
  <si>
    <t>Медузы приплыли к берегам Израиля на два месяца раньше срока ...</t>
  </si>
  <si>
    <t>https://encrypted-tbn0.gstatic.com/images?q=tbn:ANd9GcSu7zzIr8wCgXkU66VR2ZMvLnzYc5BxpKC8mMFdEeHO8PpZaVYe&amp;s</t>
  </si>
  <si>
    <t>www.jacos.net</t>
  </si>
  <si>
    <t>http://www.jacos.net/ru/novosti/nezhdanno-negadanno-u-beregov-izrailya-poyavilis-meduzi-447007</t>
  </si>
  <si>
    <t>http://www.sem40.ru/uploads/posts/2018-04/thumbs/1523009053_67e210ddcb871f976b2510fcee12c813.jpg</t>
  </si>
  <si>
    <t>Нежданно-негаданно: у берегов Израиля появились медузы</t>
  </si>
  <si>
    <t>https://encrypted-tbn0.gstatic.com/images?q=tbn:ANd9GcS7EMmjp_xBuHwvS0-5csW1AQ9SWmf90aET5A&amp;usqp=CAU</t>
  </si>
  <si>
    <t>אתר אשקלונים</t>
  </si>
  <si>
    <t>https://ashkelonim.co.il/%D7%97%D7%93%D7%A9%D7%95%D7%AA/3802</t>
  </si>
  <si>
    <t>https://ashkelonim.co.il/dyncontent/Old/ashqelonim/pic/1528538676.5510.jpg</t>
  </si>
  <si>
    <t>המדוזות הגיעו לאשקלון: - אתר אשקלונים - אשקלון</t>
  </si>
  <si>
    <t>https://encrypted-tbn0.gstatic.com/images?q=tbn:ANd9GcTA1-YO1DSmGZBlkba2t6Xnj8hVf_3mVBhUgQ&amp;usqp=CAU</t>
  </si>
  <si>
    <t>Weather2day</t>
  </si>
  <si>
    <t>https://www.weather2day.co.il/forum?p=188823</t>
  </si>
  <si>
    <t>https://www.weather2day.co.il/pics/users/a89e793ac57d717a1fe683ab6af083de/4d2f632418ca06ebe9972c51c7a03826.png</t>
  </si>
  <si>
    <t>עדכון מדוזות: המדוזות ממשיכות במצור על חופי ישראל. זהירות. - Weather2day</t>
  </si>
  <si>
    <t>https://encrypted-tbn0.gstatic.com/images?q=tbn:ANd9GcQqgk2vSgnbB2Du2sEx3YrO0L_qeaKxWKZq--XejUdrtTLA4Iw&amp;s</t>
  </si>
  <si>
    <t>https://www.newsru.co.il/israel/11jun2018/meduzot_115.html</t>
  </si>
  <si>
    <t>https://images.newsru.co.il/m/107/27/1072715.jpg</t>
  </si>
  <si>
    <t>На Средиземноморском побережье Израиля начинается сезон ...</t>
  </si>
  <si>
    <t>https://encrypted-tbn0.gstatic.com/images?q=tbn:ANd9GcRTOzb-JCAYl8yMnxvGjXA32xLOqztT4dNOOceDpJbcsXiqctg&amp;s</t>
  </si>
  <si>
    <t>ashdodonline.co.il</t>
  </si>
  <si>
    <t>https://ashdodonline.co.il/74295/%D7%94%D7%9E%D7%93%D7%95%D7%96%D7%95%D7%AA-%D7%94%D7%A6%D7%95%D7%A8%D7%91%D7%95%D7%AA-%D7%9B%D7%91%D7%A8-%D7%9B%D7%90%D7%9F/</t>
  </si>
  <si>
    <t>https://ashdodonline.co.il/wp-content/uploads/2017/06/yam008.jpg</t>
  </si>
  <si>
    <t>בשורה רעה: נחיל מדוזות צורבות בדרך לחופי אשדוד - אשדוד אונליין</t>
  </si>
  <si>
    <t>https://encrypted-tbn0.gstatic.com/images?q=tbn:ANd9GcQCYFQocg9NZxV4wHDTaqBIm4lCVkYQzTqk1w&amp;usqp=CAU</t>
  </si>
  <si>
    <t>https://www.weather2day.co.il/forum?p=190010</t>
  </si>
  <si>
    <t>https://www.weather2day.co.il/pics/users/a89e793ac57d717a1fe683ab6af083de/d099f29fbd64c76f696d75e1d913b7d9.png</t>
  </si>
  <si>
    <t>לכל מי שמתכנן לרחוץ היום בים:זוהי מפת המדוזות להיום: - Weather2day</t>
  </si>
  <si>
    <t>https://encrypted-tbn0.gstatic.com/images?q=tbn:ANd9GcRGx0XJGh2UmAOSk0laSgwRrdbaZB0GbrdKBDa5BCORQIcTVrZm&amp;s</t>
  </si>
  <si>
    <t>www.weather2day.co.il</t>
  </si>
  <si>
    <t>https://www.weather2day.co.il/forum?p=190011</t>
  </si>
  <si>
    <t>https://www.weather2day.co.il/pics/users/a89e793ac57d717a1fe683ab6af083de/78abcf4d356d2a614b1121b85890909a.png</t>
  </si>
  <si>
    <t>ואלה הם רוב הדיווחים ששלחו היום אנשים לאתר: - Weather2day</t>
  </si>
  <si>
    <t>https://serpapi.com/searches/63d00e61ea14429543229cd5/images/f752daf8bb5f9e586939d4a14c46fd39299e5a81a676f88873336faac3716657.jpeg</t>
  </si>
  <si>
    <t>https://www.vesty.co.il/articles/0,7340,L-5289370,00.html</t>
  </si>
  <si>
    <t>ashkelon-achziv</t>
  </si>
  <si>
    <t>https://images1.ynet.co.il/PicServer5/2017/07/10/7898136/004.jpg</t>
  </si>
  <si>
    <t>У берегов Израиля появились медузы - необычно крупные и агрессивные</t>
  </si>
  <si>
    <t>https://encrypted-tbn0.gstatic.com/images?q=tbn:ANd9GcSElEC4ODrMrCYy-82uGPA5y1dsb24Z2MrHHf4H6VEbPNVpH2Nv&amp;s</t>
  </si>
  <si>
    <t>www.haaretz.co.il</t>
  </si>
  <si>
    <t>https://www.haaretz.co.il/science/2018-06-20/ty-article/.premium/0000017f-e3ae-df7c-a5ff-e3fe4b6b0000</t>
  </si>
  <si>
    <t>dor</t>
  </si>
  <si>
    <t>https://img.haarets.co.il/bs/0000017f-e3ae-df7c-a5ff-e3fe437a0000/2b/87/ba6522b2e6643acbd29b916b665e/3681160351.jpg?precrop=13341333x569y0</t>
  </si>
  <si>
    <t>ילדה מאושפזת זה כשבוע עם כוויות חמורות מצריבת מדוזה - מדע - הארץ</t>
  </si>
  <si>
    <t>586</t>
  </si>
  <si>
    <t>https://encrypted-tbn0.gstatic.com/images?q=tbn:ANd9GcTRBFiVKVV4Ndq6lGnKL5FmhIgNwhzzn1oRwxlcJljVqT8xOYaw&amp;s</t>
  </si>
  <si>
    <t>olamon.org.il</t>
  </si>
  <si>
    <t>https://olamon.org.il/2018/07/04/%D7%9E%D7%93%D7%95%D7%96%D7%95%D7%AA/</t>
  </si>
  <si>
    <t>https://olamon.org.il/wp-content/uploads/2018/07/%D7%9E%D7%93%D7%95%D7%96%D7%95%D7%AA-2018.jpg</t>
  </si>
  <si>
    <t>מדוזות – עולמון</t>
  </si>
  <si>
    <t>197</t>
  </si>
  <si>
    <t>https://encrypted-tbn0.gstatic.com/images?q=tbn:ANd9GcRbOw5J8PuEWy3Pdt9jXhdvOgmQRxf2b8jCBPDhozzXFb91Keg&amp;s</t>
  </si>
  <si>
    <t>www.poenta.co.il</t>
  </si>
  <si>
    <t>https://www.poenta.co.il/article/meduza/</t>
  </si>
  <si>
    <t>https://www.poenta.co.il/wp-content/uploads/2018/06/%D7%9E%D7%93%D7%95%D7%96%D7%95%D7%AA-%D7%A6%D7%99%D7%9C%D7%95%D7%9D-%D7%9C%D7%94%D7%91-%D7%9B%D7%A4%D7%99%D7%A8.jpeg</t>
  </si>
  <si>
    <t>איך מטפלים בצריבת מדוזה? המלצות משרד הבריאות: לשפוך מיץ ...</t>
  </si>
  <si>
    <t>245</t>
  </si>
  <si>
    <t>https://encrypted-tbn0.gstatic.com/images?q=tbn:ANd9GcTym8ZEhdpR0HI3ilx9hRWMTOQPpoRNGdzDnJGOX6qk0_oWgFk&amp;s</t>
  </si>
  <si>
    <t>harishnet.co.il</t>
  </si>
  <si>
    <t>https://harishnet.co.il/2018/06/27/%D7%9E%D7%93%D7%95%D7%96%D7%95%D7%AA-%D7%98%D7%99%D7%A4%D7%99%D7%9D-%D7%A9%D7%9C-%D7%9E%D7%A9%D7%A8%D7%93-%D7%94%D7%91%D7%A8%D7%99%D7%90%D7%95%D7%AA-%D7%9C%D7%A0%D7%A6%D7%A8%D7%91%D7%99%D7%9D-%D7%9E/</t>
  </si>
  <si>
    <t>https://harishnet.co.il/wp-content/uploads/2018/06/A-JellyfishInTheSea_1024x660k-n_27-06-18_01.jpg</t>
  </si>
  <si>
    <t>מדוזות - טיפים של משרד הבריאות לנצרבים ממְדוּזָה - חריש נט</t>
  </si>
  <si>
    <t>52</t>
  </si>
  <si>
    <t>https://encrypted-tbn0.gstatic.com/images?q=tbn:ANd9GcROJuiVlZ3cfmPAdvAdozdLPmPKHTXQKTbcvw&amp;usqp=CAU</t>
  </si>
  <si>
    <t>כאן נעים | kan-naim</t>
  </si>
  <si>
    <t>https://kanisrael.co.il/%D7%9E%D7%93%D7%95%D7%96%D7%95%D7%AA-%D7%98%D7%99%D7%A4%D7%99%D7%9D-%D7%A9%D7%9C-%D7%9E%D7%A9%D7%A8%D7%93-%D7%94%D7%91%D7%A8%D7%99%D7%90%D7%95%D7%AA-%D7%9C%D7%A0%D7%A6%D7%A8%D7%91%D7%99%D7%9D-%D7%9E/</t>
  </si>
  <si>
    <t>https://kanisrael.co.il/wp-content/uploads/2018/06/MedusaOnTheBeach_1024x660k-n_27-06-18_01.jpg</t>
  </si>
  <si>
    <t>מדוזות – טיפים של משרד הבריאות לנצרבים ממְדוּזָה – כאן ישראל | kanisrael |  כאן נעים | kan-naim</t>
  </si>
  <si>
    <t>https://encrypted-tbn0.gstatic.com/images?q=tbn:ANd9GcTxlAOLvIO90rlL6TONh9qS-deVf4q9nzkzPQ&amp;usqp=CAU</t>
  </si>
  <si>
    <t>נמל יפו</t>
  </si>
  <si>
    <t>https://www.namalyafo.co.il/news/%D7%9E%D7%93%D7%95%D7%96%D7%94-%D7%9E%D7%A6%D7%95%D7%99%D7%94/</t>
  </si>
  <si>
    <t>yaffo</t>
  </si>
  <si>
    <t>https://www.namalyafo.co.il/wp-content/uploads/2018/07/4-1.jpg</t>
  </si>
  <si>
    <t>דגים להכיר! בלוג הדגים של נמל יפו בספיישל מדוזות: מדוזה מצויה</t>
  </si>
  <si>
    <t>247</t>
  </si>
  <si>
    <t>https://encrypted-tbn0.gstatic.com/images?q=tbn:ANd9GcR_azKlkeTjbJ-ceLoZAvEI9KKAxaP7j4zqx8k-mKrJI3Mvka4&amp;s</t>
  </si>
  <si>
    <t>www.ganyavne.net</t>
  </si>
  <si>
    <t>https://www.ganyavne.net/%D7%9C%D7%99%D7%99%D7%A3-%D7%A1%D7%98%D7%99%D7%99%D7%9C/304228</t>
  </si>
  <si>
    <t>https://ganyavne.net/dyncontent/2018/7/8/a15ea94d-e287-4ff1-a1f6-4b1aa5b9dacc.jpg</t>
  </si>
  <si>
    <t>כך תטפלו בצריבת מדוזה - גן יבנה נט</t>
  </si>
  <si>
    <t>328</t>
  </si>
  <si>
    <t>https://encrypted-tbn0.gstatic.com/images?q=tbn:ANd9GcQyPmjcNkITsBUnQANn1kF7c9hHKDJqAmzPB01xkotZWVc9jKi9&amp;s</t>
  </si>
  <si>
    <t>shop.super-pharm.co.il</t>
  </si>
  <si>
    <t>https://shop.super-pharm.co.il/articles/article_jellyfish</t>
  </si>
  <si>
    <t>https://superpharmstorage.blob.core.windows.net/hybris/articles/Article_Jellyfish_18.7.18/2.jpg</t>
  </si>
  <si>
    <t>דעו את האויבת – המדוזה | סופר-פארם</t>
  </si>
  <si>
    <t>https://encrypted-tbn0.gstatic.com/images?q=tbn:ANd9GcT3mY7lqm_-F8kqtg-p9VeA8qRaY1NqpsgveYPfpoDQ7Zg5vOU&amp;s</t>
  </si>
  <si>
    <t>patentlyjewish.com</t>
  </si>
  <si>
    <t>https://patentlyjewish.com/israel-separate-beaches/</t>
  </si>
  <si>
    <t>https://i0.wp.com/patentlyjewish.com/wp-content/uploads/2018/08/IMG_20170625_114221.jpg</t>
  </si>
  <si>
    <t>Israel Separate Beaches – Patently Jewish</t>
  </si>
  <si>
    <t>https://encrypted-tbn0.gstatic.com/images?q=tbn:ANd9GcSqYWy3A5Ut3Wm7jpw4PbUIVfhO-2U4l6-pKcSkT7Bam1Vsv7Q&amp;s</t>
  </si>
  <si>
    <t>https://www.vesty.co.il/articles/0,7340,L-5334336,00.html</t>
  </si>
  <si>
    <t>ashdod, ashkelon, zikim</t>
  </si>
  <si>
    <t>https://images1.ynet.co.il/PicServer4/2016/06/21/7083269/708326101003492980761no.jpg</t>
  </si>
  <si>
    <t>К пляжам на юге Израиля приближаются медузы</t>
  </si>
  <si>
    <t>https://encrypted-tbn0.gstatic.com/images?q=tbn:ANd9GcTPXVIDNt-jW4SnDlAB4Ulg1wr4ur1KlRfZvoNPdyDxDugcZv7X&amp;s</t>
  </si>
  <si>
    <t>www.hashmalnet.co.il</t>
  </si>
  <si>
    <t>https://www.hashmalnet.co.il/%D7%91%D7%A9%D7%A7%D7%98-%D7%91%D7%A9%D7%A7%D7%98-%D7%9B%D7%9E%D7%A2%D7%98-%D7%91%D7%9C%D7%99-%D7%A9%D7%A0%D7%A9%D7%99%D7%9D-%D7%9C%D7%91-%D7%94%D7%A7%D7%99%D7%A5-%D7%94%D7%AA%D7%97%D7%99%D7%9C/</t>
  </si>
  <si>
    <t>https://www.zavit.org.il/wp-content/uploads/2018/09/tim-gouw-unsplash.jpg</t>
  </si>
  <si>
    <t>נזקי המדוזות למתקני התשתית הארץ. - חשמלנט</t>
  </si>
  <si>
    <t>https://encrypted-tbn0.gstatic.com/images?q=tbn:ANd9GcQu8zWCNzR9CFuKO7f8pmAxz10mh1xTk66MRb-tSHuueK3BMqCb&amp;s</t>
  </si>
  <si>
    <t>he-il.facebook.com</t>
  </si>
  <si>
    <t>https://he-il.facebook.com/med.lter/photos/rupilemanomadica-jellyfish-mediterraneansea-of-israel-by-hagainativ-mkmrs/2045350762438424/</t>
  </si>
  <si>
    <t>https://lookaside.fbsbx.com/lookaside/crawler/media/?media_id=2045350762438424</t>
  </si>
  <si>
    <t>תחנת מוריס קאהן לחקר הים - Morris Kahn Marine Research ...</t>
  </si>
  <si>
    <t>233</t>
  </si>
  <si>
    <t>https://encrypted-tbn0.gstatic.com/images?q=tbn:ANd9GcQ1UcYqvaPjxpAOJDO28FJLydI8Ehr2PjksLOcQ5rKK9KGThMAT&amp;s</t>
  </si>
  <si>
    <t>www.shvoong.co.il</t>
  </si>
  <si>
    <t>https://www.shvoong.co.il/%D7%9E%D7%A4%D7%92%D7%A9%D7%99%D7%9D-%D7%90%D7%99%D7%A0%D7%98%D7%99%D7%9E%D7%99%D7%99%D7%9D-%D7%91%D7%99%D7%9D-%D7%9B%D7%9A-%D7%94%D7%AA%D7%A0%D7%A9%D7%A7%D7%AA%D7%99-%D7%A2%D7%9D-%D7%9E%D7%93/114494/</t>
  </si>
  <si>
    <t>https://www.shvoong.co.il/wp-content/uploads/2018/11/114494.jpg</t>
  </si>
  <si>
    <t>מפגשים אינטימיים בים: כך התנשקתי עם מדוזה</t>
  </si>
  <si>
    <t>173</t>
  </si>
  <si>
    <t>https://encrypted-tbn0.gstatic.com/images?q=tbn:ANd9GcSmhpWfQJHKp9axuLdWqs70s6OVA_EQPTozmKyOEceRKtJxoACW&amp;s</t>
  </si>
  <si>
    <t>www.medpeople.org.il</t>
  </si>
  <si>
    <t>https://www.medpeople.org.il/author/medadmin/page/18/</t>
  </si>
  <si>
    <t>https://www.medpeople.org.il/wp-content/uploads/thumbs/WhatsApp-Image-2018-11-28-at-16.34.35_Easy-Resize.com_-38v8mk78gr0fbeugi0dh4w.jpg</t>
  </si>
  <si>
    <t>medadmin, Author at אנשי הים התיכון - עמוד 18 מתוך 23</t>
  </si>
  <si>
    <t>https://serpapi.com/searches/6381cff134ff95ef5e85db0a/images/8c309ba9c53ee7f8a0631d5f975cf4dd50407f2f9549e3ffe5be6264e67da935.jpeg</t>
  </si>
  <si>
    <t>https://he-il.facebook.com/groups/1433983646837647/permalink/2308624906040179/</t>
  </si>
  <si>
    <t>rosh hanikra</t>
  </si>
  <si>
    <t>https://lookaside.fbsbx.com/lookaside/crawler/media/?media_id=774859652874413</t>
  </si>
  <si>
    <t>מדוזות בעם | פריחת ג'לים מול חופי ראש הנקרה</t>
  </si>
  <si>
    <t>https://encrypted-tbn0.gstatic.com/images?q=tbn:ANd9GcTW48uTpEy73bhIYh1xQXtb7ivSKh5VvrfSWA&amp;usqp=CAU</t>
  </si>
  <si>
    <t>https://ashdodnet.com/%D7%97%D7%93%D7%A9%D7%95%D7%AA-%D7%90%D7%A9%D7%93%D7%95%D7%93/%D7%97%D7%99%D7%A1%D7%95%D7%9C-%D7%9E%D7%93%D7%95%D7%96%D7%95%D7%AA</t>
  </si>
  <si>
    <t>https://ashdodnet.com/dyncontent/2019/4/1/cd946425-d5a1-4560-833b-a4853c8d034b.jpg</t>
  </si>
  <si>
    <t>עונה בלי מדוזות? 1 באפריל של אשדוד נט - אשדוד נט</t>
  </si>
  <si>
    <t>https://encrypted-tbn0.gstatic.com/images?q=tbn:ANd9GcSjiJMBb7tLXHbiwFFIaEcFtEfzrXLBJ87tW0PTG-DPcz5fGRxb&amp;s</t>
  </si>
  <si>
    <t>http://www.medpeople.org.il/%D7%A6%D7%91-%D7%99%D7%9D-%D7%92%D7%99%D7%9C%D7%93%D7%99-%D7%A0%D7%93%D7%99%D7%A8-%D7%A0%D7%A6%D7%A4%D7%94-%D7%9E%D7%95%D7%9C-%D7%97%D7%95%D7%A4%D7%99-%D7%AA%D7%9C-%D7%90%D7%91%D7%99%D7%91/</t>
  </si>
  <si>
    <t>http://www.medpeople.org.il/wp-content/uploads/2019/04/%D7%A6%D7%91-%D7%99%D7%9D-%D7%92%D7%99%D7%9C%D7%93%D7%992-%D7%99%D7%A2%D7%9C-%D7%90%D7%A8%D7%91%D7%9C_Easy-Resize.com_.jpg</t>
  </si>
  <si>
    <t>צב ים גילדי נדיר נצפה מול חופי תל אביב - אנשי הים התיכון</t>
  </si>
  <si>
    <t>https://encrypted-tbn0.gstatic.com/images?q=tbn:ANd9GcRGNWmxaTtsU_yX3EWRL6vU-LvzsbPT1cMuCmyzH4apv9TuErAX&amp;s</t>
  </si>
  <si>
    <t>www.arab48.com</t>
  </si>
  <si>
    <t>https://www.arab48.com/%D8%B5%D8%AD%D8%A9/%D8%B5%D8%AD%D8%A9/2019/05/01/%D8%A7%D9%83%D8%AA%D8%B4%D8%A7%D9%81-%D8%AA%D8%B1%D9%8A%D8%A7%D9%82-%D9%84%D8%B3%D9%85-%D8%A3%D9%83%D8%AB%D8%B1-%D8%AD%D9%8A%D9%88%D8%A7%D9%86-%D8%B3%D8%A7%D9%85-%D9%81%D9%8A-%D8%A7%D9%84%D8%B9%D8%A7%D9%84%D9%85</t>
  </si>
  <si>
    <t>https://data.arab48.com/data/news/2019/05/01/facebook_waterMark/20190501030814.png</t>
  </si>
  <si>
    <t>اكتشاف ترياق لسم أكثر حيوان سام في العالم | صحة | عرب 48</t>
  </si>
  <si>
    <t>https://encrypted-tbn0.gstatic.com/images?q=tbn:ANd9GcRtfAIB91YWR7ATENb75ITXwiCxFONh8fI_3RSPSpKAWP3elold&amp;s</t>
  </si>
  <si>
    <t>https://www.almasryalyoum.com/news/details/2298221</t>
  </si>
  <si>
    <t>https://mediaaws.almasryalyoum.com/news/verylarge/2019/05/11/932545_0.jpg</t>
  </si>
  <si>
    <t>يحتوي على سم يسبب الشلل ثم الموت.. كائن بحري قاتل يتسلل إلى ...</t>
  </si>
  <si>
    <t>https://encrypted-tbn0.gstatic.com/images?q=tbn:ANd9GcRL4CUPlTX_esMsNxByHlZ8VxkkZpCtv3a2ppnoAXj30ugy_l8Z&amp;s</t>
  </si>
  <si>
    <t>www.abc.net.au</t>
  </si>
  <si>
    <t>https://www.abc.net.au/news/2019-01-06/the-magic-and-mayhem-of-jellyfish/10377112</t>
  </si>
  <si>
    <t>https://live-production.wcms.abc-cdn.net.au/1033c2bfdf7cc5649ffbd8daa8c68ab3?impolicy=wcms_crop_resize&amp;cropH=679&amp;cropW=1021&amp;xPos=0&amp;yPos=2&amp;width=862&amp;height=575</t>
  </si>
  <si>
    <t>Jellyfish are causing mayhem as pollution climate change ...</t>
  </si>
  <si>
    <t>https://encrypted-tbn0.gstatic.com/images?q=tbn:ANd9GcRilBTbFkpUGWF4AF1oFEj-ntIz7oE9S2ImYw&amp;usqp=CAU</t>
  </si>
  <si>
    <t>Ynetnews</t>
  </si>
  <si>
    <t>https://www.ynetnews.com/articles/07340L-554367600.html</t>
  </si>
  <si>
    <t>https://www.ynetnews.com/PicServer5/2019/07/04/9345410/Image4.jpg</t>
  </si>
  <si>
    <t>Thousands of jellyfish swarm power station in southern Israel</t>
  </si>
  <si>
    <t>https://encrypted-tbn0.gstatic.com/images?q=tbn:ANd9GcRlEpw2D2lZL8o75QEPJ4qIYECnDkJs1rYeLA&amp;usqp=CAU</t>
  </si>
  <si>
    <t>https://images1.ynet.co.il/PicServer5/2019/07/04/9345411/Image5.jpg</t>
  </si>
  <si>
    <t>https://encrypted-tbn0.gstatic.com/images?q=tbn:ANd9GcTvmR_FU6QIaSRH9m84aVsucM6lUjRQJ62XG-JiUUKkJ0sGLbmm&amp;s</t>
  </si>
  <si>
    <t>https://ashdodonline.co.il/93838/%D7%A7%D7%99%D7%A5-%D7%A6%D7%95%D7%A8%D7%91-%D7%9E%D7%93%D7%95%D7%96%D7%95%D7%AA-%D7%A0%D7%A6%D7%A4%D7%95-%D7%91%D7%97%D7%95%D7%A4%D7%99-%D7%90%D7%A9%D7%93%D7%95%D7%93-%D7%95%D7%94%D7%A1%D7%91%D7%99/</t>
  </si>
  <si>
    <t>https://ashdodonline.co.il/wp-content/uploads/2019/06/IMG_5587.jpg</t>
  </si>
  <si>
    <t>קיץ צורב: מדוזות נצפו בחופי אשדוד והסביבה - אשדוד אונליין</t>
  </si>
  <si>
    <t>563</t>
  </si>
  <si>
    <t>https://encrypted-tbn0.gstatic.com/images?q=tbn:ANd9GcTtohhGL0fHKtLyzh9NR6N7iUBof2NlxreK_jorEa0SjpkqykA&amp;s</t>
  </si>
  <si>
    <t>magazine.iec.co.il</t>
  </si>
  <si>
    <t>https://magazine.iec.co.il/2019/06/26/%D7%98%D7%95%D7%9F-%D7%9E%D7%93%D7%95%D7%96%D7%95%D7%AA-%D7%9B%D7%9C-%D7%A9%D7%A2%D7%94/</t>
  </si>
  <si>
    <t>https://magazine.iec.co.il/wp-content/uploads/2019/06/DAV_0831-1024x683.jpg</t>
  </si>
  <si>
    <t>טון מדוזות כל שעה - מטען חשמלי</t>
  </si>
  <si>
    <t>https://encrypted-tbn0.gstatic.com/images?q=tbn:ANd9GcT0eh2gpbGWWtntkp3TVoxHW6i6dvxJRpDGuJ_kfIIMwCpJXm8&amp;s</t>
  </si>
  <si>
    <t>www.facebook.com</t>
  </si>
  <si>
    <t>https://www.facebook.com/tlv.best/photos/a.649363191893376/1315933411903014/?type=3</t>
  </si>
  <si>
    <t>https://lookaside.fbsbx.com/lookaside/crawler/media/?media_id=1315933411903014</t>
  </si>
  <si>
    <t>Типичный Израиль. Подслушано - ⚡️⚡️⚡️ На пляжах ...</t>
  </si>
  <si>
    <t>https://encrypted-tbn0.gstatic.com/images?q=tbn:ANd9GcRCC5u_RX4hKLna6-5ICL863p7MRSy1MMbofA&amp;usqp=CAU</t>
  </si>
  <si>
    <t>https://www.0404.co.il/?p=454232</t>
  </si>
  <si>
    <t>https://www.0404.co.il/wp-content/uploads/2019/06/WhatsApp-Image-2019-06-30-at-09.57.17-3.jpeg</t>
  </si>
  <si>
    <t>מרהיב: מדוזות בקוטר 50 סמ צולמו באזור תל אביב (צפו בתמונות) - 0404</t>
  </si>
  <si>
    <t>https://serpapi.com/searches/63d00e61ea14429543229cd5/images/f752daf8bb5f9e58f5c6aa63150dbfb5407ccd7dea37bef7eeac243a7eba2e92.jpeg</t>
  </si>
  <si>
    <t>https://www.vesty.co.il/articles/0,7340,L-5540048,00.html</t>
  </si>
  <si>
    <t>ashkelon south</t>
  </si>
  <si>
    <t>https://www.vesty.co.il/PicServer5/2017/06/01/7818241/781784649715875640360no.jpg</t>
  </si>
  <si>
    <t>Медузы уже у берегов Израиля: где можно получить ожог</t>
  </si>
  <si>
    <t>https://encrypted-tbn0.gstatic.com/images?q=tbn:ANd9GcQMbCbL-1m-ztTyDYD_paNQYtfNI3L1an50rw&amp;usqp=CAU</t>
  </si>
  <si>
    <t>הארץ</t>
  </si>
  <si>
    <t>https://www.haaretz.co.il/nature/2019-07-02/ty-article/0000017f-ef38-da6f-a77f-ff3e6c060000</t>
  </si>
  <si>
    <t>https://img.haarets.co.il/bs/0000017f-ef38-da6f-a77f-ff3e5f910000/91/d2/c10dd6f72df748da24cb08fdcdec/3874165171.jpg?precrop=14701469x345y0</t>
  </si>
  <si>
    <t>המדוזות נצפו בחופי אשדוד ואשקלון בקרוב יתפשטו לכלל חופי ישראל - סביבה  ואקלים - הארץ</t>
  </si>
  <si>
    <t>https://encrypted-tbn0.gstatic.com/images?q=tbn:ANd9GcTJxWBhMLl-L1O9U16gaCYCvLXxC39kSyow-ZfizFH6U-2qGUhX&amp;s</t>
  </si>
  <si>
    <t>stmegi.com</t>
  </si>
  <si>
    <t>https://stmegi.com/posts/71367/k-poberezhyu-izrailya-priblizhayutsya-milliony-meduz/</t>
  </si>
  <si>
    <t>https://stmegi.com/upload/resize_cache/iblock/4c4/1000_580_2/4c441f91d6f541db8afa2900f000d50c.png</t>
  </si>
  <si>
    <t>К побережью Израиля приближаются миллионы медуз - STMEGI</t>
  </si>
  <si>
    <t>https://encrypted-tbn0.gstatic.com/images?q=tbn:ANd9GcQRRkB80ApriOojx056cw-cTAWl7jFBWVjGki49G89tXTusknU&amp;s</t>
  </si>
  <si>
    <t>detaly.co.il</t>
  </si>
  <si>
    <t>https://detaly.co.il/vnimanie-meduzy/</t>
  </si>
  <si>
    <t>https://detaly.co.il/wp-content/uploads/2018/02/Livan-more-pix.jpg</t>
  </si>
  <si>
    <t>Внимание, медузы!. Детали: Hовости Израиля</t>
  </si>
  <si>
    <t>https://encrypted-tbn0.gstatic.com/images?q=tbn:ANd9GcTF8oxHq0B1kA3G9ta0RpQGtMnQke1aFXAuQA&amp;usqp=CAU</t>
  </si>
  <si>
    <t>https://mignews.com/news/travel/020719_94927_28245.html</t>
  </si>
  <si>
    <t>https://mignews.com/media/cache/d2/75/d275f79b03480e27b3250c830339c36a.jpg</t>
  </si>
  <si>
    <t>К побережью Израиля приближаются полчища медуз | Путешествия | MIGnews - MigNews – новости Израиля и мира на русском языке</t>
  </si>
  <si>
    <t>https://encrypted-tbn0.gstatic.com/images?q=tbn:ANd9GcQPA7ofnJjFgSaGRr-T1byrsj2qdx_g9gX0Uw&amp;usqp=CAU</t>
  </si>
  <si>
    <t>وزارة الصحة الفلسطينية</t>
  </si>
  <si>
    <t>https://www.moh.gov.ps/portal/%D9%83%D9%8A%D9%81-%D9%86%D8%AA%D8%B9%D8%A7%D9%85%D9%84-%D9%85%D8%B9-%D9%84%D8%B3%D8%B9%D8%A9-%D9%82%D9%86%D8%AF%D9%8A%D9%84-%D8%A7%D9%84%D8%A8%D8%AD%D8%B1/</t>
  </si>
  <si>
    <t>https://i0.wp.com/www.moh.gov.ps/portal/wp-content/uploads/2019/07/%D9%82%D9%86%D8%AF%D9%8A%D9%84.jpg?fit=250%2C188&amp;ssl=1</t>
  </si>
  <si>
    <t>كيف نتعامل مع لسعة قنديل البحر – وزارة الصحة الفلسطينية</t>
  </si>
  <si>
    <t>https://encrypted-tbn0.gstatic.com/images?q=tbn:ANd9GcTuEF2I_J9nElz55bBLsSeGAsnGWRGF_MXoCItycSaIhN52vdc&amp;s</t>
  </si>
  <si>
    <t>https://israelbusinessguide.com/news/million_meduz/</t>
  </si>
  <si>
    <t>https://israelbusinessguide.com/photo/content/content_news/00586/16249_large.jpg</t>
  </si>
  <si>
    <t>К побережью Израиля приближаются миллионы медуз</t>
  </si>
  <si>
    <t>https://encrypted-tbn0.gstatic.com/images?q=tbn:ANd9GcQ7u7j4cXWE237Ou3mzshHxUyymiNvvkD2aUw&amp;usqp=CAU</t>
  </si>
  <si>
    <t>https://www.ynet.co.il/articles/07340L-554523800.html</t>
  </si>
  <si>
    <t>https://www.ynet.co.il/PicServer5/2019/07/04/9345386/tap.jpg</t>
  </si>
  <si>
    <t>מאכזיב ועד אשקלון: המדוזות בחופי ישראל</t>
  </si>
  <si>
    <t>https://encrypted-tbn0.gstatic.com/images?q=tbn:ANd9GcQPJgCyFDx_lp8YBYmeFTMNmgTw_CPVnrOXZA&amp;usqp=CAU</t>
  </si>
  <si>
    <t>https://ashdodonline.co.il/tag/%D7%9E%D7%93%D7%95%D7%96%D7%95%D7%AA/</t>
  </si>
  <si>
    <t>https://ashdodonline.co.il/wp-content/uploads/2017/06/19243663_10213434983458664_1661756345_o.jpg</t>
  </si>
  <si>
    <t>מדוזות - אשדוד אונליין</t>
  </si>
  <si>
    <t>https://encrypted-tbn0.gstatic.com/images?q=tbn:ANd9GcSFWGfZtQ_MAYplHQEiLcKC5cdU-9ISGHzzN9r4K7bpvk8PX3tW&amp;s</t>
  </si>
  <si>
    <t>ashkelnayes.co.il</t>
  </si>
  <si>
    <t>https://ashkelnayes.co.il/12599/%D7%A2%D7%A9%D7%A8%D7%95%D7%AA-%D7%90%D7%9C%D7%A4%D7%99-%D7%9E%D7%93%D7%95%D7%96%D7%95%D7%AA-%D7%91%D7%97%D7%95%D7%A4%D7%99-%D7%90%D7%A9%D7%A7%D7%9C%D7%95%D7%9F-%D7%A6%D7%A4%D7%95-%D7%91%D7%AA%D7%99/</t>
  </si>
  <si>
    <t>https://ashkelnayes.co.il/wp-content/uploads/2019/07/img-20190704-wa00662053792113.jpg</t>
  </si>
  <si>
    <t>עשרות אלפי מדוזות בחופי אשקלון צפו בתיעוד מתחנת הכח - אשקלנייעס</t>
  </si>
  <si>
    <t>https://encrypted-tbn0.gstatic.com/images?q=tbn:ANd9GcR1Sekhtj2TkHq-csvWxDzU_S0CtSyQf6-S6psLZ3W-8jTkJpfB&amp;s</t>
  </si>
  <si>
    <t>www.kan.org.il</t>
  </si>
  <si>
    <t>https://www.kan.org.il/item/?itemid=54798</t>
  </si>
  <si>
    <t>https://kanstatic.azureedge.net/download/pictures/2019/7/4/imgid=15960_A.png</t>
  </si>
  <si>
    <t>אלפי מדוזות פשטו על תחנת הכוח רוטנברג באשקלון | כאן</t>
  </si>
  <si>
    <t>https://encrypted-tbn0.gstatic.com/images?q=tbn:ANd9GcSxHL_7OIY4SWdWdT4wAh0QygVvrxgZD3Me8twVtJLFb51X_NI&amp;s</t>
  </si>
  <si>
    <t>https://www.haaretz.com/israel-news/2019-07-04/ty-article/swarms-of-jellyfish-invade-power-plant-in-southern-israel/0000017f-e27b-d804-ad7f-f3fbe0490000</t>
  </si>
  <si>
    <t>https://img.haarets.co.il/bs/0000017f-e27b-d804-ad7f-f3fbe0060000/ac/a3/5b0747bc6715c7b29e1c36aaed2b/2980080770.jpeg?precrop=665664x274y138</t>
  </si>
  <si>
    <t>Swarms of Jellyfish Invade Power Plant in Southern Israel ...</t>
  </si>
  <si>
    <t>17</t>
  </si>
  <si>
    <t>https://serpapi.com/searches/637a2349f716eef683f2941a/images/6d27cb32fe6911be822e44a55e31820de82db83df75b98f796bc6b824a300478.jpeg</t>
  </si>
  <si>
    <t>https://images1.ynet.co.il/PicServer5/2019/07/04/9345422/93454080100084640360no.jpg</t>
  </si>
  <si>
    <t>https://encrypted-tbn0.gstatic.com/images?q=tbn:ANd9GcSLTj427r1FVgx-X-43CSsh22KUr39ft2796g&amp;usqp=CAU</t>
  </si>
  <si>
    <t>https://www.vesty.co.il/articles/0,7340,L-5544484,00.html</t>
  </si>
  <si>
    <t>https://images1.ynet.co.il/PicServer5/2019/07/04/9346567/93463190420989801449no.jpg</t>
  </si>
  <si>
    <t>Сделано в Израиле: новое приложение позволит узнать, у какого пляжа есть медузы</t>
  </si>
  <si>
    <t>https://encrypted-tbn0.gstatic.com/images?q=tbn:ANd9GcRjef1b4eJfXp-fvUsHacCYKp93Jn6-BidSwMmkqnF9oJ04Occ&amp;s</t>
  </si>
  <si>
    <t>www.strana.co.il</t>
  </si>
  <si>
    <t>http://www.strana.co.il/news/?ID=110379&amp;cat=3</t>
  </si>
  <si>
    <t>http://www.strana.co.il/XXXcicuilkjvkhasjkasihdchakbchQQkjcvlkhzvhzlhasdfWWW/650x488/176201722445.JPG</t>
  </si>
  <si>
    <t>Медузы забили фильтры электростанции в Ашкелоне</t>
  </si>
  <si>
    <t>https://encrypted-tbn0.gstatic.com/images?q=tbn:ANd9GcR1yFqBzcURdTbuAeCrXYF8Uf6F6JdXN9tzZdiPKt7TD6okgg&amp;s</t>
  </si>
  <si>
    <t>https://www.vesty.co.il/articles/0,7340,L-5543067,00.html</t>
  </si>
  <si>
    <t>natanya, bat yam, haifa, kryot</t>
  </si>
  <si>
    <t>https://www.vesty.co.il/PicServer5/2019/07/04/9344853/shutterstock_667843153.jpg</t>
  </si>
  <si>
    <t>К берегам Израиля движется гигантское скопление медуз</t>
  </si>
  <si>
    <t>https://encrypted-tbn0.gstatic.com/images?q=tbn:ANd9GcSh6do-PrPAuE8W34OixOp4vbRCme7R-3_VJqod8Ys0QouCbYsn&amp;s</t>
  </si>
  <si>
    <t>https://www.vesty.co.il/articles/0,7340,L-5543396,00.html</t>
  </si>
  <si>
    <t>https://images1.ynet.co.il/PicServer5/2019/07/04/9345410/Image4.jpg</t>
  </si>
  <si>
    <t>Видео: нашествие медуз угрожает электростанции в Ашкелоне</t>
  </si>
  <si>
    <t>https://encrypted-tbn0.gstatic.com/images?q=tbn:ANd9GcR4LfiYi0z9KWA75bkS32lrN65_9n3UzDMZ7A&amp;usqp=CAU</t>
  </si>
  <si>
    <t>Matzav.com</t>
  </si>
  <si>
    <t>https://matzav.com/massive-swarm-of-jellyfish-heads-for-israeli-waters/</t>
  </si>
  <si>
    <t>https://matzav.com/wp-content/uploads/2019/07/234157fa-swarm1_h3.jpg</t>
  </si>
  <si>
    <t>Massive Swarm of Jellyfish Heads for Israeli Waters | Matzav.com</t>
  </si>
  <si>
    <t>https://encrypted-tbn0.gstatic.com/images?q=tbn:ANd9GcQ6FJZDoQQk1Oo1gEWAP_ZuLFkcMcQBjT5IfQ&amp;usqp=CAU</t>
  </si>
  <si>
    <t>Профиль</t>
  </si>
  <si>
    <t>https://profile.ru/news/society/ecology/populyaciya-opasnyx-meduz-skoncentrirovalas-u-plyazhej-izrailya-155170/</t>
  </si>
  <si>
    <t>https://cdn.profile.ru/wp-content/uploads/2019/07/shutterstock_1405857845-min.jpg</t>
  </si>
  <si>
    <t>Популяция опасных медуз сконцентрировалась у пляжей Израиля</t>
  </si>
  <si>
    <t>https://encrypted-tbn0.gstatic.com/images?q=tbn:ANd9GcRKFFFpi7i8Met98sM8LAbUhm6K7by0sE638g&amp;usqp=CAU</t>
  </si>
  <si>
    <t>Телеканал 360</t>
  </si>
  <si>
    <t>https://360tv.ru/news/interesnoe/opasnye-meduzy-atakovali-pljazhi-izrailja/</t>
  </si>
  <si>
    <t>https://i.ytimg.com/vi/FZWm9nTseCU/maxresdefault.jpg</t>
  </si>
  <si>
    <t>Опасные медузы атаковали пляжи Израиля | 360°</t>
  </si>
  <si>
    <t>https://encrypted-tbn0.gstatic.com/images?q=tbn:ANd9GcRRb6ne9OSid4OSzNxZsduAIPptIDwg_uDRZxSOfif16vBK5Vkh&amp;s</t>
  </si>
  <si>
    <t>life.ru</t>
  </si>
  <si>
    <t>https://life.ru/p/1227317</t>
  </si>
  <si>
    <t>https://static.life.ru/posts/2019/07/1227317/c203c49218201a029f025eb21a02df99.jpg</t>
  </si>
  <si>
    <t>Пляжи Израиля наводнили опасные медузы</t>
  </si>
  <si>
    <t>https://encrypted-tbn0.gstatic.com/images?q=tbn:ANd9GcTuwAKNK_jPGI4IA-YLsq40zEZvPg8tDYQhRKSsESLwLdzXXJRP&amp;s</t>
  </si>
  <si>
    <t>http://m.strana.co.il/News/?ID=110385&amp;cat=3</t>
  </si>
  <si>
    <t>http://www.strana.co.il/XXXcicuilkjvkhasjkasihdchakbchQQkjcvlkhzvhzlhasdfWWW/650x488/19072014135114.jpg</t>
  </si>
  <si>
    <t>Сезон медуз» на Средиземноморском побережье Израиля: купание ...</t>
  </si>
  <si>
    <t>https://encrypted-tbn0.gstatic.com/images?q=tbn:ANd9GcTfGgrGdy4yY6e9tD3r064wwYMA9kmRaT4hNLWHiIQvAfdPdc8&amp;s</t>
  </si>
  <si>
    <t>https://ria.ru/20190705/1556260946.html</t>
  </si>
  <si>
    <t>https://cdnn21.img.ria.ru/images/sharing/article/1556260946.jpg?15562593641562343885</t>
  </si>
  <si>
    <t>Израильские пляжи подверглись нашествию опасных медуз - РИА ...</t>
  </si>
  <si>
    <t>https://encrypted-tbn0.gstatic.com/images?q=tbn:ANd9GcS6vRUZTLGwexrqlund0rm6yQYUW4N-j9KY-prMbuI2fU-URB8-&amp;s</t>
  </si>
  <si>
    <t>stock.adobe.com</t>
  </si>
  <si>
    <t>https://stock.adobe.com/search?k=%22jellyfish%20on%20the%20sand%22</t>
  </si>
  <si>
    <t>https://t3.ftcdn.net/jpg/05/18/88/68/360_F_518886894_EW4W1sUxkeDvdcObu4sarzbTwvRTkr4Q.jpg</t>
  </si>
  <si>
    <t>Jellyfish On The Sand Images – Browse 22 Stock Photos ...</t>
  </si>
  <si>
    <t>https://encrypted-tbn0.gstatic.com/images?q=tbn:ANd9GcTV-lFbd30KxezooiXs-k1beXAgijMidfrNcmIMaZb1TxJ89V8&amp;s</t>
  </si>
  <si>
    <t>https://www.youtube.com/watch?v=W6DZRpuSg5Q</t>
  </si>
  <si>
    <t>https://i.ytimg.com/vi/W6DZRpuSg5Q/maxresdefault.jpg</t>
  </si>
  <si>
    <t>מדוזות בשמורת אכזיב ושמורת האלמוגים</t>
  </si>
  <si>
    <t>https://encrypted-tbn0.gstatic.com/images?q=tbn:ANd9GcR7TPJ08HX95InFBmnygMIW14KdV2ZhPRDMKQ&amp;usqp=CAU</t>
  </si>
  <si>
    <t>כאן דרום אשדוד</t>
  </si>
  <si>
    <t>https://www.kan-ashdod.co.il/ashdodim/65496</t>
  </si>
  <si>
    <t>https://www.kan-ashdod.co.il/wp-content/uploads/2019/07/8782274752b36e04ce6af9fb48575653-845x634.jpg</t>
  </si>
  <si>
    <t>המדוזות השתלטו על חופי אשדוד (גלריית תמונות) | כאן דרום - אשדוד</t>
  </si>
  <si>
    <t>https://encrypted-tbn0.gstatic.com/images?q=tbn:ANd9GcRy7snWtBquq49Xs5QOdlgAM7an0Vr2yz-ScQ&amp;usqp=CAU</t>
  </si>
  <si>
    <t>NDTV.com</t>
  </si>
  <si>
    <t>https://www.ndtv.com/world-news/millions-of-jellyfish-headed-to-israels-coast-lifeguards-warn-swimmers-2065094</t>
  </si>
  <si>
    <t>https://c.ndtvimg.com/2019-07/hpu42ke8_jellyfishisrael-_295x200_06_July_19.jpg</t>
  </si>
  <si>
    <t>Millions Of Jellyfish Headed To Israel's Coast Lifeguards Warn Swimmers</t>
  </si>
  <si>
    <t>https://encrypted-tbn0.gstatic.com/images?q=tbn:ANd9GcQA6uw12o9BhLB1p-8MB26bIgwWMVkvx2Qfa7eZZ_KDEa1DG4r8&amp;s</t>
  </si>
  <si>
    <t>https://www.youtube.com/watch?v=qvet6d4fYuM</t>
  </si>
  <si>
    <t>https://i.ytimg.com/vi/qvet6d4fYuM/maxresdefault.jpg</t>
  </si>
  <si>
    <t>עקצוצים צריבות וחופש גדול: המדוזות חזרו לחופי ישראל</t>
  </si>
  <si>
    <t>https://encrypted-tbn0.gstatic.com/images?q=tbn:ANd9GcTcTBiJ8S6ashLdGPTElj9zSK92ujUy2WRmrSWeHcRGLZx-gK_f&amp;s</t>
  </si>
  <si>
    <t>mobile.twitter.com</t>
  </si>
  <si>
    <t>https://mobile.twitter.com/wassermanorly</t>
  </si>
  <si>
    <t>https://pbs.twimg.com/media/D-zyvtbW4AATBqe?format=jpg&amp;name=large</t>
  </si>
  <si>
    <t>orly wasserman (@WassermanOrly) / Twitter</t>
  </si>
  <si>
    <t>https://serpapi.com/searches/638337d236e6a9e35d6b9242/images/11f1afed02345fce872e73bcf9fe1d8aac1e92e53eec77e82543e64a6a4c263d.jpeg</t>
  </si>
  <si>
    <t>https://c.ndtvimg.com/2019-07/r94vt0k_jellyfishisrael-_625x300_06_July_19.jpg</t>
  </si>
  <si>
    <t>Millions Of Jellyfish Headed To Israel's Coast, Lifeguards Warn Swimmers</t>
  </si>
  <si>
    <t>https://encrypted-tbn0.gstatic.com/images?q=tbn:ANd9GcSH_ieNo7Rl8zFwxBleTX7KLhmNhK2cwwRydFYRo267SxJhj7s&amp;s</t>
  </si>
  <si>
    <t>www.niasam.ru</t>
  </si>
  <si>
    <t>https://www.niasam.ru/v_mire/plyazhi-izrailya-navodnili-opasnye-meduzy-133363.html</t>
  </si>
  <si>
    <t>https://www.niasam.ru/114999_i_w300.jpg</t>
  </si>
  <si>
    <t>Пляжи Израиля наводнили опасные медузы - В мире. НИА Самара ...</t>
  </si>
  <si>
    <t>https://encrypted-tbn0.gstatic.com/images?q=tbn:ANd9GcR86OqqMzzC_b8CrbpVpQQnKHdGthTyMMbCTYqJzkq8uf1hv_kQ&amp;s</t>
  </si>
  <si>
    <t>replyua.net</t>
  </si>
  <si>
    <t>https://replyua.net/israel/156559-plyazhi-izrailya-atakovali-opasnye-suschestva.html</t>
  </si>
  <si>
    <t>https://replyua.net/uploads/posts/2019-07/1562396013_ts.jpg</t>
  </si>
  <si>
    <t>Пляжи Израиля атаковали опасные существа - Replyua.net</t>
  </si>
  <si>
    <t>https://encrypted-tbn0.gstatic.com/images?q=tbn:ANd9GcS6JH2XWIM8cJQZIbISe3_WYeCUa5ARfDEvMDteavdRItKfOAzY&amp;s</t>
  </si>
  <si>
    <t>https://www.youtube.com/watch?v=Iqb1f5u-YQA</t>
  </si>
  <si>
    <t>https://i.ytimg.com/vi/Iqb1f5u-YQA/maxresdefault.jpg</t>
  </si>
  <si>
    <t>Опасные медузы атаковали пляжи Израиля</t>
  </si>
  <si>
    <t>https://serpapi.com/searches/637b357437014cf32db57f90/images/62f790fc1e1a37c139da707987ad36326fcb749c0806f6ec8b63ff7b429e3a8f.jpeg</t>
  </si>
  <si>
    <t>ראשון לציון</t>
  </si>
  <si>
    <t>https://rishon.mynet.co.il/local_news/article/m_392302</t>
  </si>
  <si>
    <t>https://rishon.mynet.co.il/picserver/mynet/wcm_upload/wcm_mynet_pic/2019/07/07/494992/494992.jpg</t>
  </si>
  <si>
    <t>המדוזות הגיעו בהמוניהן לראשון לציון התפוסה בחופי הים נמוכה במיוחד</t>
  </si>
  <si>
    <t>https://encrypted-tbn0.gstatic.com/images?q=tbn:ANd9GcQPir-Bqbj45USjIsB-pzQePs4WHb4gZ4rIKw&amp;usqp=CAU</t>
  </si>
  <si>
    <t>https://www.youtube.com/watch?v=FW67x2-Gy2k</t>
  </si>
  <si>
    <t>https://i.ytimg.com/vi/FW67x2-Gy2k/sddefault.jpg</t>
  </si>
  <si>
    <t>מדוזות בחוף אשדוד - YouTube</t>
  </si>
  <si>
    <t>https://encrypted-tbn0.gstatic.com/images?q=tbn:ANd9GcTFehhtRcdJgY-Mzh_sR-J-z2KOeND80PU4Fw&amp;usqp=CAU</t>
  </si>
  <si>
    <t>BE106</t>
  </si>
  <si>
    <t>https://www.be106.net/49/31447</t>
  </si>
  <si>
    <t>https://cdn.be106.net/p/Nn46d21853c12d5.jpg</t>
  </si>
  <si>
    <t>למתרחצים בחופי בת ים שימו לב! תלונות רבות על צריבות ממדוזות בתוך המים -  BE106 חדשות בת ים</t>
  </si>
  <si>
    <t>https://encrypted-tbn0.gstatic.com/images?q=tbn:ANd9GcT1Zqf84_ZP6k_V56TsuHAAZRCNShRdkeYdlc86NvjRyA3aT0A&amp;s</t>
  </si>
  <si>
    <t>hadera.mynet.co.il</t>
  </si>
  <si>
    <t>https://hadera.mynet.co.il/local_news/article/m_392294</t>
  </si>
  <si>
    <t>https://hadera.mynet.co.il/picserver/mynet/wcm_upload/wcm_mynet_pic/crop_images/2019/07/07/494992/151343_0_0_4032_3024_large.jpg</t>
  </si>
  <si>
    <t>המדוזות הגיעו בהמוניהן לחדרה התפוסה בחופי הים נמוכה במיוחד</t>
  </si>
  <si>
    <t>https://encrypted-tbn0.gstatic.com/images?q=tbn:ANd9GcQzD0jv_fehYUjkweUU9C-Ghag0zNtL6Rtr8g&amp;usqp=CAU</t>
  </si>
  <si>
    <t>מיינט הרצליה - mynet</t>
  </si>
  <si>
    <t>https://herzliya.mynet.co.il/local_news/article/m_392341</t>
  </si>
  <si>
    <t>https://herzliya.mynet.co.il/picserver/mynet/wcm_upload/wcm_mynet_pic/2019/07/07/494992/494992.jpg</t>
  </si>
  <si>
    <t>המדוזות הגיעו בהמוניהן להרצליה התפוסה בחופי הים נמוכה במיוחד</t>
  </si>
  <si>
    <t>https://encrypted-tbn0.gstatic.com/images?q=tbn:ANd9GcQfSbV4d2uFBwlpe8YuT3zjiKIafd7fyW48R72ZP5BgrhPRYsrM&amp;s</t>
  </si>
  <si>
    <t>m.vesty.co.il</t>
  </si>
  <si>
    <t>https://m.vesty.co.il/articles/5545655</t>
  </si>
  <si>
    <t>ashkelon ashdod</t>
  </si>
  <si>
    <t>https://ynet-images1.yit.co.il/picserver5/crop_images/2019/07/06/288774_0_0_640_360_large.jpg</t>
  </si>
  <si>
    <t>Гигантское скопление медуз прибыло к берегам Израиля</t>
  </si>
  <si>
    <t>https://encrypted-tbn0.gstatic.com/images?q=tbn:ANd9GcSO9RmWcQwhPwW0H0D0oCixBSjcivvkBi5LhHqQ_iDnZg7iPaE&amp;s</t>
  </si>
  <si>
    <t>https://www.vesty.co.il/articles/0,7340,L-5545655,00.html</t>
  </si>
  <si>
    <t>https://www.vesty.co.il/PicServer5/2019/07/06/9348217/93482140100099640360no.jpg</t>
  </si>
  <si>
    <t>https://encrypted-tbn0.gstatic.com/images?q=tbn:ANd9GcSen5PmgDb0Y3AVBf8aqu3vfYnTx_hVRUw026iUQycf_pPlR8A&amp;s</t>
  </si>
  <si>
    <t>13tv.co.il</t>
  </si>
  <si>
    <t>https://13tv.co.il/item/news/domestic/internal/jellyfishes-295247/</t>
  </si>
  <si>
    <t>https://media.reshet.tv/image/upload/t_image_article_800/v1562545858/hbxgzt_xwkrry.png</t>
  </si>
  <si>
    <t>נחיל מדוזות ענק הגיע לחופי ישראל – השיא עוד לפנינו | חדשות 13</t>
  </si>
  <si>
    <t>https://serpapi.com/searches/637a446e8ccee01a43a050f8/images/a694e05bbaa764f09b8d5f2543be562c3a165b638e168192123eeb9286a3c60f.jpeg</t>
  </si>
  <si>
    <t>בעולמם של חרדים</t>
  </si>
  <si>
    <t>https://bshch.blogspot.com/2019/07/blog-post_744.html?m=0</t>
  </si>
  <si>
    <t>https://1.bp.blogspot.com/-OD5aY6HVKQ4/XSMM8KLprYI/AAAAAAALFfs/KqCTCpXYbVoUI_9mWjd0ivqK8kf_k3IEQCLcBGAs/s1600/%25D7%259E%25D7%2593%25D7%2595%25D7%2596%25D7%2595%25D7%25AA.jpg</t>
  </si>
  <si>
    <t>בעולמם של חרדים: חופי תל אביב . מדוזות</t>
  </si>
  <si>
    <t>https://encrypted-tbn0.gstatic.com/images?q=tbn:ANd9GcS_PVPrX5eYtJJvq5fhSHkPWJ6ShwXyQY5PMnjypSDV-_UfjJk&amp;s</t>
  </si>
  <si>
    <t>https://media.reshet.tv/image/upload/t_og_image/v1562545861/2wijgw_data9c.png</t>
  </si>
  <si>
    <t>https://encrypted-tbn0.gstatic.com/images?q=tbn:ANd9GcQEpyA_iDQxnzsMiHhlwP4yiG-zON_6v6WFWha-UizP8qWrt_4&amp;s</t>
  </si>
  <si>
    <t>http://m.strana.co.il/News/?ID=110429&amp;cat=3</t>
  </si>
  <si>
    <t>ashkelon-naharia</t>
  </si>
  <si>
    <t>http://www.strana.co.il/XXXcicuilkjvkhasjkasihdchakbchQQkjcvlkhzvhzlhasdfWWW/650x488/1762017224411.JPG</t>
  </si>
  <si>
    <t>Сезон медуз»: купание опасно на всем средиземноморском ...</t>
  </si>
  <si>
    <t>https://encrypted-tbn0.gstatic.com/images?q=tbn:ANd9GcS2VzpiWQvEnWMZvmK271uS2kN4nVR42_gOtQt9eil9dvZKwoyX&amp;s</t>
  </si>
  <si>
    <t>www.mivzaklive.co.il</t>
  </si>
  <si>
    <t>https://www.mivzaklive.co.il/archives/category/israel-news/page/485</t>
  </si>
  <si>
    <t>https://www.mivzaklive.co.il/wp-content/uploads/2019/07/945bbea963ea37fffe8c8a9d739f1d11.jpg</t>
  </si>
  <si>
    <t>חדשות הארץ - חדשות מבזק לייב</t>
  </si>
  <si>
    <t>https://encrypted-tbn0.gstatic.com/images?q=tbn:ANd9GcQkS7bL-hkNZaKoaQ28dXHua-4Hm3ZOQXM8Ww&amp;usqp=CAU</t>
  </si>
  <si>
    <t>דבר העובדים</t>
  </si>
  <si>
    <t>https://www.davar1.co.il/189367/</t>
  </si>
  <si>
    <t>https://www.davar1.co.il/wp-content/uploads/2019/07/090719_medusa.jpg</t>
  </si>
  <si>
    <t>המדוזות חזרו. מתי הן ילכו? כל מה שאתם צריכים לדעת על החברה הצורבת מהים |  אתר החדשות דבר</t>
  </si>
  <si>
    <t>https://encrypted-tbn0.gstatic.com/images?q=tbn:ANd9GcQEPp1xGJOzLT_tt91ls-UVY9wBSyn0AdYyoiAIHDv5rC4TOHc2&amp;s</t>
  </si>
  <si>
    <t>המדוזות חזרו. מתי הן ילכו? כל מה שאתם צריכים לדעת על החברה ...</t>
  </si>
  <si>
    <t>https://encrypted-tbn0.gstatic.com/images?q=tbn:ANd9GcQ5mYKyr-5jF9MIQzBAJyqMPSYBjSUQvTDs7A&amp;usqp=CAU</t>
  </si>
  <si>
    <t>https://www.youtube.com/watch?v=hrm9TuurMm0</t>
  </si>
  <si>
    <t>https://i.ytimg.com/vi/hrm9TuurMm0/maxresdefault.jpg</t>
  </si>
  <si>
    <t>מדוזות ליד קיסריה 2019 - YouTube</t>
  </si>
  <si>
    <t>https://www.migdalor-news.co.il/27960-2/</t>
  </si>
  <si>
    <t>מפחיד: עשרות של מדוזות בים שליד קיסריה ושדות ים [רחבי הרשת][VOD🎥] - מגדלור  ניוז</t>
  </si>
  <si>
    <t>https://encrypted-tbn0.gstatic.com/images?q=tbn:ANd9GcR1iI9sWaxLRoR5yDKeqSgl8r715Y_hvzS5QDcKFLMMwn6vuRA&amp;s</t>
  </si>
  <si>
    <t>www.hashikma-batyam.co.il</t>
  </si>
  <si>
    <t>https://www.hashikma-batyam.co.il/news/14258/</t>
  </si>
  <si>
    <t>https://www.hashikma-batyam.co.il/wp-content/uploads/2019/07/057d8fa697381cb706672a9e9f375a3b.jpg</t>
  </si>
  <si>
    <t>צפו: המדוזות השתלטו על חופי בת ים - השקמה בת ים</t>
  </si>
  <si>
    <t>https://encrypted-tbn0.gstatic.com/images?q=tbn:ANd9GcRPPrhXCNcIwGMR-U8VGapSPkWJZf867dNkKw&amp;usqp=CAU</t>
  </si>
  <si>
    <t>https://www.vesty.co.il/articles/0,7340,L-5552590,00.html</t>
  </si>
  <si>
    <t>https://images1.ynet.co.il/PicServer5/2019/07/11/9358865/shutterstock_765959815.jpg</t>
  </si>
  <si>
    <t>Видео: крупная колония медуз приближается к северным пляжам Хайфы</t>
  </si>
  <si>
    <t>https://encrypted-tbn0.gstatic.com/images?q=tbn:ANd9GcRgAJSLGlZNYtIG7QHYmvU8H3sKrKGykMddXnGzjflVn2yIEK4&amp;s</t>
  </si>
  <si>
    <t>https://www.vesty.co.il/articles/0,7340,L-5548307,00.html</t>
  </si>
  <si>
    <t>https://images1.ynet.co.il/PicServer5/2019/07/11/9358866/shutterstock_771486457.jpg</t>
  </si>
  <si>
    <t>Предупреждение: у берегов Израиля новые медузы, не ...</t>
  </si>
  <si>
    <t>https://encrypted-tbn0.gstatic.com/images?q=tbn:ANd9GcQd0_enDKDJzrlAXPyZ2HiDofW11ugw0FD8egY9z9UEEmtJer1R&amp;s</t>
  </si>
  <si>
    <t>www.flickr.com</t>
  </si>
  <si>
    <t>https://www.flickr.com/photos/ivona_eli/48264957971</t>
  </si>
  <si>
    <t>herzelya</t>
  </si>
  <si>
    <t>https://live.staticflickr.com/65535/48264957971_daf152342c_b.jpg</t>
  </si>
  <si>
    <t>The Medusa Invasion | As seen in Herzliya, Israel | Ivona ...</t>
  </si>
  <si>
    <t>https://encrypted-tbn0.gstatic.com/images?q=tbn:ANd9GcT9t8Tk19WqmFgB_J49RnxaYtm3X08_3PaAMw&amp;usqp=CAU</t>
  </si>
  <si>
    <t>Jewish News</t>
  </si>
  <si>
    <t>https://www.jewishnews.co.uk/israeli-scientists-explain-why-tens-of-millions-of-jellyfish-seen-off-coast/</t>
  </si>
  <si>
    <t>https://static.jewishnews.co.uk/jewishnews/uploads/2019/07/U-Haifa-Marine-Sciences.jpg</t>
  </si>
  <si>
    <t>Israeli scientists explain why 'tens of millions' of jellyfish seen off coast | Jewish News</t>
  </si>
  <si>
    <t>https://encrypted-tbn0.gstatic.com/images?q=tbn:ANd9GcRIYU1J10War23xMwEr-OeqixMgFhPyKOF5wbqNCENS70bcXIHT&amp;s</t>
  </si>
  <si>
    <t>www.israel365news.com</t>
  </si>
  <si>
    <t>https://www.israel365news.com/331939/israeli-beaches-overrun-by-huge-swarms-of-jellyfish/</t>
  </si>
  <si>
    <t>https://www.israel365news.com/wp-content/uploads/2022/10/shutterstock_380895154-1.jpg</t>
  </si>
  <si>
    <t>Israeli Beaches Overrun by Huge Swarms of Jellyfish ...</t>
  </si>
  <si>
    <t>https://encrypted-tbn0.gstatic.com/images?q=tbn:ANd9GcTf5mX-les4sMEifsZo_aeiYLBsObM2TnB0iA&amp;usqp=CAU</t>
  </si>
  <si>
    <t>https://www.youtube.com/watch?v=h9u6HAt1leI</t>
  </si>
  <si>
    <t>https://i.ytimg.com/vi/h9u6HAt1leI/maxresdefault.jpg</t>
  </si>
  <si>
    <t>https://encrypted-tbn0.gstatic.com/images?q=tbn:ANd9GcTrxZWoWlL5iOml61UEoo2X-KKaYM5weRODIA&amp;usqp=CAU</t>
  </si>
  <si>
    <t>https://haipo.co.il/item/138783</t>
  </si>
  <si>
    <t>https://haipo.co.il/wp-content/uploads/2019/07/%D7%9E%D7%93%D7%95%D7%96%D7%94-2.jpeg</t>
  </si>
  <si>
    <t>מדוזות יש מעצמות - ומסיבות אחרות הם לא ראויים המוניטין הרע ...</t>
  </si>
  <si>
    <t>https://encrypted-tbn0.gstatic.com/images?q=tbn:ANd9GcQkmUr6razHQxZBBsrcQqc3XeTi1I-o_jxnZg&amp;usqp=CAU</t>
  </si>
  <si>
    <t>https://haipo.co.il/wp-content/uploads/2019/07/%D7%9E%D7%93%D7%95%D7%96%D7%94.jpeg</t>
  </si>
  <si>
    <t>https://serpapi.com/searches/637a3b77a5ad6d55c7dd6bef/images/5180850c0f0f6ef53854bafce9bcd10555493e6ecdcd3a23959d774db5141db2.jpeg</t>
  </si>
  <si>
    <t>https://haipo.co.il/wp-content/uploads/2019/07/%D7%9E%D7%93%D7%95%D7%96%D7%95%D7%AA.jpeg</t>
  </si>
  <si>
    <t>https://encrypted-tbn0.gstatic.com/images?q=tbn:ANd9GcQSWR0i_LGsEHPQFxKY8nYvU6LoDZ3biccMXQ&amp;usqp=CAU</t>
  </si>
  <si>
    <t>https://haipo.co.il/wp-content/uploads/2019/07/66649176_1104225169786812_1804594976873512960_n-1.jpg</t>
  </si>
  <si>
    <t>https://encrypted-tbn0.gstatic.com/images?q=tbn:ANd9GcQLelF2ujJAIMqqNX12LmpbK_gLXNTPDqusMA&amp;usqp=CAU</t>
  </si>
  <si>
    <t>https://haipo.co.il/wp-content/uploads/2019/07/image.jpg</t>
  </si>
  <si>
    <t>] יכול להיות מודל ריפוי עצמי ריפוי מדוזה דובי - המדעים 2022</t>
  </si>
  <si>
    <t>https://encrypted-tbn0.gstatic.com/images?q=tbn:ANd9GcS0KjaxZhAqqL1fTi4K1xRurovH3T6AP5hATg&amp;usqp=CAU</t>
  </si>
  <si>
    <t>https://www.mako.co.il/news-israel/health-q3_2019/Article-97c182aeee0fb61026.htm</t>
  </si>
  <si>
    <t>http://img.mako.co.il/2019/07/14/1136670_B.jpg</t>
  </si>
  <si>
    <t>N12 - תיעוד: מתקפת מדוזות על נמל אשדוד‎</t>
  </si>
  <si>
    <t>https://encrypted-tbn0.gstatic.com/images?q=tbn:ANd9GcQ4t2M-6Y8ExpVxK2RZpa_RfWPPciU5QIv29A2Qd_CBiRUddOM&amp;s</t>
  </si>
  <si>
    <t>www.kikar.co.il</t>
  </si>
  <si>
    <t>https://www.kikar.co.il/tags/%D7%A0%D7%9E%D7%9C%20%D7%90%D7%A9%D7%93%D7%95%D7%93</t>
  </si>
  <si>
    <t>https://s1.kikar.co.il/data/auto/nadm/fw/m701jgio.png</t>
  </si>
  <si>
    <t>נמל אשדוד - כיכר השבת</t>
  </si>
  <si>
    <t>https://serpapi.com/searches/637a2349f716eef683f2941a/images/6d27cb32fe6911bedf94915121a34ff1b6ee02626e407ce425e7cd74520169d5.jpeg</t>
  </si>
  <si>
    <t>https://www.kan-ashdod.co.il/ashdodim/66142</t>
  </si>
  <si>
    <t>https://www.kan-ashdod.co.il/wp-content/uploads/2019/07/e4e09c8a9dfc5675a33434f7b1396393-e1563116265196.jpg</t>
  </si>
  <si>
    <t>צפו: נחיל של מיליוני מדוזות סמוך לנמל אשדוד | כאן דרום - אשדוד</t>
  </si>
  <si>
    <t>https://serpapi.com/searches/637a2349f716eef683f2941a/images/6d27cb32fe6911be6cf8aff26e6f8df87b945b300ec779875b6d18b9c638ae5f.jpeg</t>
  </si>
  <si>
    <t>סרוגים</t>
  </si>
  <si>
    <t>https://www.srugim.co.il/356164-%D7%A6%D7%A4%D7%95-%D7%9E%D7%AA%D7%A7%D7%A4%D7%AA-%D7%A2%D7%A0%D7%A7-%D7%A9%D7%9C-%D7%9E%D7%93%D7%95%D7%96%D7%95%D7%AA-%D7%A2%D7%9C-%D7%A0%D7%9E%D7%9C-%D7%90%D7%A9%D7%93%D7%95%D7%93</t>
  </si>
  <si>
    <t>https://www.srugim.co.il/i/wp-content/uploads/2019/07/WhatsApp-Video-2019-07-14-at-20.13.00_thumb1__w600h400q80.jpg</t>
  </si>
  <si>
    <t>צפו: מתקפת ענק של מדוזות על נמל אשדוד - סרוגים</t>
  </si>
  <si>
    <t>https://serpapi.com/searches/637a2349f716eef683f2941a/images/6d27cb32fe6911be822e44a55e31820d62decb8e838e968d9d58449384f43fab.jpeg</t>
  </si>
  <si>
    <t>https://www.srugim.co.il/wp-content/uploads/2019/07/WhatsApp-Video-2019-07-14-at-20.13.00_thumb1.jpg</t>
  </si>
  <si>
    <t>https://encrypted-tbn0.gstatic.com/images?q=tbn:ANd9GcRdpBAEiIc_ZjBVl9_KU_sfpfXBt5cg7t5LQEts-h72WyHDNQv5&amp;s</t>
  </si>
  <si>
    <t>twitter.com</t>
  </si>
  <si>
    <t>https://twitter.com/bokeralmog/status/1150399204805763073?lang=fr</t>
  </si>
  <si>
    <t>https://pbs.twimg.com/ext_tw_video_thumb/1150399840351858689/pu/img/LfUG5T1yIgFFM118.jpg</t>
  </si>
  <si>
    <t>@bokeralmog's video Tweet</t>
  </si>
  <si>
    <t>https://encrypted-tbn0.gstatic.com/images?q=tbn:ANd9GcQMEVyzc4FqAL_hLc-33tEgcqb5kFx2Z9yBcQ&amp;usqp=CAU</t>
  </si>
  <si>
    <t>https://i.ytimg.com/vi/7pdSkhDjy0E/mqdefault.jpg</t>
  </si>
  <si>
    <t>המדוזות כבר כאן: נחיל גדול של מדוזות מגיע לישראל וגם לחופי קיסריה שדות ים  חוף הכרמל וחדרה (VOD ) - מגדלור ניוז</t>
  </si>
  <si>
    <t>https://encrypted-tbn0.gstatic.com/images?q=tbn:ANd9GcTELwLbTn2HEI-hbHoTuDgXgFTlTIojjheiQskzYUr6SoN6ens&amp;s</t>
  </si>
  <si>
    <t>https://www.0404.co.il/?p=459671</t>
  </si>
  <si>
    <t>https://www.0404.co.il/wp-content/uploads/2019/07/1E5F622F-6119-41C7-8115-3B8F6998E04D.jpeg</t>
  </si>
  <si>
    <t>מדוזה קטנטנה כזאת לא ראיתם מעולם! צפו בבייבי הסגולה שנפלטה ...</t>
  </si>
  <si>
    <t>https://encrypted-tbn0.gstatic.com/images?q=tbn:ANd9GcTEvztC4B3m2N965k8nWirrgh87JHRgTUMSmw&amp;usqp=CAU</t>
  </si>
  <si>
    <t>Backpack Israel</t>
  </si>
  <si>
    <t>https://backpackisrael.com/jellyfish-in-tel-aviv-when-and-how-to-deal-with-them/</t>
  </si>
  <si>
    <t>https://backpackisrael.com/wp-content/uploads/2019/07/jellyfish.jpg</t>
  </si>
  <si>
    <t>Jellyfish in Tel Aviv: When and How to Deal With Them - Backpack Israel</t>
  </si>
  <si>
    <t>https://encrypted-tbn0.gstatic.com/images?q=tbn:ANd9GcRGvuFxcQNdMQikhtj8mYo6_61W2ZetUL1A9Si6BTffS9eHdLf8&amp;s</t>
  </si>
  <si>
    <t>www.medyzi.ru</t>
  </si>
  <si>
    <t>http://www.medyzi.ru/sezon_meduz.php</t>
  </si>
  <si>
    <t>haifa, tel aviv</t>
  </si>
  <si>
    <t>http://www.medyzi.ru/images/sezon_meduz_clip_image001.jpg</t>
  </si>
  <si>
    <t>Сезон медуз у побережья Израиля закончился</t>
  </si>
  <si>
    <t>https://encrypted-tbn0.gstatic.com/images?q=tbn:ANd9GcTNGYTj2CLgUyMmNBxpexDOFM0gwyEDhpKOKA&amp;usqp=CAU</t>
  </si>
  <si>
    <t>https://rishon.mynet.co.il/local_news/article/m_393077</t>
  </si>
  <si>
    <t>https://rishon.mynet.co.il/picserver/mynet/wcm_upload/wcm_mynet_pic/2019/07/15/495853/495853.png</t>
  </si>
  <si>
    <t>מנהל אגף החופים בראשלצ: בגלל המדוזות מי שלא חייב להגיע לחוף - שיימנע</t>
  </si>
  <si>
    <t>https://serpapi.com/searches/638337d236e6a9e35d6b9242/images/11f1afed02345fcee1755f3f53e03fa798b4ab8bd27807b538dd04c88e6a5332.jpeg</t>
  </si>
  <si>
    <t>Israel Hayom</t>
  </si>
  <si>
    <t>https://www.israelhayom.com/2019/07/15/marine-biology-experts-unpack-israels-jellyfish-problem/</t>
  </si>
  <si>
    <t>https://www.israelhayom.com/wp-content/uploads/2019/07/jellyfish-yp-1024x570.jpg</t>
  </si>
  <si>
    <t>Marine biology experts unpack Israel's jellyfish problem - www.israelhayom.com</t>
  </si>
  <si>
    <t>https://encrypted-tbn0.gstatic.com/images?q=tbn:ANd9GcSypzyk1SKre99JNB8VvnNt1c60zQhX7X3FgPzULdPQAGufy6Hs&amp;s</t>
  </si>
  <si>
    <t>www.shutterstock.com</t>
  </si>
  <si>
    <t>https://www.shutterstock.com/search/jellyfish-israel?page=2</t>
  </si>
  <si>
    <t>nachshoilim</t>
  </si>
  <si>
    <t>https://image.shutterstock.com/image-photo/nachsholim-israel-15-july-2019-260nw-1453568135.jpg</t>
  </si>
  <si>
    <t>385 Jellyfish Israel Images Stock Photos &amp; Vectors ...</t>
  </si>
  <si>
    <t>https://encrypted-tbn0.gstatic.com/images?q=tbn:ANd9GcTSqdCdCB6ahngHbmx1b89nl-p0nDWCKIzyGA&amp;usqp=CAU</t>
  </si>
  <si>
    <t>Dreamstime.com</t>
  </si>
  <si>
    <t>https://www.dreamstime.com/dead-jellyfish-washed-up-beach-nchsholim-israel-nachsholim-july-along-shore-ruining-vacations-tourists-image153553750</t>
  </si>
  <si>
    <t>https://thumbs.dreamstime.com/z/dead-jellyfish-washed-up-beach-nchsholim-israel-nachsholim-july-along-shore-ruining-vacations-tourists-153553750.jpg</t>
  </si>
  <si>
    <t>Dead Jellyfish Washed Up on the Beach in Nchsholim Israel Editorial Image - Image of holiday waves: 153553750</t>
  </si>
  <si>
    <t>https://encrypted-tbn0.gstatic.com/images?q=tbn:ANd9GcQD-dH1T5zIxEbX6gWWX1h_iB2JiVoDIZAItw&amp;usqp=CAU</t>
  </si>
  <si>
    <t>VINnews</t>
  </si>
  <si>
    <t>https://vinnews.com/2019/07/15/jerusalem-a-stinging-issue-the-jellyfish-swarms-have-arrived-at-israels-beaches/</t>
  </si>
  <si>
    <t>http://www.vinnews.com/wp-content/uploads/2019/07/ibl-1020x510-28.png</t>
  </si>
  <si>
    <t>Jerusalem - A Stinging Issue: The Jellyfish Swarms Have Arrived At Israel's Beaches - VINnews</t>
  </si>
  <si>
    <t>https://encrypted-tbn0.gstatic.com/images?q=tbn:ANd9GcT9buDn5w51SbIRMF72SgLXeu_sLjSmDxR66JHBZ25KssTpJ8pL&amp;s</t>
  </si>
  <si>
    <t>ru.dreamstime.com</t>
  </si>
  <si>
    <t>https://ru.dreamstime.com/%D0%BC%D0%B5%D1%80%D1%82%D0%B2%D1%8B%D0%B5-%D0%BC%D0%B5%D0%B4%D1%83%D0%B7%D1%8B-%D0%BF%D0%BE%D0%BC%D1%8B%D0%BB%D0%B8-%D0%B2%D0%B2%D0%B5%D1%80%D1%85-%D0%BD%D0%B0-%D0%BF%D0%BB%D1%8F%D0%B6%D0%B5-%D0%B2-nchsholim-%D0%B8%D0%B7%D1%80%D0%B0%D0%B8%D0%BB%D0%B5-nachsholim-%D0%B8%D0%B7%D1%80%D0%B0%D0%B8%D0%BB%D1%8C-%D0%BE%D0%B5-image153553750</t>
  </si>
  <si>
    <t>nachsholim</t>
  </si>
  <si>
    <t>https://thumbs.dreamstime.com/b/%D0%BC%D0%B5%D1%80%D1%82%D0%B2%D1%8B%D0%B5-%D0%BC%D0%B5%D0%B4%D1%83%D0%B7%D1%8B-%D0%BF%D0%BE%D0%BC%D1%8B%D0%BB%D0%B8-%D0%B2%D0%B2%D0%B5%D1%80%D1%85-%D0%BD%D0%B0-%D0%BF%D0%BB%D1%8F%D0%B6%D0%B5-%D0%B2-nchsholim-%D0%B8%D0%B7%D1%80%D0%B0%D0%B8%D0%BB%D0%B5-nachsholim-%D0%B8%D0%B7%D1%80%D0%B0%D0%B8%D0%BB%D1%8C-%D0%BE%D0%B5-153553756.jpg</t>
  </si>
  <si>
    <t>Мертвые медузы помыли вверх на пляже в Nchsholim, Израиле ...</t>
  </si>
  <si>
    <t>https://encrypted-tbn0.gstatic.com/images?q=tbn:ANd9GcQ-xjFikbukpCZyH7CohCYuhq7KKgGvXP-tyTuX0dvXpBj2iNvM&amp;s</t>
  </si>
  <si>
    <t>nash-israel.com</t>
  </si>
  <si>
    <t>https://nash-israel.com/news/ogromnoe-kolichestvo-meduz-atakovalo-port-ashdod</t>
  </si>
  <si>
    <t>http://nash-israel.com/storage/upload/news/big/666c715c3bf24920de9a2a334289ea54.jpg</t>
  </si>
  <si>
    <t>ᐈ Огромное количество медуз атаковало порт Ашдод (видео)</t>
  </si>
  <si>
    <t>https://encrypted-tbn0.gstatic.com/images?q=tbn:ANd9GcTqfAt3YxW5jedclZEQUfttu_fB5oxCPHMAI1JF_1dUciSsRss&amp;s</t>
  </si>
  <si>
    <t>https://ru.dreamstime.com/%D0%BC%D0%B5%D1%80%D1%82%D0%B2%D1%8B%D0%B5-%D0%BC%D0%B5%D0%B4%D1%83%D0%B7%D1%8B-%D0%BF%D0%BE%D0%BC%D1%8B%D0%BB%D0%B8-%D0%B2%D0%B2%D0%B5%D1%80%D1%85-%D0%BD%D0%B0-%D0%BF%D0%BB%D1%8F%D0%B6%D0%B5-%D0%B2-nchsholim-%D0%B8%D0%B7%D1%80%D0%B0%D0%B8%D0%BB%D0%B5-nachsholim-%D0%B8%D0%B7%D1%80%D0%B0%D0%B8%D0%BB%D1%8C-%D0%BE%D0%B5-image153553847</t>
  </si>
  <si>
    <t>https://thumbs.dreamstime.com/z/%D0%BC%D0%B5%D1%80%D1%82%D0%B2%D1%8B%D0%B5-%D0%BC%D0%B5%D0%B4%D1%83%D0%B7%D1%8B-%D0%BF%D0%BE%D0%BC%D1%8B%D0%BB%D0%B8-%D0%B2%D0%B2%D0%B5%D1%80%D1%85-%D0%BD%D0%B0-%D0%BF%D0%BB%D1%8F%D0%B6%D0%B5-%D0%B2-nchsholim-%D0%B8%D0%B7%D1%80%D0%B0%D0%B8%D0%BB%D0%B5-nachsholim-%D0%B8%D0%B7%D1%80%D0%B0%D0%B8%D0%BB%D1%8C-%D0%BE%D0%B5-153553847.jpg</t>
  </si>
  <si>
    <t>Мертвые медузы помыли вверх на пляже в Nchsholim ...</t>
  </si>
  <si>
    <t>https://serpapi.com/searches/637a2349f716eef683f2941a/images/6d27cb32fe6911be822e44a55e31820d3c2af17f53f8fa67ffc3fe1c63b9481a.jpeg</t>
  </si>
  <si>
    <t>https://www.migdalor-news.co.il/wp-content/uploads/2019/07/016-%D7%9E%D7%93%D7%95%D7%96%D7%95%D7%AA-%D7%9C%D7%99%D7%93-%D7%A7%D7%99%D7%A1%D7%A8%D7%99%D7%94-%D7%95%D7%A9%D7%93%D7%95%D7%AA-%D7%99%D7%9D-%D7%A6%D7%99%D7%9C%D7%95%D7%9D-%D7%9E%D7%A1%D7%9A.jpg</t>
  </si>
  <si>
    <t>https://encrypted-tbn0.gstatic.com/images?q=tbn:ANd9GcRib8ZDeH-C13-IPd-bLCkkXY0zkkq__-y7X8vxnyXi8Hxhr3s&amp;s</t>
  </si>
  <si>
    <t>kratko-news.com</t>
  </si>
  <si>
    <t>https://kratko-news.com/2019/07/16/v-izraile-nashestvie-meduz-video/</t>
  </si>
  <si>
    <t>https://kratko-news.com/wp-content/uploads/2019/07/%D0%BC%D0%B5%D0%B4%D1%83%D0%B7%D1%8B-700x428.jpg</t>
  </si>
  <si>
    <t>В Израиле нашествие медуз (ВИДЕО) | Краткие новости</t>
  </si>
  <si>
    <t>https://encrypted-tbn0.gstatic.com/images?q=tbn:ANd9GcRacMPAtFhP9WlRdsjMSOqvMDw-PiFFG_6CKw&amp;usqp=CAU</t>
  </si>
  <si>
    <t>https://www.ynet.co.il/articles/07340L-555248500.html</t>
  </si>
  <si>
    <t>https://images1.ynet.co.il/PicServer5/2019/07/17/9369963/tap.jpg</t>
  </si>
  <si>
    <t>צפו: נחיל מדוזות בדרך לחופי הקריות</t>
  </si>
  <si>
    <t>https://encrypted-tbn0.gstatic.com/images?q=tbn:ANd9GcS0NHouwuPTYhsKU7pM6yEKLDQaKJJSw5cKoA&amp;usqp=CAU</t>
  </si>
  <si>
    <t>https://www.ynet.co.il/PicServer5/2019/07/17/9370062/9370060072066640360no.jpg</t>
  </si>
  <si>
    <t>https://encrypted-tbn0.gstatic.com/images?q=tbn:ANd9GcSpIWvnOzg__-j2puByA-2BY23g9p2s4iZAkRdtxkIOQdm9wjg&amp;s</t>
  </si>
  <si>
    <t>https://www.zavit.org.il/%D7%9E%D7%93%D7%95%D7%96%D7%95%D7%AA-%D7%93%D7%A2-%D7%90%D7%AA-%D7%94%D7%A6%D7%95%D7%A8%D7%91/</t>
  </si>
  <si>
    <t>https://www.zavit.org.il/wp-content/uploads/2019/07/sophie-coonen-unsplash-1.jpg</t>
  </si>
  <si>
    <t>מדוזות: דע את הצורב | זווית</t>
  </si>
  <si>
    <t>https://encrypted-tbn0.gstatic.com/images?q=tbn:ANd9GcQctI4jorbb8zjVH5XZm_ap9yaeATEnk1ssd8RNjQHVynL4m9YM&amp;s</t>
  </si>
  <si>
    <t>fotokto.ru</t>
  </si>
  <si>
    <t>http://fotokto.ru/photo/view/6248821.html</t>
  </si>
  <si>
    <t>http://s1.fotokto.ru/photo/full/624/6248821.jpg</t>
  </si>
  <si>
    <t>Гигантские скопления медуз движутся к побережью Израиля(из ...</t>
  </si>
  <si>
    <t>https://encrypted-tbn0.gstatic.com/images?q=tbn:ANd9GcTbgvvDCsp5JUnmSJ0rjmLvo240SGHEx-1m_A&amp;usqp=CAU</t>
  </si>
  <si>
    <t>النجاح الإخباري</t>
  </si>
  <si>
    <t>https://nn.najah.edu/news/Report-1/2019/07/20/245961/</t>
  </si>
  <si>
    <t>https://assets.nn.najah.edu/CACHE/images/uploads/weblog/2019/07/19/bfa8705402fbb06bbb407605129a39c7/4945f1dff40063dd04d6b25c60a69c8d.jpg</t>
  </si>
  <si>
    <t>على شواطئ غزة .. قناديل بيضاء لزجة تعكر صفو المصطافين</t>
  </si>
  <si>
    <t>https://encrypted-tbn0.gstatic.com/images?q=tbn:ANd9GcTQDnVJJDK2EURffQ7tPKKcUxase0Aq946fVg&amp;usqp=CAU</t>
  </si>
  <si>
    <t>https://www.israel.agrisupportonline.com/news/csv/csvread.pl?show=7533&amp;mytemplate=tp2</t>
  </si>
  <si>
    <t>https://www.israel.agrisupportonline.com/news/csv/pics/7533-2.jpg</t>
  </si>
  <si>
    <t>530</t>
  </si>
  <si>
    <t>https://encrypted-tbn0.gstatic.com/images?q=tbn:ANd9GcSsu5oTd74G5iPmWgEDMbXVLISgYib3BpV0ZD4MFdRiE72jCaM&amp;s</t>
  </si>
  <si>
    <t>hy.health.gov.il</t>
  </si>
  <si>
    <t>https://hy.health.gov.il/?CategoryID=25&amp;ArticleID=7429</t>
  </si>
  <si>
    <t>https://hy.health.gov.il/_uploads/extraimg/jellyfish.jpg</t>
  </si>
  <si>
    <t>זהירות - מדוזה לפניך!</t>
  </si>
  <si>
    <t>https://encrypted-tbn0.gstatic.com/images?q=tbn:ANd9GcR7JuoHUvDE5BdAk5VrqbB5WUpsG9_7bNon06jbIBn8xRZ4OC8&amp;s</t>
  </si>
  <si>
    <t>novosti.kg</t>
  </si>
  <si>
    <t>https://novosti.kg/2019/07/meduzy-sorvali-kupalnyj-sezon-v-izraile/</t>
  </si>
  <si>
    <t>http://novosti.kg/wp-content/uploads/2019/07/j-160.jpeg</t>
  </si>
  <si>
    <t>Медузы сорвали купальный сезон в Израиле | Новости.кг</t>
  </si>
  <si>
    <t>https://encrypted-tbn0.gstatic.com/images?q=tbn:ANd9GcTw-hMZpjgUkoPBFyWOTKMmDzei9qXB_jw9CQ&amp;usqp=CAU</t>
  </si>
  <si>
    <t>https://hy.health.gov.il/?CategoryID=1511&amp;ArticleID=7430</t>
  </si>
  <si>
    <t>https://hy.health.gov.il/_uploads/extraimg/jellyfish(1).jpg</t>
  </si>
  <si>
    <t>إحذر – قنديل البحر أمامك!</t>
  </si>
  <si>
    <t>https://encrypted-tbn0.gstatic.com/images?q=tbn:ANd9GcT9InCie6CMA8KC1fyef9QGE3nciqx02vsFfA&amp;usqp=CAU</t>
  </si>
  <si>
    <t>A letter from Israel</t>
  </si>
  <si>
    <t>https://www.aletterfromisrael.com/2019/07/the-time-of-jellyfish.html</t>
  </si>
  <si>
    <t>https://1.bp.blogspot.com/-BpWTQMTGc40/XTv_6D2uYQI/AAAAAAAAA8g/VaMoB4UFS2YqNgIB0hAvawIxnSGbEdNUACLcBGAs/s1600/PikiWiki_Israel_44497_Jellyfish.jpg</t>
  </si>
  <si>
    <t>The time of the jellyfish</t>
  </si>
  <si>
    <t>https://encrypted-tbn0.gstatic.com/images?q=tbn:ANd9GcTBVoJS1IeOagZIE2CptW5m72qOoeFxAx2jKjbzEms0KUk4G3Bv&amp;s</t>
  </si>
  <si>
    <t>https://www.newsru.co.il/israel/27jul2019/meduzot816.html</t>
  </si>
  <si>
    <t>https://images.newsru.co.il/l/131/0/1310079.jpg</t>
  </si>
  <si>
    <t>Вдоль всего побережья Израиля сохраняется высокая ...</t>
  </si>
  <si>
    <t>https://encrypted-tbn0.gstatic.com/images?q=tbn:ANd9GcTUTft5fjDgnYCMoT8wC13XZ11Lue6kCBYjbHvJdBFIheLLmbcA&amp;s</t>
  </si>
  <si>
    <t>paltoday.ps</t>
  </si>
  <si>
    <t>https://paltoday.ps/ar/post/354197/%D8%AE%D9%84%D8%A7%D9%84-10-%D8%A3%D9%8A%D8%A7%D9%85-%D8%A7%D9%84%D9%82%D9%86%D8%A7%D8%AF%D9%8A%D9%84-%D8%AA%D8%AE%D8%AA%D9%81%D9%8A-%D9%85%D9%86-%D9%85%D9%8A%D8%A7%D9%87-%D8%A7%D9%84%D8%A8%D8%AD%D8%B1</t>
  </si>
  <si>
    <t/>
  </si>
  <si>
    <t>https://cdn04.paltoday.ps/ar/uploads/images/ZMOBi.jpg</t>
  </si>
  <si>
    <t>خلال 10 أيام.. القناديل تختفي من مياه البحر | فلسطين اليوم</t>
  </si>
  <si>
    <t>https://encrypted-tbn0.gstatic.com/images?q=tbn:ANd9GcRkOlc--zfkxGAhZqZByAi8IjDrZvNajXkKyMz7h0A89JUF1_wg&amp;s</t>
  </si>
  <si>
    <t>http://www.strana.co.il/News/?ID=110815&amp;cat=3</t>
  </si>
  <si>
    <t>http://www.strana.co.il/XXXcicuilkjvkhasjkasihdchakbchQQkjcvlkhzvhzlhasdfWWW/650x488/1872019233422182.jpg</t>
  </si>
  <si>
    <t>Концентрация медуз вдоль побережья Израиля постепенно снижается</t>
  </si>
  <si>
    <t>https://encrypted-tbn0.gstatic.com/images?q=tbn:ANd9GcSHtQ2tDc5hGc_979qqRrKRh6sl1RoNfq00x8Q03UfWSwlV_oyW&amp;s</t>
  </si>
  <si>
    <t>https://www.newsru.co.il/israel/02aug2019/meduzot_102.html</t>
  </si>
  <si>
    <t>natanya-nahariya</t>
  </si>
  <si>
    <t>https://images.newsru.co.il/m/131/21/1312167.jpg</t>
  </si>
  <si>
    <t>Завершается сезон медуз около средиземноморского побережья ...</t>
  </si>
  <si>
    <t>https://serpapi.com/searches/638337d236e6a9e35d6b9242/images/11f1afed02345fce84ffc98f43674c134620b72b94d98291ec8c0175bc865795.jpeg</t>
  </si>
  <si>
    <t>https://www.haaretz.com/israel-news/2019-08-03/ty-article/.premium/jellyfish-leave-israels-beaches-but-something-was-unusual-about-this-years-swarm/0000017f-e0fe-d9aa-afff-f9fe7ed40000</t>
  </si>
  <si>
    <t>https://img.haarets.co.il/bs/0000017f-e0fe-d9aa-afff-f9fe7cb50000/a4/09/2d0e5e17a69117ec4f5f31a74fcd/1325269449.jpg?precrop=18521077x43y148&amp;height=698&amp;width=1200</t>
  </si>
  <si>
    <t>Jellyfish Finally Leave Israel's Beaches but There Was Something Unusual About This Summer's Swarm - Israel News - Haaretz.com</t>
  </si>
  <si>
    <t>https://encrypted-tbn0.gstatic.com/images?q=tbn:ANd9GcSbriNvobSSU_Lv7unqnG9cKnp2wjXMAIzLgQ&amp;usqp=CAU</t>
  </si>
  <si>
    <t>https://www.haaretz.co.il/nature/2019-08-03/ty-article/0000017f-e140-d7b2-a77f-e3474e1b0000</t>
  </si>
  <si>
    <t>https://img.haarets.co.il/bs/0000017f-e140-d7b2-a77f-e34745eb0000/c6/3f/fda901382821b6656e5f4c9eb7bd/2784510626.jpg?precrop=14691468x367y0</t>
  </si>
  <si>
    <t>הנחיל עבר: המדוזות הנפוצות בישראל עזבו אך הפעם הן גם הביאו חברות - סביבה  ואקלים - הארץ</t>
  </si>
  <si>
    <t>https://encrypted-tbn0.gstatic.com/images?q=tbn:ANd9GcQCXaL0TXL7HqYNkU2VfD24MG-HHyW8kWuwTdfEqaLzwF_lM-8&amp;s</t>
  </si>
  <si>
    <t>azertag.az</t>
  </si>
  <si>
    <t>https://azertag.az/ru/xeber/Na_plyazhah_Izrailya_skopilis_desyatki_millionov_meduz_opasnyh_dlya_cheloveka-1303600</t>
  </si>
  <si>
    <t>https://azertag.az/files/2019/2/1200x630/1562572908864313185_1200x630.jpg</t>
  </si>
  <si>
    <t>На пляжах Израиля скопились десятки миллионов медуз, опасных ...</t>
  </si>
  <si>
    <t>https://encrypted-tbn0.gstatic.com/images?q=tbn:ANd9GcTjyEids5TEgMf2r9nMOO58FU3K56E-BDPi2b6gi5wVgxqPEuY&amp;s</t>
  </si>
  <si>
    <t>www.israeltoday.co.il</t>
  </si>
  <si>
    <t>https://www.israeltoday.co.il/read/invasion-of-the-medusa-finally-ends/</t>
  </si>
  <si>
    <t>https://www.israeltoday.co.il/wp-content/uploads/2019/08/F100630EI03Edi-IsraelFlash90-1.jpg</t>
  </si>
  <si>
    <t>Invasion of the Medusa Finally Ends - Israel Today</t>
  </si>
  <si>
    <t>https://encrypted-tbn0.gstatic.com/images?q=tbn:ANd9GcTsuCg3l811WLuNvduUnSEamEq4ZIlsaYy_OQ&amp;usqp=CAU</t>
  </si>
  <si>
    <t>https://m.facebook.com/alkhumsdivers/photos/%D9%82%D9%86%D8%AF%D9%8A%D9%84-%D8%A7%D9%84%D8%A8%D8%AD%D8%B1-%D8%A8%D8%A7%D9%84%D8%A5%D9%86%D8%AC%D9%84%D9%8A%D8%B2%D9%8A%D8%A9-jellyfish-%D9%87%D9%88%D8%AD%D9%8A%D9%88%D8%A7%D9%86-%D8%A8%D8%AD%D8%B1%D9%8A-%D9%85%D9%86-%D8%A7%D9%84%D8%B1%D8%AE%D9%88%D9%8A%D8%A7%D8%AA-%D9%8A%D8%B5%D9%86%D9%81-%D9%81%D9%8A-%D8%B4%D8%B9%D8%A8%D8%A9-%D8%A7%D9%84%D9%84%D8%A7%D8%B3%D8%B9%D8%A7%D8%AA/1266440223525670/</t>
  </si>
  <si>
    <t>https://lookaside.fbsbx.com/lookaside/crawler/media/?media_id=1266440223525670</t>
  </si>
  <si>
    <t>Alkhums Divers غطاسين الخمس - قنديل البحر ( بالإنجليزية : jellyfish ) / هوحيوان بحري من الرخويات يصنف في شعبة اللاسعات شكله عبارة عن قرص شفاف ، قوامه هلامي وله أطراف طويلة</t>
  </si>
  <si>
    <t>https://encrypted-tbn0.gstatic.com/images?q=tbn:ANd9GcRFw7sTL94owHxPsgr9wdezBU5KGE-UUnhj0w&amp;usqp=CAU</t>
  </si>
  <si>
    <t>Noticias de Israel</t>
  </si>
  <si>
    <t>https://israelnoticias.com/tecnologia/invasion-medusas-israel-termina/</t>
  </si>
  <si>
    <t>https://israelnoticias.com/wp-content/uploads/2019/07/medisas.jpg</t>
  </si>
  <si>
    <t>Invasión de medusas en las playas de Israel finalmente termina</t>
  </si>
  <si>
    <t>https://encrypted-tbn0.gstatic.com/images?q=tbn:ANd9GcSE--RW9J0sQKCRyLjtz18fMPJBu91Xhrty-w&amp;usqp=CAU</t>
  </si>
  <si>
    <t>https://www.tripadvisor.co.il/ShowUserReviews-g297759-d11914538-r700772976-Alexander_Stream_Hof_Bet_Yanai_National_Park-Netanya_Central_District.html</t>
  </si>
  <si>
    <t>https://media-cdn.tripadvisor.com/media/photo-s/0f/a8/25/50/img-20170623-145114-largejpg.jpg</t>
  </si>
  <si>
    <t>https://encrypted-tbn0.gstatic.com/images?q=tbn:ANd9GcTEHCutJF_wYiPnfcsrHW007taRjoKPciKhb7qE5UykyQhNES4X&amp;s</t>
  </si>
  <si>
    <t>https://www.newsru.co.il/israel/21dec2019/meduzot_101.html</t>
  </si>
  <si>
    <t>https://images.newsru.co.il/m/138/24/1382451.jpg</t>
  </si>
  <si>
    <t>Зимнее нашествие медуз около средиземноморского побережья ...</t>
  </si>
  <si>
    <t>https://serpapi.com/searches/6381cff134ff95ef5e85db0a/images/8c309ba9c53ee7f8a0631d5f975cf4dd5a52c208f11e1baec49cec18c652ea15.jpeg</t>
  </si>
  <si>
    <t>https://www.mako.co.il/hix-nature/Article-fd731b9ae033f61026.htm</t>
  </si>
  <si>
    <t>https://img.mako.co.il/2019/07/04/1131583_I.jpg</t>
  </si>
  <si>
    <t>אימה בחוף הים: אנו בעיצומה של מתקפת מדוזות</t>
  </si>
  <si>
    <t>https://serpapi.com/searches/637a446e8ccee01a43a050f8/images/a694e05bbaa764f09b8d5f2543be562c6b04662188c9e1e7dfffdb74e13f19fb.jpeg</t>
  </si>
  <si>
    <t>https://www.ynet.co.il/articles/07340L-566528400.html</t>
  </si>
  <si>
    <t>https://www.ynet.co.il/PicServer5/2020/01/23/9740746/974073101000100980734no.jpg</t>
  </si>
  <si>
    <t>לא רק בקיץ: גשם של מדוזות בחורף</t>
  </si>
  <si>
    <t>https://encrypted-tbn0.gstatic.com/images?q=tbn:ANd9GcRYB56SxvkyZDAGBy8G23wv6IKPpVNogfRwFA&amp;usqp=CAU</t>
  </si>
  <si>
    <t>https://www.vesty.co.il/articles/0,7340,L-5665646,00.html</t>
  </si>
  <si>
    <t>https://www.vesty.co.il/PicServer5/2020/01/23/9740746/974073101000100980734no.jpg</t>
  </si>
  <si>
    <t>Редкое явление: гигантские медузы приплыли к берегам Израиля среди зимы</t>
  </si>
  <si>
    <t>https://encrypted-tbn0.gstatic.com/images?q=tbn:ANd9GcTdCigm-ZhuTM4Vqxh3aDO75prUHTlB2jU5GBkvxPO4CyoenxA&amp;s</t>
  </si>
  <si>
    <t>https://www.youtube.com/watch?v=4rzOv-cRkYM</t>
  </si>
  <si>
    <t>https://i.ytimg.com/vi/4rzOv-cRkYM/maxresdefault.jpg</t>
  </si>
  <si>
    <t>המדוזות של החורף</t>
  </si>
  <si>
    <t>https://encrypted-tbn0.gstatic.com/images?q=tbn:ANd9GcR9NZa3tgQsKhLmnYp6l0LZeBzsaE8UAI79DA&amp;usqp=CAU</t>
  </si>
  <si>
    <t>מים נט</t>
  </si>
  <si>
    <t>https://www.maimnet.co.il/%D7%94%D7%9E%D7%93%D7%95%D7%96%D7%95%D7%AA-%D7%A9%D7%9C-%D7%94%D7%97%D7%95%D7%A8%D7%A3-%D7%9B%D7%91%D7%A8-%D7%A0%D7%9E%D7%A6%D7%90%D7%95%D7%AA-%D7%91%D7%94%D7%9E%D7%95%D7%A0%D7%99%D7%94%D7%9F-%D7%91/</t>
  </si>
  <si>
    <t>https://www.maimnet.co.il/wp-content/uploads/2020/01/david-torres-OIl9uwiy10Q-unsplash.jpg</t>
  </si>
  <si>
    <t>המדוזות של החורף כבר נמצאות בהמוניהן בחופי ישראל, - מים נט</t>
  </si>
  <si>
    <t>270</t>
  </si>
  <si>
    <t>https://encrypted-tbn0.gstatic.com/images?q=tbn:ANd9GcSaQv9qk0cQy0CCpNzfbKYSsdcqKncMFKs4PhUka1qhjSSffYs&amp;s</t>
  </si>
  <si>
    <t>https://www.medpeople.org.il/%D7%92%D7%A9%D7%9D-%D7%A9%D7%9C-%D7%9E%D7%93%D7%95%D7%96%D7%95%D7%AA/</t>
  </si>
  <si>
    <t>https://www.medpeople.org.il/wp-content/uploads/2020/01/%D7%97%D7%95%D7%98%D7%99%D7%AA-%D7%A0%D7%95%D7%93%D7%93%D7%AA-%D7%90%D7%99%D7%9C%D7%9F-%D7%90%D7%9C%D7%92%D7%91%D7%A8%D7%9C%D7%99._Easy-Resize.com_.jpg</t>
  </si>
  <si>
    <t>גשם של מדוזות - אנשי הים התיכון</t>
  </si>
  <si>
    <t>123</t>
  </si>
  <si>
    <t>https://encrypted-tbn0.gstatic.com/images?q=tbn:ANd9GcRGOnFIDqzVb6AMspSiaQ7IzKUbDSlfZ0YiDatl335u_iyNAgjp&amp;s</t>
  </si>
  <si>
    <t>www.srugim.co.il</t>
  </si>
  <si>
    <t>https://www.srugim.co.il/i/wp-content/uploads/2019/07/shutterstock_175261124__w650h331q80.jpg</t>
  </si>
  <si>
    <t>https://www.srugim.co.il/i/wp-content/uploads/2020/05/%D7%9E%D7%93%D7%95%D7%96%D7%95%D7%AA-1__w1200h350q80.png</t>
  </si>
  <si>
    <t>מדהים! המדוזות האלה הם לא מה שאתם חושבים - סרוגים</t>
  </si>
  <si>
    <t>83</t>
  </si>
  <si>
    <t>https://encrypted-tbn0.gstatic.com/images?q=tbn:ANd9GcT6I-LrQLLAEq3nDf-NRBEY9Hpb1E-PUoZDRw&amp;usqp=CAU</t>
  </si>
  <si>
    <t>אנשי הים התיכון</t>
  </si>
  <si>
    <t>https://www.medpeople.org.il/%D7%94%D7%A7%D7%A8%D7%91-%D7%94%D7%9B%D7%9E%D7%A2%D7%98-%D7%90%D7%91%D7%95%D7%93-%D7%A0%D7%92%D7%93-%D7%9E%D7%93%D7%95%D7%96%D7%95%D7%AA/</t>
  </si>
  <si>
    <t>https://www.medpeople.org.il/wp-content/uploads/2020/05/95136397_887680721705802_3972899904770015232_o_Easy-Resize.com_.jpg</t>
  </si>
  <si>
    <t>הקרב הכמעט אבוד נגד מדוזות - אנשי הים התיכון</t>
  </si>
  <si>
    <t>https://serpapi.com/searches/637a2349f716eef683f2941a/images/6d27cb32fe6911be822e44a55e31820d779fe0901407cf7db989f570a5536495.jpeg</t>
  </si>
  <si>
    <t>https://ashdodnet.com/%D7%97%D7%93%D7%A9%D7%95%D7%AA-%D7%90%D7%A9%D7%93%D7%95%D7%93/%D7%A6%D7%A4%D7%95-%D7%90%D7%9C%D7%A4%D7%99-%D7%9E%D7%93%D7%95%D7%96%D7%95%D7%AA-%D7%91%D7%A0%D7%9E%D7%9C-%D7%90%D7%A9%D7%93%D7%95%D7%93-443723</t>
  </si>
  <si>
    <t>https://ashdodnet.com/dyncontent/2020/5/28/340d2cba-b5d2-4c7a-ba19-14861c62a2ae.jpg</t>
  </si>
  <si>
    <t>צפו: אלפי מדוזות בנמל אשדוד - אשדוד נט</t>
  </si>
  <si>
    <t>https://mignews.com/news/280520_124242_15710.html</t>
  </si>
  <si>
    <t>https://encrypted-tbn0.gstatic.com/images?q=tbn:ANd9GcSMONiNY_B4nccOSroXeBL6ybSE6ZCiSDz-kQ&amp;usqp=CAU</t>
  </si>
  <si>
    <t>https://nash-israel.com/news/poberezhe-izrailja-zapolonili-meduzy-s-kakimi-vidami-luchshe-ne-vstrechatsja</t>
  </si>
  <si>
    <t>http://nash-israel.com/Media/files/filemanager/07.01.2017/Opera%20%D0%A1%D0%BD%D0%B8%D0%BC%D0%BE%D0%BA_2020-06-03_180226_www.adme.ru.png</t>
  </si>
  <si>
    <t>ᐈ Побережье Израиля заполонили медузы. С какими видами лучше не встречаться?</t>
  </si>
  <si>
    <t>our-israel.com</t>
  </si>
  <si>
    <t>https://encrypted-tbn0.gstatic.com/images?q=tbn:ANd9GcQamqj1qCChEkmOjBOB112_8I8tbbB9fxLPtlFTkYi2gtdclicH&amp;s</t>
  </si>
  <si>
    <t>isralove.org</t>
  </si>
  <si>
    <t>https://isralove.org/news/2020-06-06-293</t>
  </si>
  <si>
    <t>https://isralove.org/_nw/2/96668790.jpg</t>
  </si>
  <si>
    <t>Увеличивается концентрация медуз около берегов Средиземного ...</t>
  </si>
  <si>
    <t>IsraLove</t>
  </si>
  <si>
    <t>https://encrypted-tbn0.gstatic.com/images?q=tbn:ANd9GcR0GU46QhCmAXeS_hoCx_mdCjUI7fAsVLRGyqK36LFgKrvBzPT_&amp;s</t>
  </si>
  <si>
    <t>bynews.co.il</t>
  </si>
  <si>
    <t>https://bynews.co.il/%D7%94%D7%AA%D7%A7%D7%A4%D7%AA-%D7%9E%D7%93%D7%95%D7%96%D7%95%D7%AA-%D7%9B%D7%97%D7%95%D7%9C%D7%95%D7%AA-%D7%91%D7%97%D7%95%D7%A4%D7%99-%D7%91%D7%AA-%D7%99%D7%9D/</t>
  </si>
  <si>
    <t>https://bynews.co.il/wp-content/uploads/2020/06/WhatsApp-Image-2020-06-07-at-20.38.48-2-225x300.jpeg</t>
  </si>
  <si>
    <t>התקפת מדוזות כחולות בחופי בת ים - בתימי- חדשות בת ים</t>
  </si>
  <si>
    <t>https://encrypted-tbn0.gstatic.com/images?q=tbn:ANd9GcSmrJNpobXlkyc9IJ1QqOCKlM2UY53gv7BIog&amp;usqp=CAU</t>
  </si>
  <si>
    <t>https://www.maariv.co.il/news/israel/Article-769793</t>
  </si>
  <si>
    <t>https://images.maariv.co.il/image/upload/f_autofl_lossy/c_fillg_faces:centerh_380w_500/577618</t>
  </si>
  <si>
    <t>https://encrypted-tbn0.gstatic.com/images?q=tbn:ANd9GcSs3T33Tw1Z4uktfmT9bCE51jhb8U1eZTje8g&amp;usqp=CAU</t>
  </si>
  <si>
    <t>https://ynet-images1.yit.co.il/picserver5/crop_images/2020/06/28/10063156/10063156_0_0_1280_853_0_x-large.jpg</t>
  </si>
  <si>
    <t>https://encrypted-tbn0.gstatic.com/images?q=tbn:ANd9GcQ6ck9VBGLDXvkgKVKtaqmuuY0oKF56iHkz8pcEvuw5JWgOFTg&amp;s</t>
  </si>
  <si>
    <t>www.israelhayom.com</t>
  </si>
  <si>
    <t>https://www.israelhayom.com/2020/06/17/israels-beaches-are-open-just-in-time-for-jellyfish-season/</t>
  </si>
  <si>
    <t>https://www.israelhayom.com/wp-content/uploads/2020/06/80387__T4A2604_2019-07-04.t5d1e114c.m800.xrJa6yvbu-300x300.jpg</t>
  </si>
  <si>
    <t>Israel's beaches are open just in time for jellyfish season ...</t>
  </si>
  <si>
    <t>https://encrypted-tbn0.gstatic.com/images?q=tbn:ANd9GcT7OrTgfiMv1jaKNpAeKbCVvbIOGUsAASQMnPyyz1e9N9ovt-pA&amp;s</t>
  </si>
  <si>
    <t>www.hamal.co.il</t>
  </si>
  <si>
    <t>https://www.hamal.co.il/post/-MABQAJC3gXXKYn-IYIn</t>
  </si>
  <si>
    <t>https://hamal.wcdn.co.il/v0/b/walla-hamal.appspot.com/o/ZcpVYATItGeGGXQGb22iYg9Gvek2%2Fimages%2Fthumb%2F1592564068053?alt=media&amp;token=bfdc93c0-8a60-44fc-ac7e-c002fc038108</t>
  </si>
  <si>
    <t>עונת המדוזות החלה - מדוזה נסחפה לקו חוף | חמ״ל</t>
  </si>
  <si>
    <t>https://encrypted-tbn0.gstatic.com/images?q=tbn:ANd9GcSoNX-d_rxuTpbjNgbnNde9x0Sk9k3x9JMhi4RHXQcZtW-K2CA&amp;s</t>
  </si>
  <si>
    <t>www.annahar.com</t>
  </si>
  <si>
    <t>https://www.annahar.com/arabic/article/1216550-%D9%85%D8%A7-%D8%A7%D9%84%D8%AD%D9%82%D9%8A%D9%82%D8%A9-%D9%88%D8%B1%D8%A7-%D8%A7%D9%84%D8%A3%D8%B9%D8%AF%D8%A7%D8%AF-%D8%A7%D9%84%D9%83%D8%A8%D9%8A%D8%B1%D8%A9-%D9%85%D9%86-%D9%82%D9%86%D8%A7%D8%AF%D9%8A%D9%84-%D8%A7%D9%84%D8%A8%D8%AD%D8%B1-%D9%81%D9%8A-%D8%A7%D9%84%D8%B4%D9%88%D8%A7%D8%B7%D8%A6-%D8%A7%D9%84%D9%84%D8%A8%D9%86%D8%A7%D9%86%D9%8A%D8%A9</t>
  </si>
  <si>
    <t>https://www.annahar.com/ContentFilesArchive/468011Image1-1180x677_d.jpg?version=3845247</t>
  </si>
  <si>
    <t>ما الحقيقة وراء الأعداد الكبيرة من قناديل البحر في الشواطئ ...</t>
  </si>
  <si>
    <t>https://encrypted-tbn0.gstatic.com/images?q=tbn:ANd9GcRtGvMTk51YR_iJwvuCjCCL7uLsyvyyDbhWtw&amp;usqp=CAU</t>
  </si>
  <si>
    <t>https://m.facebook.com/groups/1433983646837647/permalink/2769957226573609/</t>
  </si>
  <si>
    <t>https://lookaside.fbsbx.com/lookaside/crawler/media/?media_id=10158559001068234</t>
  </si>
  <si>
    <t>מדוזות בעם | זן חדש של מדוזות ארסיות נצפה היום בחוף עין הים(אולגה).חוטיות  זה פיס אוף קייק לעומת א... | Facebook</t>
  </si>
  <si>
    <t>https://encrypted-tbn0.gstatic.com/images?q=tbn:ANd9GcT72uiKoa1QO_0wEdEmfjtsqOfdJJDFzXia5g&amp;usqp=CAU</t>
  </si>
  <si>
    <t>https://www.ynet.co.il/health/article/r1RAPSl2O</t>
  </si>
  <si>
    <t>https://ynet-images1.yit.co.il/picserver5/crop_images/2020/06/28/10063158/10063158_0_217_1280_721_0_x-large.jpg</t>
  </si>
  <si>
    <t>המדוזות כבר כאן: איך תטפלו בצריבה ולמה החומץ ממש לא יועיל</t>
  </si>
  <si>
    <t>https://encrypted-tbn0.gstatic.com/images?q=tbn:ANd9GcSH9HOe0udR9nd5knJtz5fGk6aPhwhV5vKajg&amp;usqp=CAU</t>
  </si>
  <si>
    <t>https://www.ynetnews.com/environment/article/hjynd4x600</t>
  </si>
  <si>
    <t>https://ynet-images1.yit.co.il/PicServer5/2020/06/28/10063158/photo_2020-06-28_21-40-14_(2).jpg</t>
  </si>
  <si>
    <t>Swarms of jellyfish make a stinging comeback to Israel's shoreline</t>
  </si>
  <si>
    <t>https://serpapi.com/searches/637b357437014cf32db57f90/images/62f790fc1e1a37c16a5ab82eb1d504dbe57eb79e1ac33ac18178f9e26dfc3f5d.jpeg</t>
  </si>
  <si>
    <t>https://ynet-images1.yit.co.il/PicServer5/2020/06/28/10063156/photo_2020-06-28_21-40-16.jpg</t>
  </si>
  <si>
    <t>https://encrypted-tbn0.gstatic.com/images?q=tbn:ANd9GcR-VjLZwAw8Cet4dlIDmJ_uoXcS4E-DFcUKe_T5SYCFYrqznDLc&amp;s</t>
  </si>
  <si>
    <t>https://www.davar1.co.il/232641/</t>
  </si>
  <si>
    <t>https://www.davar1.co.il/wp-content/uploads/2020/06/290620_meduzz2-272x153.jpg</t>
  </si>
  <si>
    <t>אפליקציה חדשה מאפשרת לדעת באיזה חוף נמצאות מדוזות בכל רגע ...</t>
  </si>
  <si>
    <t>https://encrypted-tbn0.gstatic.com/images?q=tbn:ANd9GcSrK7jprcNTwkPjtnqBpuVrGloooUyymYA47w&amp;usqp=CAU</t>
  </si>
  <si>
    <t>https://nash-israel.com/news/rebenok-postradal-ot-meduz-v-rishon-le-tsione</t>
  </si>
  <si>
    <t>http://nash-israel.com/storage/upload/news/big/32213b7062e964b4a988702e97f6b527.jpg</t>
  </si>
  <si>
    <t>ᐈ Ребенок пострадал от медуз в Ришон ле-Ционе</t>
  </si>
  <si>
    <t>https://serpapi.com/searches/63d00e61ea14429543229cd5/images/f752daf8bb5f9e581985060079e1a5fab99f756a24d3e47a2e3a49f8ecaf9ce3.jpeg</t>
  </si>
  <si>
    <t>https://www.newsru.co.il/israel/2jul2020/meduzot_126.html</t>
  </si>
  <si>
    <t>all</t>
  </si>
  <si>
    <t>https://images.newsru.co.il/l/157/21/1572112.jpg</t>
  </si>
  <si>
    <t>Концентрация медуз на израильском побережье Средиземного моря остается высокой - NEWSru.co.il</t>
  </si>
  <si>
    <t>https://encrypted-tbn0.gstatic.com/images?q=tbn:ANd9GcRrNNf5dHMHNBS4Jmzjd6lp2zI_FM2o-MGwZA&amp;usqp=CAU</t>
  </si>
  <si>
    <t>Детали</t>
  </si>
  <si>
    <t>https://detaly.co.il/novaya-applikatsiya-pozvolyaet-v-onlajn-rezhime-opredelit-mestonahozhdenie-meduz/</t>
  </si>
  <si>
    <t>https://detaly.co.il/wp-content/uploads/2018/06/animal-1838613_1920.jpg</t>
  </si>
  <si>
    <t>Собрались на пляж? Проверьте онлайн, есть ли там медузы. Детали: Hовости Израиля</t>
  </si>
  <si>
    <t>https://encrypted-tbn0.gstatic.com/images?q=tbn:ANd9GcTPQHc4huQoL6LZNwsNqvKTQMwV_6ft46Amr6aVQNd_x__X7SfO&amp;s</t>
  </si>
  <si>
    <t>https://stmegi.com/posts/81313/poberezhe-izrailya-atakovali-meduzy/</t>
  </si>
  <si>
    <t>https://stmegi.com/upload/resize_cache/iblock/79c/1000_580_2/79c442b9219fbbd76a1e67eb94142a81.png</t>
  </si>
  <si>
    <t>Побережье Израиля атаковали медузы - STMEGI</t>
  </si>
  <si>
    <t>https://www.newsru.co.il/israel/02jul2020/meduzot_126.html</t>
  </si>
  <si>
    <t>https://encrypted-tbn0.gstatic.com/images?q=tbn:ANd9GcSP4EW8uBvakWT6EArXlGILs2BlnTy2cB4Cf9YW7Bhmbv8zrqjb&amp;s</t>
  </si>
  <si>
    <t>www.israeleco.com</t>
  </si>
  <si>
    <t>https://www.israeleco.com/k-beregam-izrailya-prishli-polchishha-meduz/</t>
  </si>
  <si>
    <t>ashkelon-haifa (not north)</t>
  </si>
  <si>
    <t>https://i0.wp.com/cdn.orbita.co.il/nashe/808/202007/118e7cd5e4_img.jpg?ssl=1</t>
  </si>
  <si>
    <t>К берегам Израиля пришли полчища медуз | Новости Израиля</t>
  </si>
  <si>
    <t>https://encrypted-tbn0.gstatic.com/images?q=tbn:ANd9GcSbzUoF-YiUXe_iaB6F9joa9loFJMk5iaPFRmRwlWSaNfrIxy0&amp;s</t>
  </si>
  <si>
    <t>www.meduzot.co.il</t>
  </si>
  <si>
    <t>https://www.meduzot.co.il/observation/3544</t>
  </si>
  <si>
    <t>https://www.meduzot.co.il/storage/app/uploads/public/5ef/f00/715/5eff00715e82b605271363.jpg</t>
  </si>
  <si>
    <t>מדוזות בעם</t>
  </si>
  <si>
    <t>https://encrypted-tbn0.gstatic.com/images?q=tbn:ANd9GcQagAXoeYzcv6m6Azj-A6qb10EJRf-SDwXtj4d1AeaOhUytNMM&amp;s</t>
  </si>
  <si>
    <t>https://www.facebook.com/groups/1433983646837647/posts/2776960282539970/</t>
  </si>
  <si>
    <t>https://lookaside.fbsbx.com/lookaside/crawler/media/?media_id=2714902352123535</t>
  </si>
  <si>
    <t>מדוזות בעם | חוף העליה יפו 350 מהחוף נחיל של עשרות חוטיות ...</t>
  </si>
  <si>
    <t>https://serpapi.com/searches/6381cff134ff95ef5e85db0a/images/8c309ba9c53ee7f8a0631d5f975cf4dd272f5fec5dd846fe6d8a7109c78448b9.jpeg</t>
  </si>
  <si>
    <t>https://lookaside.fbsbx.com/lookaside/crawler/media/?media_id=2714902378790199</t>
  </si>
  <si>
    <t>מדוזות בעם | חוף העליה יפו 350 מהחוף נחיל של עשרות חוטיות ואפילו מדוזה אחת  מצויה כחולה | Facebook</t>
  </si>
  <si>
    <t>https://encrypted-tbn0.gstatic.com/images?q=tbn:ANd9GcTJ8gU4kaF_qdMJHJzvJXBzCUBIsVqjuSVowA&amp;usqp=CAU</t>
  </si>
  <si>
    <t>https://lookaside.fbsbx.com/lookaside/crawler/media/?media_id=2714902405456863</t>
  </si>
  <si>
    <t>https://serpapi.com/searches/6381cff134ff95ef5e85db0a/images/8c309ba9c53ee7f888b0a0609b72a662db9bc062fac88f51e5a8205844691e36.jpeg</t>
  </si>
  <si>
    <t>https://www.migdalor-news.co.il/210618-4/</t>
  </si>
  <si>
    <t>jaser</t>
  </si>
  <si>
    <t>https://www.migdalor-news.co.il/wp-content/uploads/2018/06/%D7%9E%D7%93%D7%95%D7%96%D7%95%D7%AA-%D7%91%D7%97%D7%95%D7%A3-%D7%94%D7%9B%D7%A8%D7%9E%D7%9C.jpg</t>
  </si>
  <si>
    <t>מה מצב המדוזות? העונה הצורבת כבר כאן במכמורת חדרה שדות ים ג'סר וחוף  הכרמל - מגדלור ניוז</t>
  </si>
  <si>
    <t>https://encrypted-tbn0.gstatic.com/images?q=tbn:ANd9GcSD15euuCcypmj29sVI7kfYOnsfQUyxm0cObA&amp;usqp=CAU</t>
  </si>
  <si>
    <t>חמל</t>
  </si>
  <si>
    <t>https://www.hamal.co.il/post/-MBPX850WzE8MpXJpxMD</t>
  </si>
  <si>
    <t>https://hamal.wcdn.co.il/v0/b/walla-hamal.appspot.com/o/9IPMrMHkX6eXLSMtkm3gn9WbyRt1%2Fimages%2Fthumb%2F1593876787983?alt=media&amp;token=f1d71628-a89d-47e5-8fff-3be15821594d</t>
  </si>
  <si>
    <t>מדוזות נצפו בחוף | חמ״ל</t>
  </si>
  <si>
    <t>https://encrypted-tbn0.gstatic.com/images?q=tbn:ANd9GcRm9EpZrg2Y0ehlVL03QbW60DXigWhPmxoWAg&amp;usqp=CAU</t>
  </si>
  <si>
    <t>https://www.migdalor-news.co.il/wp-content/uploads/2019/07/007-%D7%9E%D7%93%D7%95%D7%96%D7%95%D7%AA-%D7%91%D7%AA%D7%97%D7%A0%D7%AA-%D7%94%D7%9B%D7%95%D7%97-%D7%A6%D7%99%D7%9C%D7%95%D7%9D-%D7%97%D7%91%D7%A8%D7%AA-%D7%94%D7%97%D7%A9%D7%9E%D7%9C.jpg</t>
  </si>
  <si>
    <t>https://encrypted-tbn0.gstatic.com/images?q=tbn:ANd9GcTEw6yxdy2ocXf4wjf-pUXn4sFevCGc2C-5MSiDD7nFeNcKUZSC&amp;s</t>
  </si>
  <si>
    <t>https://mignews.com/news/070520_94229_29571.html</t>
  </si>
  <si>
    <t>https://mignews.com/media/cache/3a/e5/3ae5716cf22b7aa3ded794c10957a46d.jpg</t>
  </si>
  <si>
    <t>К побережью Израиля приближаются полчища медуз ...</t>
  </si>
  <si>
    <t>https://encrypted-tbn0.gstatic.com/images?q=tbn:ANd9GcSDhk-kLVIto6Wshm7oDgpmk3_VNuTOJ3w8XA&amp;usqp=CAU</t>
  </si>
  <si>
    <t>https://www.0404.co.il/?p=616297</t>
  </si>
  <si>
    <t>https://www.0404.co.il/wp-content/uploads/2020/07/MKN8343-300x200.jpg</t>
  </si>
  <si>
    <t>https://encrypted-tbn0.gstatic.com/images?q=tbn:ANd9GcQZdEpqZH_FoQPSguaCn62pZTKyhkr8De8c9XDykprTtQLlfuk&amp;s</t>
  </si>
  <si>
    <t>https://www.colbonews.co.il/education/80869/</t>
  </si>
  <si>
    <t>https://www.colbonews.co.il/wp-content/uploads/2020/07/4ccd792472cf33082f5c2cfafab22d18.jpg</t>
  </si>
  <si>
    <t>נחילי מדוזות ענקיים מתועדים במפרץ חיפה - כלבו – חיפה והקריות</t>
  </si>
  <si>
    <t>https://encrypted-tbn0.gstatic.com/images?q=tbn:ANd9GcSDelPQ0sUYeaGCo5ZU-k8yjOp344XrMwa6LQ&amp;usqp=CAU</t>
  </si>
  <si>
    <t>https://www.al-ayyam.ps/ar_page.php?id=14034705y335759109Y14034705</t>
  </si>
  <si>
    <t>http://www.al-ayyam.ps/files/image/thumb/20200607231953.jpg</t>
  </si>
  <si>
    <t>قناديل البحر تغزو شواطئ غزة وتتسلط على شباك الصيادين</t>
  </si>
  <si>
    <t>https://encrypted-tbn0.gstatic.com/images?q=tbn:ANd9GcTnMEt3MBaRjHOo3mdVT_Umd62Fw_eBjjUZ2Q&amp;usqp=CAU</t>
  </si>
  <si>
    <t>https://www.youtube.com/watch?v=Ao0uGqoKBOc</t>
  </si>
  <si>
    <t>https://i.ytimg.com/vi/Ao0uGqoKBOc/maxresdefault.jpg</t>
  </si>
  <si>
    <t>Средиземное море и сезон медуз! Пляжи Израиля. Дождь в июне в Израиле - YouTube</t>
  </si>
  <si>
    <t>https://serpapi.com/searches/637a2349f716eef683f2941a/images/6d27cb32fe6911be822e44a55e31820d16b25f30f5331c8f6c8f20fcfd3f2c18.jpeg</t>
  </si>
  <si>
    <t>https://www.ynet.co.il/articles/07340L-576211100.html</t>
  </si>
  <si>
    <t>https://www.ynet.co.il/PicServer5/2020/07/09/10088416/1008840901004273640360no.jpg</t>
  </si>
  <si>
    <t>תיעוד: אלפי מדוזות וצב ים בתחנת הכוח באשקלון</t>
  </si>
  <si>
    <t>https://serpapi.com/searches/637a2349f716eef683f2941a/images/6d27cb32fe6911beb87dbe942d1bf7e825366000ac97beeb8aa965d3e6b51d99.jpeg</t>
  </si>
  <si>
    <t>https://www.ashqelon.net/%D7%97%D7%93%D7%A9%D7%95%D7%AA/%D7%9E%D7%93%D7%95%D7%96%D7%95%D7%AA-%D7%95%D7%A6%D7%91-%D7%99%D7%9D-%D7%90%D7%97%D7%93-%D7%91%D7%AA%D7%97%D7%A0%D7%AA-%D7%94%D7%9B%D7%95%D7%97-%D7%A9%D7%9C-%D7%97%D7%91%D7%A8%D7%AA-%D7%97%D7%A9%D7%9E%D7%9C-452907</t>
  </si>
  <si>
    <t>https://ashqelon.net/dyncontent/2020/7/9/6d99e5e9-d1bb-4ef7-afe7-08d18481e738.jpeg</t>
  </si>
  <si>
    <t>מדוזות וצב ים אחד בתחנת הכוח של חברת חשמל - אשקלון נט</t>
  </si>
  <si>
    <t>https://encrypted-tbn0.gstatic.com/images?q=tbn:ANd9GcSrEC3VWJZi9Yk1YZBdOUdPc42fvm7xLRLoLdZxqB07Es7niMg&amp;s</t>
  </si>
  <si>
    <t>https://www.israelhayom.co.il/animals/article/7944532</t>
  </si>
  <si>
    <t>https://cdn.israelhayom-cdnwiz.com/p/100/thumbnail/entry_id/0_pdahp0m5/width/640</t>
  </si>
  <si>
    <t>צפו: אלפי מדוזות וצב ים נסחפו לתחנת הכוח באשקלון</t>
  </si>
  <si>
    <t>https://encrypted-tbn0.gstatic.com/images?q=tbn:ANd9GcRdGjrQ-h2QacLa2voe-4sRr4vUKOlzc885SnixYoGL3QtIDGyG&amp;s</t>
  </si>
  <si>
    <t>www.globes.co.il</t>
  </si>
  <si>
    <t>https://www.globes.co.il/news/article.aspx?did=1001335276</t>
  </si>
  <si>
    <t>https://images.globes.co.il/Images/NewGlobes/Misc_2/2020/550x413.2020709T134516.jpg</t>
  </si>
  <si>
    <t>צפו: רבבות מדוזות מאיימות על תחנת כוח של חברת החשמל - גלובס</t>
  </si>
  <si>
    <t>https://encrypted-tbn0.gstatic.com/images?q=tbn:ANd9GcQzD9Ip-Q2rCF5dTrnAAW-W9wwgf5VJmMVmzA&amp;usqp=CAU</t>
  </si>
  <si>
    <t>גלובס</t>
  </si>
  <si>
    <t>https://images.globes.co.il/images/NewGlobes/Promo180x88/2018/c12_01370x181.2018904T160527.jpg</t>
  </si>
  <si>
    <t>https://encrypted-tbn0.gstatic.com/images?q=tbn:ANd9GcRolI8NI1KhQX-gHVBPk0bqQUs_iJp5XUyuWP2sFPt4VxCDWSQ&amp;s</t>
  </si>
  <si>
    <t>https://www.israelhayom.co.il/wp-content/uploads/2022/02/15942908288308_b.jpg</t>
  </si>
  <si>
    <t>https://encrypted-tbn0.gstatic.com/images?q=tbn:ANd9GcQhET1eLIYWFrDb0ITCkri3pJ6FOVJIPbRvcSXCV1UoqDs6GVU&amp;s</t>
  </si>
  <si>
    <t>www.kipa.co.il</t>
  </si>
  <si>
    <t>https://www.kipa.co.il/%D7%97%D7%93%D7%A9%D7%95%D7%AA/1095523-%D7%A6%D7%A4%D7%95-%D7%90%D7%9C%D7%A4%D7%99-%D7%9E%D7%93%D7%95%D7%96%D7%95%D7%AA-%D7%95%D7%A6%D7%91-%D7%99%D7%9D-%D7%91%D7%AA%D7%97%D7%A0%D7%AA-%D7%94%D7%9B%D7%95%D7%97-%D7%91%D7%90%D7%A9%D7%A7%D7%9C%D7%95%D7%9F/</t>
  </si>
  <si>
    <t>https://www.kipa.co.il/userFiles/735-415/300562_e94f794813a3b53b5b5449891854a255.jpg</t>
  </si>
  <si>
    <t>צפו: אלפי מדוזות וצב ים בתחנת הכוח באשקלון - כיפה</t>
  </si>
  <si>
    <t>https://encrypted-tbn0.gstatic.com/images?q=tbn:ANd9GcQdCW88cYINscsBvPGpj7U0YuEi7em8TmA-pQ&amp;usqp=CAU</t>
  </si>
  <si>
    <t>NBC News</t>
  </si>
  <si>
    <t>https://www.nbcnews.com/video/thousands-of-blue-jellyfish-threaten-israeli-power-plant-87277125985</t>
  </si>
  <si>
    <t>https://media14.s-nbcnews.com/i/MSNBC/Components/Video/202007/T-IS.jpg</t>
  </si>
  <si>
    <t>Thousands of blue jellyfish threaten Israeli power plant</t>
  </si>
  <si>
    <t>https://encrypted-tbn0.gstatic.com/images?q=tbn:ANd9GcSyM-V3gO2djWDQHsz5XibLmXVLp1mo_QRMiMO2tE42AW7S_cTL&amp;s</t>
  </si>
  <si>
    <t>https://www.israelhayom.com/2020/07/09/watch-thousands-of-jellyfish-invade-an-israeli-power-plant/</t>
  </si>
  <si>
    <t>https://www.israelhayom.com/wp-content/uploads/2020/07/Untitled-1140x570.png</t>
  </si>
  <si>
    <t>Watch: Thousands of jellyfish invade Israeli power plant ...</t>
  </si>
  <si>
    <t>https://encrypted-tbn0.gstatic.com/images?q=tbn:ANd9GcRKzmF1w0zvscCz1qQANN3Oxkb7s8rD46XJHmKrCg5FnyvWjzc&amp;s</t>
  </si>
  <si>
    <t>almasar.co.il</t>
  </si>
  <si>
    <t>http://almasar.co.il/art.php?ID=114844</t>
  </si>
  <si>
    <t>http://almasar.co.il/Files/20200709-1403312018745634.jpg</t>
  </si>
  <si>
    <t>صحيفة وموقع المسار &gt;&gt; محليات &gt;&gt; احذروا ... قناديل البحر ...</t>
  </si>
  <si>
    <t>https://encrypted-tbn0.gstatic.com/images?q=tbn:ANd9GcTmzf3Nm8BtXD4Tp1pyJLY7sfd747y1zOn9qQ&amp;usqp=CAU</t>
  </si>
  <si>
    <t>وكالة سوا الإخبارية</t>
  </si>
  <si>
    <t>https://palsawa.com/post/267783/%D8%A8%D8%A7%D9%84%D9%81%D9%8A%D8%AF%D9%8A%D9%88-%D8%B4%D8%A7%D9%87%D8%AF-%D9%83%D9%85%D9%8A%D8%A9-%D9%82%D9%86%D8%A7%D8%AF%D9%8A%D9%84-%D8%A7%D9%84%D8%A8%D8%AD%D8%B1-%D8%A7%D9%84%D8%AA%D9%8A-%D8%AC%D9%85%D8%B9%D8%AA-%D8%A8%D9%85%D8%AD%D8%B7%D8%A9-%D8%B9%D8%B3%D9%82%D9%84%D8%A7%D9%86-%D9%84%D9%84%D8%B7%D8%A7%D9%82%D8%A9</t>
  </si>
  <si>
    <t>https://palsawa.com/thumb/1200x630/uploads/images/nzKIu.jpg</t>
  </si>
  <si>
    <t>بالفيديو: شاهد كمية قناديل البحر التي جمعت بمحطة عسقلان للطاقة | وكالة سوا الإخبارية</t>
  </si>
  <si>
    <t>https://encrypted-tbn0.gstatic.com/images?q=tbn:ANd9GcQ7dl8FS6JU53Dr3wNck-X8hrkC0Q5UyXFTl6MSNRbog8Dm6YpS&amp;s</t>
  </si>
  <si>
    <t>www.independent.co.uk</t>
  </si>
  <si>
    <t>https://www.independent.co.uk/news/world/middle-east/jellyfish-power-plant-cooling-system-israel-a9612121.html</t>
  </si>
  <si>
    <t>https://cdn.jwplayer.com/v2/media/xOE91eAB/poster.jpg?width=720</t>
  </si>
  <si>
    <t>Thousands of jellyfish clog power plant in Israel</t>
  </si>
  <si>
    <t>https://encrypted-tbn0.gstatic.com/images?q=tbn:ANd9GcQqvJY5gF6m_QgeYPHHOxItdhKjhr-sU-XEnpLXVqnAGsmGbqCG&amp;s</t>
  </si>
  <si>
    <t>http://hagainativ.com/archives/6153</t>
  </si>
  <si>
    <t>http://hagainativ.com/wordpress/wp-content/uploads/2020/07/MKN7879.jpg</t>
  </si>
  <si>
    <t xml:space="preserve"> </t>
  </si>
  <si>
    <t>reuters</t>
  </si>
  <si>
    <t>https://encrypted-tbn0.gstatic.com/images?q=tbn:ANd9GcSr2GkzFBZH9Jc9TJrA2GmykTm1CUOa7Le3nQ&amp;usqp=CAU</t>
  </si>
  <si>
    <t>https://www.timesofisrael.com/thousands-of-jellyfish-swarm-ashkelon-power-station/</t>
  </si>
  <si>
    <t>https://static.timesofisrael.com/www/uploads/2020/07/jellyfish-e1594443499708.jpg</t>
  </si>
  <si>
    <t>Thousands of jellyfish swarm Ashkelon power station | The Times of Israel</t>
  </si>
  <si>
    <t>https://encrypted-tbn0.gstatic.com/images?q=tbn:ANd9GcSBJBwNIvBpXlrAcEK6HLauCLY3mmQ_xclhl2ppuLSfsF8RkKOB&amp;s</t>
  </si>
  <si>
    <t>http://www.medpeople.org.il/%D7%90%D7%A8%D7%91%D7%A2-%D7%9E%D7%93%D7%95%D7%96%D7%95%D7%AA-%D7%91%D7%A6%D7%9C%D7%99%D7%9C%D7%94-%D7%90%D7%97%D7%AA-%D7%94%D7%9B%D7%99%D7%A8%D7%95-%D7%90%D7%95%D7%AA%D7%9F/</t>
  </si>
  <si>
    <t>http://www.medpeople.org.il/wp-content/uploads/2020/07/%D7%97%D7%95%D7%98%D7%99%D7%AA-%D7%A0%D7%95%D7%93%D7%93%D7%AA-%D7%97%D7%96%D7%99-%D7%91%D7%95%D7%91%D7%94-300x225.jpeg</t>
  </si>
  <si>
    <t>ארבע מדוזות בצלילה אחת. הכירו אותן - אנשי הים התיכון</t>
  </si>
  <si>
    <t>https://encrypted-tbn0.gstatic.com/images?q=tbn:ANd9GcTkDOib8D7EB988YVTANQgEj--n-11ysXtUGQ&amp;usqp=CAU</t>
  </si>
  <si>
    <t>Gismeteo</t>
  </si>
  <si>
    <t>https://www.gismeteo.kz/news/proisshestviya/20907-na-izrailskuyu-yelektrostantsiyu-popali-tysyachi-sinih-meduz/</t>
  </si>
  <si>
    <t>https://news-kz.gismeteo.st/2021/06/e9fd6862.jpg</t>
  </si>
  <si>
    <t>GISMETEO: На израильскую электростанцию попали тысячи синих медуз - Происшествия | Новости погоды.</t>
  </si>
  <si>
    <t>https://encrypted-tbn0.gstatic.com/images?q=tbn:ANd9GcS7s4Y609VDhbh_vE0Ao56p9js29rn3Witqgb7MlQUcy6TpQdA&amp;s</t>
  </si>
  <si>
    <t>www.scubadivermag.com</t>
  </si>
  <si>
    <t>https://www.scubadivermag.com/blue-jellyfish-clog-up-israeli-power-plant-cooling-system/</t>
  </si>
  <si>
    <t>https://www.scubadivermag.com/wp-content/uploads/2020/07/jellyfish-750x400-1.jpg?ezimgfmt=rs:412x220/rscb6/ngcb6/notWebP</t>
  </si>
  <si>
    <t>Blue Jellyfish Clog Up Israeli Power Plant Cooling System ...</t>
  </si>
  <si>
    <t>https://encrypted-tbn0.gstatic.com/images?q=tbn:ANd9GcRlWJIFFAl-F7lz41LEN_QOa4WHWyAmaac0b-C_xWnHo5iR--U&amp;s</t>
  </si>
  <si>
    <t>www.posizia.co.il</t>
  </si>
  <si>
    <t>https://www.posizia.co.il/%D7%97%D7%99%D7%A0%D7%95%D7%9A/%D7%90%D7%A7%D7%93%D7%9E%D7%99%D7%94/%D7%9E%D7%93%D7%95%D7%96%D7%95%D7%AA-%D7%91%D7%97%D7%95%D7%A4%D7%99-%D7%9E%D7%A4%D7%A8%D7%A5-%D7%97%D7%99%D7%A4%D7%94/</t>
  </si>
  <si>
    <t>https://www.posizia.co.il/wp-content/uploads/2020/07/MKN8400-scaled.jpg</t>
  </si>
  <si>
    <t>מדוזות בחופי מפרץ חיפה – פוזיציה!</t>
  </si>
  <si>
    <t>https://serpapi.com/searches/638337d236e6a9e35d6b9242/images/11f1afed02345fce81105dae4e6154fe945d0af2a5b04ad593eb39900fdf4a7d.jpeg</t>
  </si>
  <si>
    <t>NoCamels</t>
  </si>
  <si>
    <t>https://nocamels.com/2020/07/israel-researchers-university-haifa-jellyfish/</t>
  </si>
  <si>
    <t>https://f6h8q2y9.stackpathcdn.com/wp-content/uploads/2020/07/U-Haifa_jellyfish-1-1024x683.jpg</t>
  </si>
  <si>
    <t>Israeli Researchers Warn Of 'Larger-Than-Ever' Jellyfish Off Haifa Coast</t>
  </si>
  <si>
    <t>https://encrypted-tbn0.gstatic.com/images?q=tbn:ANd9GcSirvt1yTIpCT0kKbMrD5NMkmTjZPKJmzkyGA&amp;usqp=CAU</t>
  </si>
  <si>
    <t>https://f6h8q2y9.stackpathcdn.com/wp-content/uploads/2020/07/U-Haifa_jellyfish-3.jpg</t>
  </si>
  <si>
    <t>https://encrypted-tbn0.gstatic.com/images?q=tbn:ANd9GcRzmYL6urykTQMmEf4dJpg12WnjSqe-Et72SNDjXYnr1WoK555C&amp;s</t>
  </si>
  <si>
    <t>nocamels.com</t>
  </si>
  <si>
    <t>https://i.ytimg.com/vi/0nVWF3nqs0g/maxresdefault.jpg</t>
  </si>
  <si>
    <t>Israeli Researchers Warn Of 'Larger-Than-Ever' Jellyfish Off ...</t>
  </si>
  <si>
    <t>https://serpapi.com/searches/63d011560b5062e5ae5bfdcb/images/aab8c0efcf0389bc442c9cbb8ec935ac7ad37c0ca96abca1c348cc64f2568461.jpeg</t>
  </si>
  <si>
    <t>تايمز أوف إسرائيل</t>
  </si>
  <si>
    <t>https://ar.timesofisrael.com/%D8%A5%D9%86-%D9%84%D9%85-%D9%8A%D8%A8%D8%B9%D8%AF-%D8%A7%D9%84%D9%88%D8%A8%D8%A7%D8%A1-%D8%A7%D9%84%D8%A5%D8%B3%D8%B1%D8%A7%D8%A6%D9%8A%D9%84%D9%8A%D9%8A%D9%86-%D8%B9%D9%86-%D8%A7%D9%84%D8%B4%D9%88/</t>
  </si>
  <si>
    <t>https://static.timesofisrael.com/ar/uploads//2020/07/U-Haifa_jellyfish-3.jpg</t>
  </si>
  <si>
    <t>إن لم يبعد الوباء الإسرائيليين عن الشواطئ، فقناديل البحر الضخمة قد تبعدهم - تايمز أوف إسرائيل</t>
  </si>
  <si>
    <t>https://serpapi.com/searches/637a3b77a5ad6d55c7dd6bef/images/5180850c0f0f6ef59f45ab7187e2f7363c59399f81e7348261f17aabb2f6c7b9.jpeg</t>
  </si>
  <si>
    <t>https://haipo.co.il/item/209975</t>
  </si>
  <si>
    <t>https://haipo.co.il/wp-content/uploads/2020/07/haipo-news-meduzut-160720-1-scaled.jpeg</t>
  </si>
  <si>
    <t>https://encrypted-tbn0.gstatic.com/images?q=tbn:ANd9GcTrwQOng4HSAaPJRTi7L8M1oTC7x51-JNW4Um_QYeh48Hh3MPM&amp;s</t>
  </si>
  <si>
    <t>https://haipo.co.il/item/210057</t>
  </si>
  <si>
    <t>https://haipo.co.il/wp-content/uploads/2020/07/WhatsApp-Image-2020-07-16-at-17.23.50-scaled.jpeg</t>
  </si>
  <si>
    <t>איך עוצרים את המפלצות הכחולות? • מדוזות בחופי חיפה - חי פה ...</t>
  </si>
  <si>
    <t>https://encrypted-tbn0.gstatic.com/images?q=tbn:ANd9GcSmiZ_gEl140wpSEObcpFNjSTIqR1TgX-JLKQ&amp;usqp=CAU</t>
  </si>
  <si>
    <t>https://www.pinterest.com/pin/713961347168531825/</t>
  </si>
  <si>
    <t>https://i.pinimg.com/736x/75/c5/7f/75c57fa0da22c6d16e77d0d17da319ef.jpg</t>
  </si>
  <si>
    <t>https://serpapi.com/searches/63d00e61ea14429543229cd5/images/f752daf8bb5f9e58613f5a01ee1ab4e2b664f77429dc1ae66632b97e712888cf.jpeg</t>
  </si>
  <si>
    <t>https://detaly.co.il/izrail-perezhivaet-ezhegodnoe-nashestvie-meduz-video/</t>
  </si>
  <si>
    <t>https://detaly.co.il/wp-content/uploads/2020/07/Meduza.jpg</t>
  </si>
  <si>
    <t>Израиль переживает ежегодное нашествие медуз: видео. Детали: Hовости Израиля</t>
  </si>
  <si>
    <t>https://serpapi.com/searches/63d00e61ea14429543229cd5/images/f752daf8bb5f9e582ee5c15a00b75c816e53062c90a0e39a3c4aadbd394c4189.jpeg</t>
  </si>
  <si>
    <t>https://www.newsru.co.il/israel/17jul2020/beach_101.html</t>
  </si>
  <si>
    <t>https://images.newsru.co.il/m/158/56/1585627.jpg</t>
  </si>
  <si>
    <t>Пляжи открыты, но купание опасно: высокие волны, медузы - NEWSru.co.il</t>
  </si>
  <si>
    <t>https://serpapi.com/searches/6381cff134ff95ef5e85db0a/images/8c309ba9c53ee7f8a0631d5f975cf4dd5b0662f74997de3cc724b962c9d26c42.jpeg</t>
  </si>
  <si>
    <t>עיתון סטאר דרום</t>
  </si>
  <si>
    <t>https://star-darom.co.il/%D7%9C%D7%9C%D7%9E%D7%95%D7%93-%D7%9C%D7%97%D7%99%D7%95%D7%AA-%D7%A2%D7%9D-%D7%94%D7%9E%D7%93%D7%95%D7%96%D7%95%D7%AA-%D7%91%D7%A1%D7%99%D7%9E%D7%91%D7%99%D7%95%D7%96%D7%94/</t>
  </si>
  <si>
    <t>https://star-darom.co.il/wp-content/uploads/2020/07/3719581803_14d2ebf4bc_b.jpg</t>
  </si>
  <si>
    <t>ללמוד לחיות עם המדוזות בסימביוזה &lt; עיתון סטאר דרום - חדשות באשקלון ואיזור  הדרום</t>
  </si>
  <si>
    <t>https://encrypted-tbn0.gstatic.com/images?q=tbn:ANd9GcTr3fPtLRqZvEkXKOzWdQ2_0KDpTobu56mAaT4nQ7rmm8OimO8&amp;s</t>
  </si>
  <si>
    <t>https://www.hamal.co.il/post/-MClfwKoW_XaKjdAlogV</t>
  </si>
  <si>
    <t>https://hamal.wcdn.co.il/v0/b/walla-hamal.appspot.com/o/K0dq0dI6c1S2xfDYeJk5RAQRQGI3%2Fimages%2Ffull%2F1595339964205?alt=media&amp;token=84a883b2-678a-4061-b4ad-7ce8633bc8bb</t>
  </si>
  <si>
    <t>מלכת היופי של המדוזות: מדוזה כחולה נצפתה בחוף הים | חמ״ל</t>
  </si>
  <si>
    <t>https://encrypted-tbn0.gstatic.com/images?q=tbn:ANd9GcSqDy5ZmK-NDhdHGyUjlZ3XMEshwUOMk50cDQ&amp;usqp=CAU</t>
  </si>
  <si>
    <t>https://hamal.wcdn.co.il/v0/b/walla-hamal.appspot.com/o/K0dq0dI6c1S2xfDYeJk5RAQRQGI3%2Fimages%2Fthumb%2F1595339964205?alt=media&amp;token=c3987bcf-7df0-48fb-8628-07891cf8861c</t>
  </si>
  <si>
    <t>https://encrypted-tbn0.gstatic.com/images?q=tbn:ANd9GcRyr-F97TPDRGVSs4b3LiqJcBiv6BqohN4r6llDpt2R2IEqKR8&amp;s</t>
  </si>
  <si>
    <t>https://www.meduzot.co.il/observation/4150</t>
  </si>
  <si>
    <t>https://www.meduzot.co.il/storage/app/uploads/public/5f1/7c2/238/5f17c2238f80d334350936.jpeg</t>
  </si>
  <si>
    <t>https://encrypted-tbn0.gstatic.com/images?q=tbn:ANd9GcTsBMmPDh5L5Zwgw_RMxAgr_olrN0Kn-G7KXA&amp;usqp=CAU</t>
  </si>
  <si>
    <t>United with Israel</t>
  </si>
  <si>
    <t>https://unitedwithisrael.org/israels-shores-flooded-with-huge-jellyfish/</t>
  </si>
  <si>
    <t>https://unitedwithisrael.org/wp-content/uploads/2020/07/AP_091014067374-scaled.jpg</t>
  </si>
  <si>
    <t>Israel's Shores Flooded with Huge Jellyfish | United with Israel</t>
  </si>
  <si>
    <t>50</t>
  </si>
  <si>
    <t>https://encrypted-tbn0.gstatic.com/images?q=tbn:ANd9GcQCoNZ6kEH0IwARPo1seGvB03ZAe69l5q-dhQ&amp;usqp=CAU</t>
  </si>
  <si>
    <t>https://www.haaretz.co.il/magazine/2020-07-23/ty-article-magazine/.premium/0000017f-db0f-d856-a37f-ffcf338a0000</t>
  </si>
  <si>
    <t>https://img.haarets.co.il/bs/0000017f-db0f-d856-a37f-ffcf2af80000/c2/81/f54b014eba69e2bf729746106066/3192477530.jpg?precrop=1366,1365,x92,y0</t>
  </si>
  <si>
    <t>הרבה יותר מג'לי: אולי כדאי להפסיק לפחד מהמדוזות ולנסות ללמוד מהן - סוף שבוע  - הארץ</t>
  </si>
  <si>
    <t>https://encrypted-tbn0.gstatic.com/images?q=tbn:ANd9GcRMg3m7hH2xdPAEHA2pTKIxtYmgps-aTixdYw&amp;usqp=CAU</t>
  </si>
  <si>
    <t>https://m.facebook.com/groups/1433983646837647/permalink/2795697497332915/</t>
  </si>
  <si>
    <t>https://lookaside.fbsbx.com/lookaside/crawler/media/?media_id=10158758147513738</t>
  </si>
  <si>
    <t>https://encrypted-tbn0.gstatic.com/images?q=tbn:ANd9GcR8Q_v3xPNAZAmcmRSX04zwyuUogGr9fvMX-g&amp;usqp=CAU</t>
  </si>
  <si>
    <t>https://www.hamal.co.il/post/-MD4PEsaebuNVCJkUwzH</t>
  </si>
  <si>
    <t>https://hamal.wcdn.co.il/v0/b/walla-hamal.appspot.com/o/-KWbvwf60318xlkrrhtF%2Fimages%2Ffull%2F1595671033644?alt=media&amp;token=eb880433-ff98-45fe-9024-7f6290282ecc</t>
  </si>
  <si>
    <t>תיעוד נחיל מדוזות סמוך להרצליה צילום: רועי | חמ״ל</t>
  </si>
  <si>
    <t>https://encrypted-tbn0.gstatic.com/images?q=tbn:ANd9GcT2OOI9y4yx8upoDewYqTyvjCzxH6-WybK0FYlOIVO2q1CcRUyt&amp;s</t>
  </si>
  <si>
    <t>http://m.strana.co.il/News/?ID=117248&amp;cat=3</t>
  </si>
  <si>
    <t>http://www.strana.co.il/XXXcicuilkjvkhasjkasihdchakbchQQkjcvlkhzvhzlhasdfWWW/650x488/317202081319862.jpg</t>
  </si>
  <si>
    <t>Завершился «сезон медуз» около побережья Израиля, но купание ...</t>
  </si>
  <si>
    <t>450</t>
  </si>
  <si>
    <t>https://encrypted-tbn0.gstatic.com/images?q=tbn:ANd9GcQdg5m5lHquNuwMLP_hCvxsBUAUhuASNiRoTso12BGgQVyW4s6f&amp;s</t>
  </si>
  <si>
    <t>https://www.ynet.co.il/topics/%D7%9E%D7%93%D7%95%D7%96%D7%95%D7%AA</t>
  </si>
  <si>
    <t>https://ynet-images1.yit.co.il/picserver5/crop_images/2020/08/14/BJbVfGn7GD/BJbVfGn7GD_0_0_1000_667_medium.jpg</t>
  </si>
  <si>
    <t>מדוזות</t>
  </si>
  <si>
    <t>https://encrypted-tbn0.gstatic.com/images?q=tbn:ANd9GcRNK-JZJNT6yEo7iMC9fYqr9fZeiAnL_WLR7mqQoyAIB7ncfB9F&amp;s</t>
  </si>
  <si>
    <t>https://www.almasryalyoum.com/news/details/2053532</t>
  </si>
  <si>
    <t>https://mediaaws.almasryalyoum.com/news/verylarge/2020/10/03/1323401_0.jpg</t>
  </si>
  <si>
    <t>لدغته والقبر».. هل سمعت عن قنديل البحر «إيروكاندجي ...</t>
  </si>
  <si>
    <t>Jellyfish leave Israel - AshkelonInfo&gt;Jellyfish leave Israel - AshkelonInfo</t>
  </si>
  <si>
    <t>https://encrypted-tbn0.gstatic.com/images?q=tbn:ANd9GcQXyF2r8geX_aeIgDsFRXRsQovyt0zcA8WsCK385vMC1x0KRHeQ&amp;s</t>
  </si>
  <si>
    <t>www.vita-bio.com</t>
  </si>
  <si>
    <t>https://www.vita-bio.com/opasnyje-meduzy/</t>
  </si>
  <si>
    <t>https://www.vita-bio.com/wp-content/uploads/2021/07/meduza-2.jpg</t>
  </si>
  <si>
    <t>Опасные медузы в Израиле</t>
  </si>
  <si>
    <t>40</t>
  </si>
  <si>
    <t>https://encrypted-tbn0.gstatic.com/images?q=tbn:ANd9GcTDn9HMvPcPVdBzhlo-MUMRzx38rNYMpZuzjw&amp;usqp=CAU</t>
  </si>
  <si>
    <t>אקולוגיה וסביבה - האגודה הישראלית לאקולוגיה ולמדעי הסביבה</t>
  </si>
  <si>
    <t>https://magazine.isees.org.il/?p=16662</t>
  </si>
  <si>
    <t>https://magazine.isees.org.il/wp-content/uploads/2020/11/12-21-e1610393020778.jpg</t>
  </si>
  <si>
    <t>מדוזות בעם – שימוש במדע אזרחי למיפוי נחילי מדוזות - אקולוגיה וסביבה</t>
  </si>
  <si>
    <t>https://encrypted-tbn0.gstatic.com/images?q=tbn:ANd9GcRSr3UYdIzyqmjp1quT-m4aeOreGKvXGBDJZ2CMHbvgS72LtoDQ&amp;s</t>
  </si>
  <si>
    <t>www.makan.org.il</t>
  </si>
  <si>
    <t>https://www.makan.org.il/item/?itemid=100261</t>
  </si>
  <si>
    <t>https://kanstatic.azureedge.net/download/pictures/2020/12/31/imgid=44550_A.jpeg</t>
  </si>
  <si>
    <t>الاردن- وفاة 11 شخصا بداء كورونا حلال يوم مضى | مكان</t>
  </si>
  <si>
    <t>https://encrypted-tbn0.gstatic.com/images?q=tbn:ANd9GcSznnPbSzuWPD1lq6bxW8sHWZbzj2L6mhXS1A&amp;usqp=CAU</t>
  </si>
  <si>
    <t>https://www.mako.co.il/hix-nature/Article-e0c6c59f8185771026.htm</t>
  </si>
  <si>
    <t>https://img.mako.co.il/2021/01/31/bluemesuza24553_autoOrient_i.jpg</t>
  </si>
  <si>
    <t>כפתור כחול עם שערות: המדוזה שמציפה את חופי ישראל</t>
  </si>
  <si>
    <t>https://encrypted-tbn0.gstatic.com/images?q=tbn:ANd9GcTbM_Tbn7RRjTXQDVyISqaY5lmyNuhYIRTqDcXXh07w09iy3mPc&amp;s</t>
  </si>
  <si>
    <t>rotter.net</t>
  </si>
  <si>
    <t>https://rotter.net/forum/scoops1/681138.shtml</t>
  </si>
  <si>
    <t>https://img.mako.co.il/2021/01/31/bluemesuza24553_autoOrient_w.jpg</t>
  </si>
  <si>
    <t>חדשות רוטר - כפתור כחול עם שערות: המדוזה שמציפה את חופי ישראל</t>
  </si>
  <si>
    <t>411</t>
  </si>
  <si>
    <t>https://encrypted-tbn0.gstatic.com/images?q=tbn:ANd9GcSIjcGHtwPiq5lyHgkGm5mF2J7ACtG4JFs8DpwmeNMZxa4F4L8&amp;s</t>
  </si>
  <si>
    <t>www.tiktok.com</t>
  </si>
  <si>
    <t>https://www.tiktok.com/@sharonmalka44/video/6931738551214263553</t>
  </si>
  <si>
    <t>https://www.tiktok.com/api/img/?itemId=6931738551214263553&amp;location=0&amp;aid=1988</t>
  </si>
  <si>
    <t>israel #מדוזות#חורף</t>
  </si>
  <si>
    <t>https://encrypted-tbn0.gstatic.com/images?q=tbn:ANd9GcRD5vSTwIptanHibhT9JSbbRqgx_vlV5biJ1-V85n7Dx5VYLSw&amp;s</t>
  </si>
  <si>
    <t>www.lametayel.co.il</t>
  </si>
  <si>
    <t>https://www.lametayel.co.il/posts/m1o2l9</t>
  </si>
  <si>
    <t>https://www.lametayel.co.il/p/l-7a527a6b4271e3ff6330a19e67136cdd.jpeg?size=830x0</t>
  </si>
  <si>
    <t>פלמחים לא רק חוף ים יפה גם אוצרות!!! - הבלוגים של למטייל</t>
  </si>
  <si>
    <t>671</t>
  </si>
  <si>
    <t>https://encrypted-tbn0.gstatic.com/images?q=tbn:ANd9GcSlPfsb4hey-THKmeetSVPnALTXso6J9lpJXkH_BCyKBPGscCvJ&amp;s</t>
  </si>
  <si>
    <t>magazine.idive.co.il</t>
  </si>
  <si>
    <t>https://magazine.idive.co.il/mga/%D7%AA%D7%97%D7%A8%D7%95%D7%AA-%D7%9E%D7%93%D7%95%D7%96%D7%95%D7%AA-%D7%99%D7%A9-%D7%96%D7%95%D7%9B%D7%99%D7%9D</t>
  </si>
  <si>
    <t>https://magazine.idive.co.il/content/userfiles/gallery/gallery_3213/%D7%A2%D7%A8%D7%98%D7%9C%202.jpg</t>
  </si>
  <si>
    <t>איך לתפוס מדוזה</t>
  </si>
  <si>
    <t>382</t>
  </si>
  <si>
    <t>https://encrypted-tbn0.gstatic.com/images?q=tbn:ANd9GcSkkyXZ7mOpm8eOJgF3VhHy-6zgl59cdOtu5ZW1aF_aHOI6DJ4&amp;s</t>
  </si>
  <si>
    <t>https://magazine.idive.co.il/content/userfiles/gallery/gallery_3213/%D7%A9%D7%97%D7%A3%201.jpg</t>
  </si>
  <si>
    <t>536</t>
  </si>
  <si>
    <t>https://encrypted-tbn0.gstatic.com/images?q=tbn:ANd9GcTPIvrEsrJV1LbhcGeo3RZDGqw0mbdYXORBSiKRytGUVEVica9W&amp;s</t>
  </si>
  <si>
    <t>https://magazine.idive.co.il/content/userfiles/gallery/gallery_3213/%D7%AA%D7%95%D7%9D%203.jpg</t>
  </si>
  <si>
    <t>156</t>
  </si>
  <si>
    <t>https://encrypted-tbn0.gstatic.com/images?q=tbn:ANd9GcRQmg6ph2a1iAO7XJFyBTVRNkyA0XL1hoyoQR_JYiLER9O00oGl&amp;s</t>
  </si>
  <si>
    <t>https://magazine.idive.co.il/Content/UserFiles/Image/%D7%AA%D7%95%D7%9D%201.jpg</t>
  </si>
  <si>
    <t>https://encrypted-tbn0.gstatic.com/images?q=tbn:ANd9GcQOxxmIQPz23Jg7uxXpRL1HV2UXcykvPLmOYf0naSXFFgD1p_-U&amp;s</t>
  </si>
  <si>
    <t>www.karmel.co.il</t>
  </si>
  <si>
    <t>http://www.karmel.co.il/%D7%A9%D7%95%D7%A0%D7%95%D7%AA/%D7%9E%D7%90%D7%95%D7%AA-%D7%9E%D7%93%D7%95%D7%96%D7%95%D7%AA-%D7%9E%D7%AA%D7%95%D7%AA-%D7%A0%D7%A4%D7%9C%D7%98%D7%95%D7%AA-%D7%91%D7%97%D7%95%D7%A4%D7%99%D7%9D-%D7%91%D7%99%D7%A9%D7%A8%D7%90%D7%9C</t>
  </si>
  <si>
    <t>https://www.karmel.co.il/public/photos/2021-03-13/org-1615632725.jpg</t>
  </si>
  <si>
    <t>מאות מדוזות מתות נפלטות בחופים בישראל | פורטל הכרמל והצפון</t>
  </si>
  <si>
    <t>The concentration of jellyfish on the Israeli Mediterranean coast is declining&gt;The concentration of jellyfish on the Israeli ...</t>
  </si>
  <si>
    <t>Jellyfish season ends in Israel&gt;Jellyfish season ends in Israel</t>
  </si>
  <si>
    <t>https://encrypted-tbn0.gstatic.com/images?q=tbn:ANd9GcR-ZlCldpcRGeYpgHDujZG-PEqKxTYQJNVJDQ&amp;usqp=CAU</t>
  </si>
  <si>
    <t>https://hadera.mynet.co.il/local_news/article/H14Lt9hX00</t>
  </si>
  <si>
    <t>https://modiin.mynet.co.il/picserver/mynet/wcm_upload/2021/03/15/BJytyohQd/1.PNG</t>
  </si>
  <si>
    <t>254</t>
  </si>
  <si>
    <t>https://encrypted-tbn0.gstatic.com/images?q=tbn:ANd9GcRSFzETa-JtiRhM2S9kLzz189rPU80wfrL6x1BG9rkeCfMQZoz_&amp;s</t>
  </si>
  <si>
    <t>https://m.facebook.com/groups/134365429929719/</t>
  </si>
  <si>
    <t>https://lookaside.fbsbx.com/lookaside/crawler/media/?media_id=10221901158690946</t>
  </si>
  <si>
    <t>משמר המדוזות | Facebook</t>
  </si>
  <si>
    <t>https://encrypted-tbn0.gstatic.com/images?q=tbn:ANd9GcQxax7DuZSdKxmxcA15B6JBxFr90kyrsZesxg&amp;usqp=CAU</t>
  </si>
  <si>
    <t>https://www.meduzot.co.il/oil-list</t>
  </si>
  <si>
    <t>https://www.meduzot.co.il/storage/app/uploads/public/60b/117/069/60b1170695779634054810.jpeg</t>
  </si>
  <si>
    <t>https://encrypted-tbn0.gstatic.com/images?q=tbn:ANd9GcS78_V5dXb3cy0OEYnDKmfrv8nGRjwtJGmGzA&amp;usqp=CAU</t>
  </si>
  <si>
    <t>https://ashdodnet.com/%D7%97%D7%93%D7%A9%D7%95%D7%AA-%D7%90%D7%A9%D7%93%D7%95%D7%93/%D7%A8%D7%90%D7%A9%D7%95%D7%A0%D7%99-%D7%94%D7%9E%D7%93%D7%95%D7%96%D7%95%D7%AA-%D7%94%D7%92%D7%99%D7%A2%D7%95-%D7%9C%D7%97%D7%95%D7%A4%D7%99-%D7%90%D7%A9%D7%93%D7%95%D7%93-478224</t>
  </si>
  <si>
    <t>https://ashdodnet.com/dyncontent/2021/5/29/0bda22aa-c76b-4370-96df-e07d26ba8210.jpg</t>
  </si>
  <si>
    <t>ראשוני המדוזות הגיעו לחופי אשדוד - אשדוד נט</t>
  </si>
  <si>
    <t>https://encrypted-tbn0.gstatic.com/images?q=tbn:ANd9GcSZAeJOiZq9h9yh2eMHM_roKTCKe4W0TCJErGeEwha2EsKLkU4&amp;s</t>
  </si>
  <si>
    <t>https://www.meduzot.co.il/storage/app/uploads/public/60b/489/970/60b489970776c287269547.jpeg</t>
  </si>
  <si>
    <t>https://encrypted-tbn0.gstatic.com/images?q=tbn:ANd9GcQfv7-IpZbbk-_E-JeVQTjrCM28WNpoIgdvWb86pQwHbP3JWQoK&amp;s</t>
  </si>
  <si>
    <t>gal-gefen.co.il</t>
  </si>
  <si>
    <t>https://gal-gefen.co.il/home-page-headlines/%D7%94%D7%9B%D7%90%D7%91-%D7%94%D7%99%D7%94-%D7%9B%D7%9E%D7%95-%D7%9B%D7%95%D7%95%D7%99%D7%94-%D7%9E%D7%AA%D7%A8%D7%97%D7%A6%D7%99%D7%9D-%D7%9E%D7%AA%D7%9C%D7%95%D7%A0%D7%A0%D7%99%D7%9D-%D7%A2/</t>
  </si>
  <si>
    <t>https://gal-gefen.co.il/wp-content/uploads/2021/06/%D7%94%D7%99%D7%93-%D7%94%D7%AA%D7%A0%D7%A4%D7%97%D7%94-%D7%90%D7%97%D7%A8%D7%99-%D7%A2%D7%A7%D7%99%D7%A6%D7%AA-%D7%94%D7%9E%D7%93%D7%95%D7%96%D7%94.jpg</t>
  </si>
  <si>
    <t>הכאב היה כמו כוויה: מתרחצים מתלוננים על עקיצות מדוזות | גל גפן</t>
  </si>
  <si>
    <t>https://encrypted-tbn0.gstatic.com/images?q=tbn:ANd9GcQA2KuwEpV1MukpIV4mcbN9WbyqeIw2CgL0c9edayeaGFx__llg&amp;s</t>
  </si>
  <si>
    <t>www.bat-yamamas.com</t>
  </si>
  <si>
    <t>https://www.bat-yamamas.com/%D7%9E%D7%93%D7%95%D7%96%D7%95%D7%AA-%D7%9B%D7%97%D7%95%D7%9C%D7%95%D7%AA-%D7%9E%D7%91%D7%A7%D7%A8%D7%95%D7%AA-%D7%91%D7%97%D7%95%D7%A4%D7%99-%D7%91%D7%AA-%D7%99%D7%9D/</t>
  </si>
  <si>
    <t>https://i2.wp.com/www.bat-yamamas.com/wp-content/uploads/2021/06/FB_IMG_1622813500068-1.jpg?zoom=2.625&amp;resize=392%2C218&amp;ssl=1</t>
  </si>
  <si>
    <t>מדוזות כחולות מבקרות בחופי בת ים - מגזין בת-ים</t>
  </si>
  <si>
    <t>https://serpapi.com/searches/637a446e8ccee01a43a050f8/images/a694e05bbaa764f0a4d8205d86feae3cc1abd58a2221661f4356d81a0bffd3d2.jpeg</t>
  </si>
  <si>
    <t>https://www.maariv.co.il/lifestyle/Article-845795</t>
  </si>
  <si>
    <t>https://images.maariv.co.il/image/upload/f_autofl_lossy/c_fillg_faces:centerh_628w_1200/577618</t>
  </si>
  <si>
    <t>לקראת בואן לחופי ישראל: כך תטפלו בצריבת מדוזות | מעריב</t>
  </si>
  <si>
    <t>https://encrypted-tbn0.gstatic.com/images?q=tbn:ANd9GcTPO-pBt7KvASLGecXUggm-QzsVNLx2iUDHpAdLHyycCcV7cck&amp;s</t>
  </si>
  <si>
    <t>www.jdn.co.il</t>
  </si>
  <si>
    <t>https://www.jdn.co.il/video/1549238/</t>
  </si>
  <si>
    <t>https://archive.jdn.co.il/wp-content/uploads/2021/06/F110705MS12.jpg</t>
  </si>
  <si>
    <t>אוהבי ים? שימו לב: נחיל של מאות אלפי מדוזות בדרכו לחופי הארץ ...</t>
  </si>
  <si>
    <t>https://encrypted-tbn0.gstatic.com/images?q=tbn:ANd9GcQIOT3vA7PYFsjNMwmbYh-YYZSr9zNDboZsEg&amp;usqp=CAU</t>
  </si>
  <si>
    <t>https://www.tv2000.co.il/article/23245</t>
  </si>
  <si>
    <t>https://storage.tv2000.co.il/articles_new/18671_tumb_750X480.webp</t>
  </si>
  <si>
    <t>צילום | נוֹבֶמבֶּר 2022</t>
  </si>
  <si>
    <t>592</t>
  </si>
  <si>
    <t>https://encrypted-tbn0.gstatic.com/images?q=tbn:ANd9GcTVKR9VetdpnMJJEREjIR2pm_I8cpa6tzUDoEWOfFWg9RVmc9n4&amp;s</t>
  </si>
  <si>
    <t>https://news.walla.co.il/item/3441989</t>
  </si>
  <si>
    <t>https://images.wcdn.co.il/f_auto,q_auto,w_1200,t_54/2/7/7/3/2773760-46.jpg</t>
  </si>
  <si>
    <t>הן קרובות מאוד לחוף ויישארו איתנו 6 שבועות: המדוזות כבר ...</t>
  </si>
  <si>
    <t>79</t>
  </si>
  <si>
    <t>https://encrypted-tbn0.gstatic.com/images?q=tbn:ANd9GcR_nfkiN86_2DTJeWwIn4hGKsipXf-_ykM2-Q&amp;usqp=CAU</t>
  </si>
  <si>
    <t>https://m.facebook.com/univ.haifa.ac.il/photos/%D7%91%D7%A8%D7%92%D7%A2%D7%99%D7%9D-%D7%90%D7%9C%D7%94-%D7%9E%D7%9E%D7%A9-%D7%A0%D7%97%D7%99%D7%9C-%D7%9E%D7%93%D7%95%D7%96%D7%95%D7%AA-%D7%A2%D7%95%D7%A9%D7%94-%D7%93%D7%A8%D7%9B%D7%95-%D7%90%D7%9C-%D7%97%D7%95%D7%A4%D7%99-%D7%99%D7%A9%D7%A8%D7%90%D7%9C-%D7%95%D7%96%D7%95-%D7%94%D7%96%D7%93%D7%9E%D7%A0%D7%95%D7%AA-%D7%9E%D7%A6%D7%95%D7%99%D7%A0%D7%AA-%D7%9C%D7%94%D7%96%D7%9B%D7%99%D7%A8-%D7%A9%D7%99%D7%A9/3860467397395761/</t>
  </si>
  <si>
    <t>https://lookaside.fbsbx.com/lookaside/crawler/media/?media_id=3860467397395761</t>
  </si>
  <si>
    <t>vesty</t>
  </si>
  <si>
    <t>https://www.vesty.co.il/main/article/Sk11XyFIj00</t>
  </si>
  <si>
    <t>https://www.newsru.co.il/israel/15jun2021/meduzot_101.html</t>
  </si>
  <si>
    <t>https://serpapi.com/searches/638337d236e6a9e35d6b9242/images/11f1afed02345fce84ffc98f43674c137238c3557621fb73fec05ad5012f478b.jpeg</t>
  </si>
  <si>
    <t>https://www.timesofisrael.com/beachgoers-beware-jellyfish-heading-to-israeli-shore/</t>
  </si>
  <si>
    <t>https://static.timesofisrael.com/www/uploads/2021/06/F140430CL01-e1623853298963.jpg</t>
  </si>
  <si>
    <t>Beachgoers beware: Jellyfish swarming toward Israeli shore | The Times of Israel</t>
  </si>
  <si>
    <t>https://encrypted-tbn0.gstatic.com/images?q=tbn:ANd9GcSTmmne8NYU7pKRPb_4Px4mHFaK3RT9qupFmTogFRPyQlk0Psjg&amp;s</t>
  </si>
  <si>
    <t>https://mignews.com/news/lifestyle/izrailtyan-predupredili-o-vozmozhnom-nashestvii-meduz.html</t>
  </si>
  <si>
    <t>https://mignews.com/media/cache/13/d7/13d70195ead04bd0fbae56e29325f441.jpg</t>
  </si>
  <si>
    <t>Израильтян предупредили о скором нашествии медуз | Life ...</t>
  </si>
  <si>
    <t>https://encrypted-tbn0.gstatic.com/images?q=tbn:ANd9GcQ6LnFMB22lp1Id3VK7Z0bhxcQVldWxYZzHQOTfdGwZYDv1ZfnP&amp;s</t>
  </si>
  <si>
    <t>natali-ya.livejournal.com</t>
  </si>
  <si>
    <t>https://natali-ya.livejournal.com/3855597.html</t>
  </si>
  <si>
    <t>https://l-files.livejournal.net/og_image/11122508/15060?v=1623911129</t>
  </si>
  <si>
    <t>Израиль: медузы уже близко: natali_ya — LiveJournal</t>
  </si>
  <si>
    <t>https://serpapi.com/searches/63d00e61ea14429543229cd5/images/f752daf8bb5f9e58613f5a01ee1ab4e2516c511cd4ba8a8bcab48868989f48f2.jpeg</t>
  </si>
  <si>
    <t>Лучшее радио</t>
  </si>
  <si>
    <t>https://radio1064.co.il/news/rekordnoe-nashestvie-meduz-ozhidaetsya-v-izraile-v-blizhajshie-dni</t>
  </si>
  <si>
    <t>https://radio1064.ams3.cdn.digitaloceanspaces.com/opt/radio-fullnews/June2021/Wkyj6g2H464IV6ty0NiF.jpg</t>
  </si>
  <si>
    <t>Рекордное нашествие медуз ожидается в Израиле в ближайшие дни - Лучшее радио</t>
  </si>
  <si>
    <t>https://encrypted-tbn0.gstatic.com/images?q=tbn:ANd9GcQXzHbsFn1xcD7sgXY0ZXVZh08EhJQmwgYnbz6wa5TTIvFIprpK&amp;s</t>
  </si>
  <si>
    <t>https://www.hamal.co.il/post/-Mc_SfMOXMN8CGTlLSOv</t>
  </si>
  <si>
    <t>https://hamal.wcdn.co.il/v0/b/walla-hamal.appspot.com/o/TwUAzJcGYkYgJEm8G3fbuQtqa5V2%2Fimages%2Fthumb%2F1624126018922?alt=media&amp;token=717fc791-1bc7-489a-9936-dee0b5471f89</t>
  </si>
  <si>
    <t>מדוזה כחולה תועדה בחוף בת | חמ״ל</t>
  </si>
  <si>
    <t>https://serpapi.com/searches/637a2349f716eef683f2941a/images/6d27cb32fe6911be5203c3bec0f47ddb627644079ae74169328ecd9107f004ce.jpeg</t>
  </si>
  <si>
    <t>https://herzliya.mynet.co.il/local_news/article/SJ7cjB2sd</t>
  </si>
  <si>
    <t>https://herzliya.mynet.co.il/picserver/mynet/wcm_upload/2021/06/20/S1YdRSnju/______________3_.png</t>
  </si>
  <si>
    <t>המדוזות רק הגיעו לחופי הרצליה וזו רק ההתחלה</t>
  </si>
  <si>
    <t>Record accumulation of jellyfish noted in the Mediterranean off the coast of Israel | Wildlife, environment, environmental news</t>
  </si>
  <si>
    <t>https://serpapi.com/searches/63d00e61ea14429543229cd5/images/f752daf8bb5f9e58613f5a01ee1ab4e2a2ea3d558597b8c80185867e4d9d94dd.jpeg</t>
  </si>
  <si>
    <t>Strana.co.il -новости Израиля, мира, шоу-бизнеса</t>
  </si>
  <si>
    <t>http://m.strana.co.il/News/?ID=122927&amp;cat=3</t>
  </si>
  <si>
    <t>http://www.strana.co.il/XXXcicuilkjvkhasjkasihdchakbchQQkjcvlkhzvhzlhasdfWWW/650x488/21062016180531.jpg</t>
  </si>
  <si>
    <t>На средиземноморском побережье Израиля начался «сезон медуз»</t>
  </si>
  <si>
    <t>https://encrypted-tbn0.gstatic.com/images?q=tbn:ANd9GcQvzhwWR8_hi1T4o7RFmGHYtNsXvIRQFhhEWQ&amp;usqp=CAU</t>
  </si>
  <si>
    <t>https://www.newsru.co.il/israel/21jun2021/meduzot_107.html</t>
  </si>
  <si>
    <t>https://images.newsru.co.il/l/189/1/1890169.jpg</t>
  </si>
  <si>
    <t>На средиземноморском побережье Израиля начался сезон медуз - NEWSru.co.il</t>
  </si>
  <si>
    <t>https://encrypted-tbn0.gstatic.com/images?q=tbn:ANd9GcSG1LtjqzxFNpQt1WjRHmwU2XGOqvHHx49p4w&amp;usqp=CAU</t>
  </si>
  <si>
    <t>الميادين</t>
  </si>
  <si>
    <t>https://www.almayadeen.net/news/environment/1489703/%D9%85%D8%A7%D8%B0%D8%A7-%D8%AA%D8%B9%D8%B1%D9%81-%D8%B9%D9%86-%D9%82%D9%86%D8%AF%D9%8A%D9%84-%D8%A7%D9%84%D8%A8%D8%AD%D8%B1</t>
  </si>
  <si>
    <t>https://media.almayadeen.net/archive/image/2021/6/22/0b677744-0386-417c-bc8a-6fe9582b3d07.jpg</t>
  </si>
  <si>
    <t>ماذا تعرف عن قنديل البحر؟ | الميادين</t>
  </si>
  <si>
    <t>https://encrypted-tbn0.gstatic.com/images?q=tbn:ANd9GcTkmOSbxJkd0oYtOY0C99vlnKVasdNNr-kQhZWyZMo7F7ssqexp&amp;s</t>
  </si>
  <si>
    <t>https://www.youtube.com/watch?v=OhtUXL6hj5I</t>
  </si>
  <si>
    <t>https://i.ytimg.com/vi/OhtUXL6hj5I/maxresdefault.jpg</t>
  </si>
  <si>
    <t>Израиль. Сезон медуз - YouTube</t>
  </si>
  <si>
    <t>https://encrypted-tbn0.gstatic.com/images?q=tbn:ANd9GcQuA2xmX5QkvcyTSXjtVbc77MlP2lK_RAn0rA&amp;usqp=CAU</t>
  </si>
  <si>
    <t>الاتحاد</t>
  </si>
  <si>
    <t>https://www.alittihad44.com/%D8%B4%D8%A4%D9%88%D9%86-%D8%A5%D8%B3%D8%B1%D8%A7%D8%A6%D9%8A%D9%84%D9%8A%D8%A9/%D8%A7%D8%AD%D8%B0%D8%B1%D9%88%D8%A7-%D8%A7%D9%84%D9%84%D8%B3%D8%B9%D8%A7%D8%AA-%D9%82%D9%86%D8%A7%D8%AF%D9%8A%D9%84-%D8%A7%D9%84%D8%A8%D8%AD%D8%B1-%D8%AA%D8%B5%D9%84-%D8%B4%D9%88%D8%A7%D8%B7%D8%A6-%D8%A7%D9%84%D8%A8%D9%84%D8%A7%D8%AF</t>
  </si>
  <si>
    <t>https://www.alittihad44.com/images/news/2021.06.23.15.45.18-5f942ec2c7c6dba79a59da3d%20(1).jpg</t>
  </si>
  <si>
    <t>احذروا اللسعات: قناديل البحر تصل شواطئ البلاد</t>
  </si>
  <si>
    <t>https://serpapi.com/searches/637b357437014cf32db57f90/images/62f790fc1e1a37c1c8914d0c1a3823ff54c704a28914012d59be2e5561c80c15.jpeg</t>
  </si>
  <si>
    <t>https://www.facebook.com/groups/1433983646837647/posts/3077356179167044/</t>
  </si>
  <si>
    <t>https://lookaside.fbsbx.com/lookaside/crawler/media/?media_id=10159515704614362</t>
  </si>
  <si>
    <t>מדוזות בעם | 📣📣 נחיל המדוזות פשט על חופי ראשון לציון משעות הצהריים |  Facebook</t>
  </si>
  <si>
    <t>https://encrypted-tbn0.gstatic.com/images?q=tbn:ANd9GcTTNpj3aRDM9PvUMRG-pbGrAc6ntkAECthJgQ&amp;usqp=CAU</t>
  </si>
  <si>
    <t>bezet</t>
  </si>
  <si>
    <t>https://www.meduzot.co.il/storage/app/uploads/public/60d/781/b4a/60d781b4a9322248172277.jpg</t>
  </si>
  <si>
    <t>https://encrypted-tbn0.gstatic.com/images?q=tbn:ANd9GcRk76HzVCBCaIcjEV_-ZBkOEAHEnfj0dPWrNg&amp;usqp=CAU</t>
  </si>
  <si>
    <t>https://www.meduzot.co.il/storage/app/uploads/public/60d/781/9dc/60d7819dcb576901819915.jpg</t>
  </si>
  <si>
    <t>מקום יוצא דופן של החודש: אגם מדוזות - 🛳 - Travel To You ...</t>
  </si>
  <si>
    <t>https://encrypted-tbn0.gstatic.com/images?q=tbn:ANd9GcSU2JdR8Gv_MeqOcrix7AXL-y3BFOjyekzBlg&amp;usqp=CAU</t>
  </si>
  <si>
    <t>אשדוד היום</t>
  </si>
  <si>
    <t>https://ashdodhayom.co.il/%D7%96%D7%94%D7%99%D7%A8%D7%95%D7%AA-%D7%9E%D7%93%D7%95%D7%96%D7%95%D7%AA/</t>
  </si>
  <si>
    <t>https://ashdodhayom.co.il/wp-content/uploads/2021/06/2BCC7E37-2CC9-4B93-91D8-7CD1ED4F7554-660x330.jpeg</t>
  </si>
  <si>
    <t>זהירות מדוזות - אשדוד היום</t>
  </si>
  <si>
    <t>https://encrypted-tbn0.gstatic.com/images?q=tbn:ANd9GcRq6jrqK8favO0Hjx2hRBwAAD1bSDxU_cZejQ&amp;usqp=CAU</t>
  </si>
  <si>
    <t>nabd.com</t>
  </si>
  <si>
    <t>https://nabd.com/s/89973756-6582eb/%D9%84%D8%B3%D8%B9%D8%A9-%D9%82%D9%86%D8%AF%D9%8A%D9%84-%D8%A7%D9%84%D8%A8%D8%AD%D8%B1..-%D8%A7%D9%84%D8%A3%D8%B9%D8%B1%D8%A7%D8%B6-%D9%88%D8%A7%D9%84%D8%A5%D8%B3%D8%B9%D8%A7%D9%81%D8%A7%D8%AA-%D8%A7%D9%84%D8%A3%D9%88%D9%84%D9%8A%D8%A9</t>
  </si>
  <si>
    <t>https://mk0msdrnewscomlpyn8k.kinstacdn.com/wp-content/uploads/2021/06/%D9%84%D8%B3%D8%B9%D8%A9-%D9%82%D9%86%D8%AF%D9%8A%D9%84-%D8%A7%D9%84%D8%A8%D8%AD%D8%B1.jpg</t>
  </si>
  <si>
    <t>شبكة مصدر الإخبارية | لسعة قنديل البحر.. الأعراض والإسعافات الأولية</t>
  </si>
  <si>
    <t>176</t>
  </si>
  <si>
    <t>https://encrypted-tbn0.gstatic.com/images?q=tbn:ANd9GcRi8k7NG0tGx-9GJgnM6g9f205IYGqmPnmgcr43l-P7EvsTFUo&amp;s</t>
  </si>
  <si>
    <t>https://www.haaretz.co.il/travel/2021-07-01/ty-article-magazine/0000017f-da78-dc0c-afff-db7b8e410000</t>
  </si>
  <si>
    <t>https://img.haarets.co.il/bs/0000017f-da78-dc0c-afff-db7b8d7b0000/08/7d/418a410ccff88a005444451414ef/4188154560.jpg?precrop=1326,1326,x497,y7&amp;height=700&amp;width=700</t>
  </si>
  <si>
    <t>המדוזות שלכם חזרו, ויש מי שמנסה לגרום לכם לאהוב אותן ...</t>
  </si>
  <si>
    <t>https://encrypted-tbn0.gstatic.com/images?q=tbn:ANd9GcQIrDaSFFAhrOdox3K1KwiMQSggNY7zEoC1ILQvhGera9SNWMxe&amp;s</t>
  </si>
  <si>
    <t>https://www.posizia.co.il/%D7%9B%D7%9C%D7%9C%D7%99/%D7%91%D7%99%D7%9D-%D7%91%D7%90%D7%95%D7%95%D7%99%D7%A8-%D7%95%D7%91%D7%A6%D7%9C%D7%99%D7%9C%D7%94-%D7%A2%D7%95%D7%A7%D7%91%D7%99%D7%9D-%D7%90%D7%97%D7%A8%D7%99-%D7%94%D7%9E%D7%93%D7%95%D7%96%D7%95/</t>
  </si>
  <si>
    <t>https://www.posizia.co.il/wp-content/uploads/2021/07/%D7%9E%D7%93%D7%95%D7%96%D7%95%D7%AA-%D7%90%D7%99-%D7%94%D7%96%D7%91%D7%95%D7%91%D7%99%D7%9D-%D7%94%D7%92%D7%93%D7%9C%D7%94-1024x525.jpg</t>
  </si>
  <si>
    <t>בים באוויר ובצלילה: עוקבים אחרי המדוזות – פוזיציה!</t>
  </si>
  <si>
    <t>https://encrypted-tbn0.gstatic.com/images?q=tbn:ANd9GcRRBJ2GkZAbRJEGpxTBG60_CKxJOewUQEGBJA&amp;usqp=CAU</t>
  </si>
  <si>
    <t>https://www.tip.co.il/%D7%91%D7%99%D7%9D-%D7%91%D7%90%D7%95%D7%95%D7%99%D7%A8-%D7%95%D7%91%D7%A6%D7%9C%D7%99%D7%9C%D7%94-%D7%A2%D7%95%D7%A7%D7%91%D7%99%D7%9D-%D7%90%D7%97%D7%A8%D7%99-%D7%94%D7%9E%D7%93%D7%95%D7%96%D7%95/%D7%9E%D7%93%D7%95%D7%96%D7%95%D7%AA-%D7%90%D7%99-%D7%94%D7%96%D7%91%D7%95%D7%91%D7%99%D7%9D-%D7%A2%D7%9B%D7%95/</t>
  </si>
  <si>
    <t>https://www.tip.co.il/wp-content/uploads/2021/07/%D7%9E%D7%93%D7%95%D7%96%D7%95%D7%AA-%D7%90%D7%99-%D7%94%D7%96%D7%91%D7%95%D7%91%D7%99%D7%9D-%D7%A2%D7%9B%D7%95.jpg</t>
  </si>
  <si>
    <t>למעלה מ -3500 אנשים נעקצו ב'פלישה 'של מדוזות בסוף השבוע ...</t>
  </si>
  <si>
    <t>https://encrypted-tbn0.gstatic.com/images?q=tbn:ANd9GcT992ovFbEgieC2ERFIF2m7Skqf5MUk16nNzA&amp;usqp=CAU</t>
  </si>
  <si>
    <t>The Jerusalem Post</t>
  </si>
  <si>
    <t>https://www.jpost.com/israel-news/jellyfish-swarms-tracked-along-coastline-in-haifa-university-study-672717</t>
  </si>
  <si>
    <t>https://images.jpost.com/image/upload/f_autofl_lossy/t_JM_ArticleMainImageFaceDetect/478979</t>
  </si>
  <si>
    <t>Jellyfish swarms tracked along coastline in Haifa University study - Israel News - The Jerusalem Post</t>
  </si>
  <si>
    <t>https://encrypted-tbn0.gstatic.com/images?q=tbn:ANd9GcRSKyJCL7mh6QftZtUhOG_0nwCze_8EyX5m-see8CxcQCfO_HA&amp;s</t>
  </si>
  <si>
    <t>https://www.colbonews.co.il/haifa-news/98379/</t>
  </si>
  <si>
    <t>https://i.ytimg.com/vi/NscYkSEe4yQ/maxresdefault.jpg</t>
  </si>
  <si>
    <t>איך עושה מדוזה והאם הנחילים בדרך אלינו? (וידיאו) - כלבו ...</t>
  </si>
  <si>
    <t>https://serpapi.com/searches/6381cff134ff95ef5e85db0a/images/8c309ba9c53ee7f8a0631d5f975cf4dde7478f1f73002a7fad279b22bcb65c77.jpeg</t>
  </si>
  <si>
    <t>https://www.migdalor-news.co.il/58148-2/</t>
  </si>
  <si>
    <t>https://www.migdalor-news.co.il/wp-content/uploads/2021/07/008-%D7%9E%D7%93%D7%95%D7%96%D7%95%D7%AA-%D7%91%D7%97%D7%99%D7%A4%D7%94-%D7%A6%D7%99%D7%9C%D7%95%D7%9D-%D7%97%D7%92%D7%99-%D7%A0%D7%AA%D7%99%D7%91-%D7%90%D7%95%D7%A0%D7%99%D7%91%D7%A8%D7%A1%D7%99%D7%98%D7%AA-%D7%97%D7%99%D7%A4%D7%94.jpg</t>
  </si>
  <si>
    <t>צפו בתמונות המרהיבות מחופי האזור במסגרת מחקר ביולוגי על המדוזות [📷] -  מגדלור ניוז</t>
  </si>
  <si>
    <t>https://encrypted-tbn0.gstatic.com/images?q=tbn:ANd9GcSgarp-L-ZoCaxLmWJ85KMgd7XYTEsU3fTtOUxrepnQsNuBJU0d&amp;s</t>
  </si>
  <si>
    <t>https://nash-israel.com/news/hajfskij-universitet-izuchaet-nashestvie-meduz-zadejstvovany-aviatsija-i-batiskaf</t>
  </si>
  <si>
    <t>http://nash-israel.com/storage/upload/news/big/a5d48549d7d3fb1017c576326cf99c51.jpeg</t>
  </si>
  <si>
    <t>ᐈ Хайфский университет изучает нашествие медуз ...</t>
  </si>
  <si>
    <t>https://encrypted-tbn0.gstatic.com/images?q=tbn:ANd9GcR-hFuCCxalPjs654-qyHUQe4pHdBHxk_MoGA&amp;usqp=CAU</t>
  </si>
  <si>
    <t>https://www.youtube.com/watch?v=Q2QWDxUm_Wk</t>
  </si>
  <si>
    <t>Akko</t>
  </si>
  <si>
    <t>https://i.ytimg.com/vi/Q2QWDxUm_Wk/maxresdefault.jpg</t>
  </si>
  <si>
    <t>Медузы атакуют! Пляж Акко, Израиль - YouTube</t>
  </si>
  <si>
    <t>https://encrypted-tbn0.gstatic.com/images?q=tbn:ANd9GcQUH1p8TWyCkir9RisRFS6Z9mYynrVwXo9pfbwJEfhbhuYDyJc&amp;s</t>
  </si>
  <si>
    <t>https://actualic.co.il/%D7%96%D7%94%D7%99%D7%A8%D7%95%D7%AA-%D7%9E%D7%93%D7%95%D7%96%D7%95%D7%AA-%D7%99%D7%9C%D7%93%D7%99%D7%9D-%D7%94%D7%92%D7%99%D7%A2%D7%95-%D7%9C%D7%90%D7%99%D7%9B%D7%9C%D7%95%D7%91-%D7%A2%D7%9D-%D7%A6/</t>
  </si>
  <si>
    <t>https://actualic.co.il/wp-content/uploads/2021/07/e2808fe2808fd79cd79bd799d793d794-30.jpg</t>
  </si>
  <si>
    <t>https://encrypted-tbn0.gstatic.com/images?q=tbn:ANd9GcQZ-iVUfvpw8jcVWtUu_CWMMfS1mnNQUltMrg&amp;usqp=CAU</t>
  </si>
  <si>
    <t>https://news.walla.co.il/item/3449904</t>
  </si>
  <si>
    <t>https://images.wcdn.co.il/f_autoq_autow_1200t_54/3/0/4/1/3041528-46.jpg</t>
  </si>
  <si>
    <t>306</t>
  </si>
  <si>
    <t>https://encrypted-tbn0.gstatic.com/images?q=tbn:ANd9GcTm5Mn6DxW6A-ZvUn2jk-HINgtniOYIVy0MhXfTLNGKEWarz0My&amp;s</t>
  </si>
  <si>
    <t>briuti.co.il</t>
  </si>
  <si>
    <t>https://briuti.co.il/53619/</t>
  </si>
  <si>
    <t>https://briuti.co.il/wp-content/uploads/2021/07/jelly-fish-2793643_1280-745x494.jpg</t>
  </si>
  <si>
    <t>היפות והעוקצות: מה לעשות וממה להימנע בעת עקיצת מדוזה » בריאותי</t>
  </si>
  <si>
    <t>https://encrypted-tbn0.gstatic.com/images?q=tbn:ANd9GcTsQQ_s4FKM7F7kgvCtnyEoIO86aKng-pENbA&amp;usqp=CAU</t>
  </si>
  <si>
    <t>ne-np.facebook.com</t>
  </si>
  <si>
    <t>https://ne-np.facebook.com/Ashkelon.muni/posts/%D7%99%D7%9D-%D7%9E%D7%9C%D7%90-%D7%9E%D7%93%D7%95%D7%96%D7%95%D7%AA-%D7%A9%D7%9C%D7%A4%D7%A2%D7%9E%D7%99%D7%9D-%D7%A0%D7%A4%D7%9C%D7%98%D7%95%D7%AA-%D7%90%D7%9C-%D7%97%D7%95%D7%A3-%D7%90%D7%96-%D7%9B%D7%9F-%D7%94%D7%9F-%D7%94%D7%92%D7%99%D7%A2%D7%95-%D7%9C%D7%91%D7%99%D7%A7%D7%95%D7%A8-%D7%94%D7%99%D7%95%D7%9D-%D7%91%D7%97%D7%95%D7%A4%D7%99-%D7%94%D7%A8%D7%97%D7%A6%D7%94-%D7%99%D7%A9-%D7%93%D7%92/4394738883937304/</t>
  </si>
  <si>
    <t>https://lookaside.fbsbx.com/lookaside/crawler/media/?media_id=4394738787270647</t>
  </si>
  <si>
    <t>עיריית אשקלון - ים מלא מדוזות שלפעמים נפלטות אל חוף 🌊 אז... | Facebook</t>
  </si>
  <si>
    <t>https://serpapi.com/searches/638337d236e6a9e35d6b9242/images/11f1afed02345fce84ffc98f43674c13bedda4fbe7d26665ead9b6c98fd9be68.jpeg</t>
  </si>
  <si>
    <t>https://encrypted-tbn0.gstatic.com/images?q=tbn:ANd9GcThnmRQ5OySeWc0GuKrL5E1hlMqI9Tc66PPKztDckgzQvy-394&amp;s</t>
  </si>
  <si>
    <t>www.migdalor-news.co.il</t>
  </si>
  <si>
    <t>https://www.migdalor-news.co.il/wp-content/uploads/2021/07/008-%D7%9E%D7%93%D7%95%D7%96%D7%95%D7%AA-%D7%91%D7%97%D7%99%D7%A4%D7%94-%D7%A6%D7%99%D7%9C%D7%95%D7%9D-%D7%97%D7%92%D7%99-%D7%A0%D7%AA%D7%99%D7%91-%D7%90%D7%95%D7%A0%D7%99%D7%91%D7%A8%D7%A1%D7%99%D7%98%D7%AA-%D7%97%D7%99%D7%A4%D7%94-1024x615.jpg</t>
  </si>
  <si>
    <t>צפו בתמונות המרהיבות מחופי האזור במסגרת מחקר ביולוגי על ...</t>
  </si>
  <si>
    <t>271</t>
  </si>
  <si>
    <t>https://encrypted-tbn0.gstatic.com/images?q=tbn:ANd9GcQRYE5IWxLHh2Ms28hNSGgQ7g2OsQCGVA9xBBumAWHO0D4DNRSe&amp;s</t>
  </si>
  <si>
    <t>https://www.haaretz.co.il/health/whyisthat/2021-07-08/ty-article/.premium/0000017f-e6f1-d97e-a37f-f7f51e890000</t>
  </si>
  <si>
    <t>https://img.haarets.co.il/bs/0000017f-e6f1-d97e-a37f-f7f5136f0000/3c/a5/472f4b26640701a16fc4df0464a4/2257598817.jpg?precrop=1863,1084,x100,y74&amp;height=698&amp;width=1200</t>
  </si>
  <si>
    <t>צריבת מדוזה: איך היא משפיעה על הגוף שלנו ומה הטיפול? - למה ...</t>
  </si>
  <si>
    <t>https://encrypted-tbn0.gstatic.com/images?q=tbn:ANd9GcQBEO6DPFxOx3c88OYc2tIThzom3xz9sUn0IQ&amp;usqp=CAU</t>
  </si>
  <si>
    <t>zh-cn.facebook.com</t>
  </si>
  <si>
    <t>https://zh-cn.facebook.com/groups/1433983646837647/posts/3087629958139666/</t>
  </si>
  <si>
    <t>https://lookaside.fbsbx.com/lookaside/crawler/media/?media_id=10158589620314125</t>
  </si>
  <si>
    <t>מדוזות בעם | הרבה מאוד פעמוניות מעט חוטיות במים הנעימים לשחייה לרוב |  Facebook</t>
  </si>
  <si>
    <t>https://www.vesty.co.il/main/article/b1hzgz7ao</t>
  </si>
  <si>
    <t>https://encrypted-tbn0.gstatic.com/images?q=tbn:ANd9GcT4rGQKSYjIpjD77ucV-HB3odmCW6NiRKCgQP_QlFCUQZK2sYc&amp;s</t>
  </si>
  <si>
    <t>a.kras.cc</t>
  </si>
  <si>
    <t>http://a.kras.cc/2021/07/blog-post_333.html</t>
  </si>
  <si>
    <t>https://newrezume.org/_nw/421/78020805.jpg</t>
  </si>
  <si>
    <t>Аркадий Красильщиков: Когда медузы покинут пляжи Израиля ...</t>
  </si>
  <si>
    <t>https://encrypted-tbn0.gstatic.com/images?q=tbn:ANd9GcQTPwEsNjBgJmYUzQXhUV4HAZLuYMCm9a5pzA&amp;usqp=CAU</t>
  </si>
  <si>
    <t>אינפומד</t>
  </si>
  <si>
    <t>https://www.infomed.co.il/articles/7188/</t>
  </si>
  <si>
    <t>https://www.infomed.co.il/get-image?f=articles/7188/&amp;i=6498ddd5-818d-40b8-b222-8685cc4cf31b.jpg</t>
  </si>
  <si>
    <t>המדוזות תוקפות את חופי ישראל: איך אפשר להתמודד | Infomed</t>
  </si>
  <si>
    <t>https://encrypted-tbn0.gstatic.com/images?q=tbn:ANd9GcS-RKALn-aPHCTWwiTfo2-W9B64oNXNCeAw6K4VShbiHHi37t67&amp;s</t>
  </si>
  <si>
    <t>160954.livejournal.com</t>
  </si>
  <si>
    <t>https://160954.livejournal.com/296630.html</t>
  </si>
  <si>
    <t>https://ic.pics.livejournal.com/160954/76156246/413705/413705_900.jpg</t>
  </si>
  <si>
    <t>Медузы израильского побережья Средиземного моря</t>
  </si>
  <si>
    <t>https://encrypted-tbn0.gstatic.com/images?q=tbn:ANd9GcQLb8jXcqQSX5pkD45gwaRmucwLOm5qGZxpNNOkKVm_IjXeMwk&amp;s</t>
  </si>
  <si>
    <t>https://www.newsru.co.il/israel/16jul2021/meduzot_109.html</t>
  </si>
  <si>
    <t>https://images.newsru.co.il/m/190/91/1909119.jpg</t>
  </si>
  <si>
    <t>На средиземноморском побережье Израиля заканчивается сезон ...</t>
  </si>
  <si>
    <t>https://encrypted-tbn0.gstatic.com/images?q=tbn:ANd9GcTdpkZBJYzAZ39pAI3R5eOnz47fVTlFPySDww&amp;usqp=CAU</t>
  </si>
  <si>
    <t>https://mignews.com/news/lifestyle/meduzy-u-beregov-izrailya.html</t>
  </si>
  <si>
    <t>https://mignews.com/media/cache/b0/a6/b0a6d8f9529f01ad5e48a2b795594e0a.jpg</t>
  </si>
  <si>
    <t>Медузы у берегов Израиля | Life Style | MIGnews - MigNews – новости Израиля и мира на русском языке</t>
  </si>
  <si>
    <t>https://serpapi.com/searches/63d00e61ea14429543229cd5/images/f752daf8bb5f9e58613f5a01ee1ab4e25479ea79d188021acc76270dc0fd6025.jpeg</t>
  </si>
  <si>
    <t>http://m.strana.co.il/News/?ID=123495&amp;cat=3</t>
  </si>
  <si>
    <t>http://www.strana.co.il/XXXcicuilkjvkhasjkasihdchakbchQQkjcvlkhzvhzlhasdfWWW/650x488/317202081321893.jpg</t>
  </si>
  <si>
    <t>На средиземноморском побережье Израиля завершился «сезон медуз»</t>
  </si>
  <si>
    <t>https://encrypted-tbn0.gstatic.com/images?q=tbn:ANd9GcRLaWNPobSbHMKX3VA1gGQcOcv2A2CMBtlkbsbriR85wHDWXLtM&amp;s</t>
  </si>
  <si>
    <t>https://www.newsru.co.il/israel/22jul2021/meduzot_120.html</t>
  </si>
  <si>
    <t>https://images.newsru.co.il/m/191/44/1914454.jpg</t>
  </si>
  <si>
    <t>На средиземноморском побережье Израиля завершился сезон ...</t>
  </si>
  <si>
    <t>The concentration of jellyfish near the shores of the Mediterranean Sea is increasing - Israel News&gt;The concentration of jellyfish is increasing near ...</t>
  </si>
  <si>
    <t xml:space="preserve">ashkelon-nahariya </t>
  </si>
  <si>
    <t>https://encrypted-tbn0.gstatic.com/images?q=tbn:ANd9GcRpHDTGvFw8-4FKC-McB_vvWAwUTS1HIUJcgkkPwQsrWfDRXMed&amp;s</t>
  </si>
  <si>
    <t>https://detaly.co.il/pogoda-v-izraile-solntse-leto-more-pochti-bez-meduz/</t>
  </si>
  <si>
    <t>ashkelon, tel aviv , hadera</t>
  </si>
  <si>
    <t>https://detaly.co.il/wp-content/uploads/2021/07/pexels-andrea-piacquadio-phone-sea.jpg</t>
  </si>
  <si>
    <t>Погода в Израиле: солнце, лето, море почти без медуз. Детали ...</t>
  </si>
  <si>
    <t>149</t>
  </si>
  <si>
    <t>https://encrypted-tbn0.gstatic.com/images?q=tbn:ANd9GcQu4yiadBQ_3Q7dj1O7573GrVuXq3-FQRLDv98oQzqnaBJ3nOM&amp;s</t>
  </si>
  <si>
    <t>www.haifa.ac.il</t>
  </si>
  <si>
    <t>https://www.haifa.ac.il/2021/08/15/%D7%94%D7%9E%D7%93%D7%95%D7%96%D7%94-%D7%94%D7%A0%D7%A4%D7%95%D7%A6%D7%94-%D7%91%D7%99%D7%A9%D7%A8%D7%90%D7%9C-%D7%94%D7%97%D7%95%D7%98%D7%99%D7%AA-%D7%94%D7%A0%D7%95%D7%93%D7%93%D7%AA-%D7%94%D7%99/</t>
  </si>
  <si>
    <t>https://www.haifa.ac.il/wp-content/uploads/2021/08/jellyfish.jpg</t>
  </si>
  <si>
    <t>המדוזה הנפוצה בישראל, החוטית הנודדת, היא טורפת יעילה המותאמת ...</t>
  </si>
  <si>
    <t>https://encrypted-tbn0.gstatic.com/images?q=tbn:ANd9GcSGC7HIwV72RlNxohSe8bN3eEiN_O-3DEoopgmNRp-N0LqfDks8&amp;s</t>
  </si>
  <si>
    <t>https://www.facebook.com/groups/1433983646837647/posts/3175546856014642/</t>
  </si>
  <si>
    <t>https://lookaside.fbsbx.com/lookaside/crawler/media/?media_id=10158575968188261</t>
  </si>
  <si>
    <t>מדוזות בעם | היום בבוקר באזור הבננה ביץ׳ תל אביב ים צלול ...</t>
  </si>
  <si>
    <t>https://encrypted-tbn0.gstatic.com/images?q=tbn:ANd9GcSL2vRZZasZ_Ks4x7oMPOcttKNKFMyrR51NR-9u_p1CjJ8J0TdX&amp;s</t>
  </si>
  <si>
    <t>http://m.strana.co.il/News/?ID=125506&amp;cat=3</t>
  </si>
  <si>
    <t>http://www.strana.co.il/XXXcicuilkjvkhasjkasihdchakbchQQkjcvlkhzvhzlhasdfWWW/650x488/1872019233425104.jpg</t>
  </si>
  <si>
    <t>Около средиземноморского побережья Израиля замечены «жгучие ...</t>
  </si>
  <si>
    <t>https://encrypted-tbn0.gstatic.com/images?q=tbn:ANd9GcTST5yfarwgx8i5A2jjhaQ5iHBu4Z5SZUnd5g&amp;usqp=CAU</t>
  </si>
  <si>
    <t>Новости Израиля . |</t>
  </si>
  <si>
    <t>https://www.israeleco.com/k-beregam-izrailya-prishli-opasnye-yadovitye-meduzy/</t>
  </si>
  <si>
    <t>https://cdn.orbita.co.il/nashe/808/202111/4b5c5dfcdf_img.jpg</t>
  </si>
  <si>
    <t>К берегам Израиля пришли опасные ядовитые медузы | Новости Израиля</t>
  </si>
  <si>
    <t>https://serpapi.com/searches/6381cff134ff95ef5e85db0a/images/8c309ba9c53ee7f8fb7dec9fcd973c6cb5b0bde7ef9862c8653854e1935eba62.jpeg</t>
  </si>
  <si>
    <t>https://www.facebook.com/groups/1433983646837647/posts/3199936296909031/</t>
  </si>
  <si>
    <t>https://lookaside.fbsbx.com/lookaside/crawler/media/?media_id=10160413079892450</t>
  </si>
  <si>
    <t>מדוזות בעם | היום בשדות ים</t>
  </si>
  <si>
    <t>https://encrypted-tbn0.gstatic.com/images?q=tbn:ANd9GcRSFJpcvpv7XocxQ1wqSYvCL3f_jzZxuLYocQ&amp;usqp=CAU</t>
  </si>
  <si>
    <t>https://www.facebook.com/groups/1433983646837647/posts/3211850589050935/</t>
  </si>
  <si>
    <t>https://lookaside.fbsbx.com/lookaside/crawler/media/?media_id=1075571166611928</t>
  </si>
  <si>
    <t>מדוזות בעם | בין חוף לידו אשדוד לשפך נחל לכיש..</t>
  </si>
  <si>
    <t>https://encrypted-tbn0.gstatic.com/images?q=tbn:ANd9GcSO3MnBcuxV-CTcGOc9ciRTv1Ijd15CvKu7rw&amp;usqp=CAU</t>
  </si>
  <si>
    <t>https://haipo.co.il/item/331650</t>
  </si>
  <si>
    <t>https://haipo.co.il/wp-content/uploads/2021/12/haipo-news-of-haifa-jelly-fish-291221-12-1000x750.jpeg</t>
  </si>
  <si>
    <t>https://serpapi.com/searches/637a3b77a5ad6d55c7dd6bef/images/5180850c0f0f6ef55bf83fb5b0dfc1357b2d9267ac19b1150eb7121a69bf4377.jpeg</t>
  </si>
  <si>
    <t>https://haipo.co.il/wp-content/uploads/2021/12/haipo-news-of-haifa-jelly-fish-291221-14-scaled.jpeg</t>
  </si>
  <si>
    <t>https://encrypted-tbn0.gstatic.com/images?q=tbn:ANd9GcQltSp3nUhq-llClc4IwO3qal0WMXDhdb99X6sQk7_WBse-8NU&amp;s</t>
  </si>
  <si>
    <t>www.sadanews.ps</t>
  </si>
  <si>
    <t>https://www.sadanews.ps/news/116545.html</t>
  </si>
  <si>
    <t>https://www.sadanews.ps/cached_uploads/resize/960/531/2022/05/03/626fc5fe423604310b32e168-1651561005.png.webp</t>
  </si>
  <si>
    <t>أطعمة مفيدة لتقليل مخاطر الأورام السرطانية! - وكالة صدى نيوز</t>
  </si>
  <si>
    <t>https://encrypted-tbn0.gstatic.com/images?q=tbn:ANd9GcQ-nYzgsBQE54P3kbI4ly3k6BoG9GoraTJwtC9fJBCTu6tTAvU&amp;s</t>
  </si>
  <si>
    <t>www.jewishpress.com</t>
  </si>
  <si>
    <t>https://www.jewishpress.com/news/environment/israeli-scientists-track-source-of-summertime-jellyfish/2022/05/19/</t>
  </si>
  <si>
    <t>https://www.jewishpress.com/wp-content/uploads/medusa-jellyfish-by-Peter-Kraayvanger-at-Pixabay-1200x900.jpg</t>
  </si>
  <si>
    <t>Israeli Scientists Track Source of Summertime Jellyfish ...</t>
  </si>
  <si>
    <t>https://encrypted-tbn0.gstatic.com/images?q=tbn:ANd9GcTqRQJ8kVcb5WDBFAK6acaiCuJmdNN4u0TbSzMvRiwrZOxPhCw&amp;s</t>
  </si>
  <si>
    <t>www.gettyimages.com</t>
  </si>
  <si>
    <t>https://www.gettyimages.com/photos/dead-jellyfish</t>
  </si>
  <si>
    <t>https://media.gettyimages.com/id/1403150438/photo/a-person-stands-near-the-site-of-a-dead-jellyfish-the-beach-on-june-15-2022-in-tel-aviv.jpg?s=612x612&amp;w=gi&amp;k=20&amp;c=uZryDi6OCjPJz6FTPTQ_FtnhL2iTaum50eKUy_DUC4M=</t>
  </si>
  <si>
    <t>287 Dead Jellyfish Photos and Premium High Res Pictures ...</t>
  </si>
  <si>
    <t>https://serpapi.com/searches/63d00e61ea14429543229cd5/images/f752daf8bb5f9e58613f5a01ee1ab4e2658d7b647e1bbec7c476099bd5d4e0a5.jpeg</t>
  </si>
  <si>
    <t>https://www.newsru.co.il/israel/15jun2022/meduzot_120.html</t>
  </si>
  <si>
    <t>https://images.newsru.co.il/l/207/29/2072971.jpg</t>
  </si>
  <si>
    <t>Начинается сезон медуз на израильском побережье Средиземного моря - NEWSru.co.il</t>
  </si>
  <si>
    <t>https://serpapi.com/searches/63d00e61ea14429543229cd5/images/f752daf8bb5f9e58613f5a01ee1ab4e284dd541a8f513208e124e829a88f6983.jpeg</t>
  </si>
  <si>
    <t>STMEGI</t>
  </si>
  <si>
    <t>https://stmegi.com/posts/99260/nachinaetsya-sezon-meduz-na-izrailskom-poberezhe-sredizemnogo-morya/</t>
  </si>
  <si>
    <t>https://stmegi.com/upload/resize_cache/iblock/1d3/1000_580_2/1d35183ac15eb513469c301016ac2bca.jpg</t>
  </si>
  <si>
    <t>Начинается «сезон медуз» на израильском побережье Средиземного моря - STMEGI</t>
  </si>
  <si>
    <t>https://encrypted-tbn0.gstatic.com/images?q=tbn:ANd9GcSv9UYqnywRQFEbMpzhLLXZHIGrZCeqEA7pC2U5YbBtfWqjH-M&amp;s</t>
  </si>
  <si>
    <t>vestikavkaza.ru</t>
  </si>
  <si>
    <t>https://vestikavkaza.ru/news/pervye-meduzy-zameceny-u-pobereza-izraila.html</t>
  </si>
  <si>
    <t>ashkelon-bat yam</t>
  </si>
  <si>
    <t>https://vestikavkaza.ru/upload/cbig/2022-06-16/165536120562aaceb5575ae4.47049854.jpg</t>
  </si>
  <si>
    <t>Первые медузы замечены у побережья Израиля | Вестник Кавказа</t>
  </si>
  <si>
    <t>https://encrypted-tbn0.gstatic.com/images?q=tbn:ANd9GcRX7n92dUpfLRaUau_seItPQBOP8qBa1DTzQg&amp;usqp=CAU</t>
  </si>
  <si>
    <t>Trend.az</t>
  </si>
  <si>
    <t>https://www.trend.az/world/israel/3609664.html</t>
  </si>
  <si>
    <t>https://cdn.trend.az/2017/02/04/meduza_skljghjs.jpg</t>
  </si>
  <si>
    <t>У Средиземноморского побережья Израиля появились первые в этом сезоне медузы</t>
  </si>
  <si>
    <t>https://encrypted-tbn0.gstatic.com/images?q=tbn:ANd9GcRBl-I4En60gtLn4S1y5UzWp8qixXw_jxIbrrvdG3c4Qw-oJks&amp;s</t>
  </si>
  <si>
    <t>https://news.walla.co.il/item/3513246</t>
  </si>
  <si>
    <t>https://images.wcdn.co.il/f_autoq_autow_700t_54/3/3/7/8/3378583-46.png</t>
  </si>
  <si>
    <t>העוקץ כבר במים: מיליוני מדוזות נמצאות בדרך לישראל - וואלה! חדשות</t>
  </si>
  <si>
    <t>https://encrypted-tbn0.gstatic.com/images?q=tbn:ANd9GcR3C2ibdmyFvK_NXuz_ClupuvyKkD1aDlAY1A&amp;usqp=CAU</t>
  </si>
  <si>
    <t>The Limited Times</t>
  </si>
  <si>
    <t>https://newsrnd.com/news/2022-06-20-the-sting-is-already-in-the-water--millions-of-jellyfish-are-on-their-way-to-israel---walla!-news.BkllmZkRt5.html</t>
  </si>
  <si>
    <t>https://images.wcdn.co.il/f_auto,q_auto,w_1200,t_54/3/1/9/4/3194135-46.jpg</t>
  </si>
  <si>
    <t>The sting is already in the water: Millions of jellyfish are on their way to Israel - Walla! news - The Limited Times</t>
  </si>
  <si>
    <t>https://encrypted-tbn0.gstatic.com/images?q=tbn:ANd9GcSJfbfeuF8raowvkFtZ-JXP4KRyblTMoQLyog&amp;usqp=CAU</t>
  </si>
  <si>
    <t>https://detaly.co.il/stai-meduz-uzhe-na-puti-v-izrail-chto-sleduet-pomnit-o-nih/</t>
  </si>
  <si>
    <t>https://detaly.co.il/wp-content/uploads/2019/07/jellyfish-pixabay.jpg</t>
  </si>
  <si>
    <t>Стаи медуз уже на пути в Израиль. Что следует о них помнить. В стрекательных клетках Rhopilema nomadica содержится едкое вещество, которое вызывает ожоги при соприкосновении с телом. Израильский информационно-аналитический сайт. Последние новости</t>
  </si>
  <si>
    <t>https://encrypted-tbn0.gstatic.com/images?q=tbn:ANd9GcSmgxSufG9GSF_K-pqzLkHf8f9WNmsjwBrUvA&amp;usqp=CAU</t>
  </si>
  <si>
    <t>Cursorinfo</t>
  </si>
  <si>
    <t>https://cursorinfo.co.il/israel-news/k-poberezhyu-izrailya-dvizhutsya-milliony-meduz/</t>
  </si>
  <si>
    <t>https://cursorinfo.co.il/wp-content/uploads/2021/11/Meduza-1.jpg</t>
  </si>
  <si>
    <t>К побережью Израиля движутся миллионы медуз - новости Израиля и мира</t>
  </si>
  <si>
    <t>https://serpapi.com/searches/637a2349f716eef683f2941a/images/6d27cb32fe6911be822e44a55e31820d260167d867232653497aaee37ec257d7.jpeg</t>
  </si>
  <si>
    <t>https://ashdodnet.com/%D7%90%D7%A9%D7%93%D7%95%D7%93-%D7%91%D7%A7%D7%94%D7%99%D7%9C%D7%94/%D7%94%D7%90%D7%95%D7%A8%D7%97%D7%95%D7%AA-%D7%94%D7%9B%D7%99-%D7%9E%D7%A2%D7%A6%D7%91%D7%A0%D7%95%D7%AA-%D7%91%D7%93%D7%A8%D7%9A-%D7%9E%D7%AA%D7%99-%D7%99%D7%A2%D7%96%D7%91%D7%95-%D7%95%D7%9E%D7%94%D7%9F-%D7%94%D7%97%D7%93%D7%A9%D7%95%D7%AA-%D7%94%D7%9E%D7%A0%D7%97%D7%9E%D7%95%D7%AA-509841</t>
  </si>
  <si>
    <t>https://ashdodnet.com/dyncontent/2017/6/22/fd1e7b39-09b7-416e-a6bb-efcf355d8433.jpg</t>
  </si>
  <si>
    <t>האורחות הכי מעצבנות המדוזות– מתי יעזבו ומהן החדשות המנחמות? - אשדוד נט</t>
  </si>
  <si>
    <t>7</t>
  </si>
  <si>
    <t>https://serpapi.com/searches/637a446e8ccee01a43a050f8/images/a694e05bbaa764f056eeafc2c1c59914178f95e5c58ab2c01888bed045d9bb1c.jpeg</t>
  </si>
  <si>
    <t>ynet</t>
  </si>
  <si>
    <t>https://www.ynet.co.il/environment-science/article/bkunfch2q</t>
  </si>
  <si>
    <t>https://ynet-images1.yit.co.il/picserver5/crop_images/2022/06/22/S1th6w5l55/S1th6w5l55_0_0_1000_750_0_x-large.jpg</t>
  </si>
  <si>
    <t>המדוזות בישראל: ייתכן שהן יישארו איתנו קצת יותר השנה</t>
  </si>
  <si>
    <t>https://encrypted-tbn0.gstatic.com/images?q=tbn:ANd9GcSKkVmhOfTMvg2w1cNU5Xi82FMEqNF8eahH-g&amp;usqp=CAU</t>
  </si>
  <si>
    <t>Detki.co.il</t>
  </si>
  <si>
    <t>https://detki.co.il/news/na_izrailskom_poberezhe_nachalsya_sezon_meduz.html</t>
  </si>
  <si>
    <t>https://detki.co.il/11605309_ml.jpg</t>
  </si>
  <si>
    <t>Detki.co.il - Все о детях в Израиле - На израильском побережье начался сезон медуз</t>
  </si>
  <si>
    <t>507</t>
  </si>
  <si>
    <t>https://encrypted-tbn0.gstatic.com/images?q=tbn:ANd9GcQuDL3Bs_0WLXbhOIxMhAGmlblCkc2xQvXETKpvPb7jHGvfEck&amp;s</t>
  </si>
  <si>
    <t>https://www.tiktok.com/@doron_malik/video/7113210601211448578</t>
  </si>
  <si>
    <t>https://www.tiktok.com/api/img/?itemId=7113210601211448578&amp;location=0&amp;aid=1988</t>
  </si>
  <si>
    <t>אני כל הזמן אומר שצריך לעשות חוף ללא מדוזות , חוץ מסבל במה הן מועילות לנו?  …😪. #חוףהים #דורוןמנתבג #וולוגדורוןמליק</t>
  </si>
  <si>
    <t>https://serpapi.com/searches/638337d236e6a9e35d6b9242/images/11f1afed02345fce85411d3489f49bea30052e7375e020ce5a37bc7efc548f33.jpeg</t>
  </si>
  <si>
    <t>https://www.jpost.com/israel-news/article-710341</t>
  </si>
  <si>
    <t>https://images.jpost.com/image/upload/f_auto,fl_lossy/t_JM_ArticleMainImageFaceDetect/508413</t>
  </si>
  <si>
    <t>Jellyfish season in Israel: What to do if you get stung - Israel News - The Jerusalem Post</t>
  </si>
  <si>
    <t>http://m.strana.co.il/news/?ID=129745&amp;cat=3</t>
  </si>
  <si>
    <t>https://serpapi.com/searches/637a446e8ccee01a43a050f8/images/a694e05bbaa764f0fe78545c150c12c4dcce9de17c805b3b2bfa6d0d4d050171.jpeg</t>
  </si>
  <si>
    <t>https://www.maariv.co.il/news/Article-927414</t>
  </si>
  <si>
    <t>https://images.maariv.co.il/image/upload/f_autofl_lossy/c_fillg_faces:centerw_500/741416</t>
  </si>
  <si>
    <t>זהו זה הן פה: המדוזות נצפו בחופי תל אביב כיצד נתגונן? | חדשות מעריב</t>
  </si>
  <si>
    <t>https://encrypted-tbn0.gstatic.com/images?q=tbn:ANd9GcTYkwZJadqCeZT8-AjVUBW1we3_SRJ-2rF8nA&amp;usqp=CAU</t>
  </si>
  <si>
    <t>https://www.meduzot.co.il/storage/app/uploads/public/62b/9b2/c4d/62b9b2c4dcc4d838402840.jpg</t>
  </si>
  <si>
    <t>https://encrypted-tbn0.gstatic.com/images?q=tbn:ANd9GcQzrfdZXZmkXND6RKYE-N3rxQUQxoPG9ktIZylRBfQe1u6_EHw&amp;s</t>
  </si>
  <si>
    <t>https://www.ynet.co.il/health/article/hyh2s7u59</t>
  </si>
  <si>
    <t>https://ynet-images1.yit.co.il/picserver5/wcm_upload/2022/06/28/S1oTuQ00qc/shutterstock_692569789.jpg</t>
  </si>
  <si>
    <t>המדוזות כאן: מה עושים אחרי שנעקצים, מתי לקבל טיפול רפואי ...</t>
  </si>
  <si>
    <t>https://encrypted-tbn0.gstatic.com/images?q=tbn:ANd9GcRETfCcaxq-eweJj2K8QnPj9HL3oFxzTx8XbCSlxhtYtn59KPE&amp;s</t>
  </si>
  <si>
    <t>https://www.kan.org.il/tags/tag.aspx?tagid=3168</t>
  </si>
  <si>
    <t>https://i.ytimg.com/vi/GLtxt2kXLrw/maxresdefault.jpg</t>
  </si>
  <si>
    <t>מדוזות: כתבות סרטונים ומידע אודות מדוזות | כאן</t>
  </si>
  <si>
    <t>https://serpapi.com/searches/637a446e8ccee01a43a050f8/images/a694e05bbaa764f0612f1df9fce57a06497b2223c2f4c176abd1c3d75a701c40.jpeg</t>
  </si>
  <si>
    <t>https://www.mako.co.il/news-science/2022_q2/Article-2ced08b4a00b181027.htm</t>
  </si>
  <si>
    <t>N12 - מוקדם מהצפוי: נחיל גדול של מדוזות הגיע לחופי חיפה -...</t>
  </si>
  <si>
    <t>https://encrypted-tbn0.gstatic.com/images?q=tbn:ANd9GcSlxHiqDMDHLOIec7K19e1szYF7XDTyOWrSzg&amp;usqp=CAU</t>
  </si>
  <si>
    <t>https://www.davar1.co.il/387901/</t>
  </si>
  <si>
    <t>https://www.davar1.co.il/wp-content/uploads/2022/06/F100630EI03.jpg</t>
  </si>
  <si>
    <t>מזג האוויר: עלייה בעומס החום המדוזות הגיעו לחופי ישראל | אתר החדשות דבר</t>
  </si>
  <si>
    <t>https://encrypted-tbn0.gstatic.com/images?q=tbn:ANd9GcTABdUWjYbEsf5L4hSvC5LCCj4Gqck_hLssocrSUCa9MM0bxy4&amp;s</t>
  </si>
  <si>
    <t>www.bhol.co.il</t>
  </si>
  <si>
    <t>https://www.bhol.co.il/tags/101594</t>
  </si>
  <si>
    <t>https://f7k6f9k9.ssl.hwcdn.net//media/1037111/%D7%94%D7%9E%D7%93%D7%95%D7%96%D7%95%D7%AA-%D7%91%D7%AA%D7%97%D7%A0%D7%AA-%D7%94%D7%9B%D7%97.jpg?mode=crop&amp;width=405&amp;height=299</t>
  </si>
  <si>
    <t>חברת החשמל - מידע כתבות ועדכונים בזמן אמת - בחדרי חרדים</t>
  </si>
  <si>
    <t>https://encrypted-tbn0.gstatic.com/images?q=tbn:ANd9GcQGnaY4JB1ypIifRiCHz5NsEYhSzo8SWz2eUUn9CiOAOudn2gc&amp;s</t>
  </si>
  <si>
    <t>https://www.bhol.co.il/tags/178522</t>
  </si>
  <si>
    <t>https://f7k6f9k9.ssl.hwcdn.net//media/67521/_imagebank_orig_orig_d813e36ed6824cdaa3eb020878f622c4.jpg?mode=crop&amp;width=405&amp;height=299</t>
  </si>
  <si>
    <t>מדוזות - מידע כתבות ועדכונים בזמן אמת - בחדרי חרדים</t>
  </si>
  <si>
    <t>https://encrypted-tbn0.gstatic.com/images?q=tbn:ANd9GcQzgHIjK9yKv7b4GJ7wL1KG8MpDRuCJu6YIyZGM9oXHzy34RVA&amp;s</t>
  </si>
  <si>
    <t>www.kore.co.il</t>
  </si>
  <si>
    <t>https://www.kore.co.il/viewArticle/108663</t>
  </si>
  <si>
    <t>https://www.kore.co.il/news/2022/7/f1a703403b1547cd5259.jpg</t>
  </si>
  <si>
    <t>כל רגע - אי אפשר לספור: גל של מאות מדוזות הגיע לתחנת הכח • צפו</t>
  </si>
  <si>
    <t>https://encrypted-tbn0.gstatic.com/images?q=tbn:ANd9GcRNq1lfxyjKAbaBZhGviPTHuztX4tjuxuEuHS6vGiWA8Bpup5I&amp;s</t>
  </si>
  <si>
    <t>https://www.tiktok.com/discover/%D0%BC%D0%B5%D0%B4%D1%83%D0%B7%D1%8B-%D0%B2-%D1%85%D0%B0%D0%B9%D1%84%D0%B5</t>
  </si>
  <si>
    <t>https://www.tiktok.com/api/img/?itemId=7113901151103356162&amp;location=0&amp;aid=1988</t>
  </si>
  <si>
    <t>В израиле сезон медуз.Сайт чтоб следить ,когда они закончатся ! #израиль #море #медузы #средиземноеморе #хайфа #ришонлецион #батям #лето #israel</t>
  </si>
  <si>
    <t>https://encrypted-tbn0.gstatic.com/images?q=tbn:ANd9GcRpEke8d6dvipP-CmOoDwqDFoYCXFOoNE4ycxAaMOe7SlzPQBaO&amp;s</t>
  </si>
  <si>
    <t>https://www.newsru.co.il/israel/25jun2022/meduzot_102.html</t>
  </si>
  <si>
    <t>https://img.phoenix-widget.com/w/200x150,sc,q85/u/63c5c9ef4b308f2413ddedc5.jpg</t>
  </si>
  <si>
    <t>Сезон медуз на израильском побережье Средиземного моря: при ...</t>
  </si>
  <si>
    <t>https://www.israeleco.com/k-beregam-izrailya-prishli-polchishha-meduz-2/</t>
  </si>
  <si>
    <t>https://encrypted-tbn0.gstatic.com/images?q=tbn:ANd9GcQdgdfPz6Orc4RR090QYr_-KExxE_EYQkzQk6gOZLjFKNQ4Evs&amp;s</t>
  </si>
  <si>
    <t>newsrnd.com</t>
  </si>
  <si>
    <t>https://newsrnd.com/news/2022-07-02-iec-concerns--thousands-of-jellyfish-tried-to-enter-coastal-power-stations-israel-today.HybyqAR6q9.html</t>
  </si>
  <si>
    <t>https://www.israelhayom.co.il/wp-content/uploads/2022/07/02/02/WhatsApp-Image-2022-07-02-at-17.39.00-1-960x640.jpeg</t>
  </si>
  <si>
    <t>IEC concerns: Thousands of jellyfish tried to enter coastal ...</t>
  </si>
  <si>
    <t>https://serpapi.com/searches/637b357437014cf32db57f90/images/62f790fc1e1a37c1e25be32a6c8fa3d261093ce3a9f4ffee129f2d3454497038.jpeg</t>
  </si>
  <si>
    <t>https://www.weather2day.co.il/content/217/jellyfish</t>
  </si>
  <si>
    <t>https://www.weather2day.co.il/pics/uploads/65CnyskgOVmoEQHUehriNe/5uco4utYqTA3wgexUKil8Z.jpg</t>
  </si>
  <si>
    <t>מדוזות בישראל - Weather2day</t>
  </si>
  <si>
    <t>https://encrypted-tbn0.gstatic.com/images?q=tbn:ANd9GcRjbLg5yFbpXf70pRy6Fba3UoOhPKLtcyk2Dg&amp;usqp=CAU</t>
  </si>
  <si>
    <t>https://www.youtube.com/watch?v=FBff19VNJ0c</t>
  </si>
  <si>
    <t>https://i.ytimg.com/vi/FBff19VNJ0c/maxresdefault.jpg</t>
  </si>
  <si>
    <t>מיליוני מדוזות בדרך לישראל, מתוך חמש עם רפי רשף ב3.7.22 - YouTube</t>
  </si>
  <si>
    <t>https://encrypted-tbn0.gstatic.com/images?q=tbn:ANd9GcSQGDuq_KY2MXbUPBjoSV7dxXdUY_6Fy3a5kw&amp;usqp=CAU</t>
  </si>
  <si>
    <t>https://mignews.com/news/disasters/v-netanii-muzhchinu-uzhalila-meduza.html</t>
  </si>
  <si>
    <t>https://mignews.com/media/cache/20/ae/20aed1cf0c42f68fd65b08af03438977.jpg</t>
  </si>
  <si>
    <t>В Нетании мужчину ужалила медуза | Происшествия | MIGnews - MigNews – новости Израиля и мира на русском языке</t>
  </si>
  <si>
    <t>https://serpapi.com/searches/638337d236e6a9e35d6b9242/images/11f1afed02345fce51829c26cfe9932cf957d155f39fa75ba6651b232d8376ba.jpeg</t>
  </si>
  <si>
    <t>Anglo-List</t>
  </si>
  <si>
    <t>https://anglo-list.com/jellyfish-israel/</t>
  </si>
  <si>
    <t>https://anglo-list.com/wp-content/uploads/2016/07/fried_egg_jellyfish.jpg</t>
  </si>
  <si>
    <t>Jellyfish Season in Israel - Anglo-List</t>
  </si>
  <si>
    <t>https://encrypted-tbn0.gstatic.com/images?q=tbn:ANd9GcQhf1PfbblFDiqNrKEXPxFdbD_JlEKoZETGOw&amp;usqp=CAU</t>
  </si>
  <si>
    <t>The Jewish Press</t>
  </si>
  <si>
    <t>https://www.jewishpress.com/news/israel/jellyfish-swarm-in-israel-unusually-intense-as-9-bav-approaches/2022/07/28/</t>
  </si>
  <si>
    <t>https://www.jewishpress.com/wp-content/uploads/2022/07/Jellyfish-on-the-beach-in-Tel-Aviv-July-4-2022..jpg</t>
  </si>
  <si>
    <t>Jellyfish Swarm in Israel Unusually Intense as 9 B'Av Approaches | The Jewish Press - JewishPress.com | David Israel | 29 Tammuz 5782 – July 28 2022 | JewishPress.com</t>
  </si>
  <si>
    <t>https://encrypted-tbn0.gstatic.com/images?q=tbn:ANd9GcRJh979T-HSjC_0719YcH2W96l0MIJw1TCWOA&amp;usqp=CAU</t>
  </si>
  <si>
    <t>https://detaly.co.il/chto-nuzhno-i-chto-kategoricheski-zapreshheno-delat-esli-uzhalila-meduza/</t>
  </si>
  <si>
    <t>https://detaly.co.il/wp-content/uploads/2022/07/pexels-porapak-apichodilok-jellyfish.jpg</t>
  </si>
  <si>
    <t>Ужалила медуза: что нужно делать, а что категорически запрещено?. Детали: Hовости Израиля</t>
  </si>
  <si>
    <t>https://encrypted-tbn0.gstatic.com/images?q=tbn:ANd9GcRWzSXdqrpk1Q0utjShr9MoRIstyLEAj1Yrcw&amp;usqp=CAU</t>
  </si>
  <si>
    <t>https://www.vesty.co.il/main/article/rjgddggj9</t>
  </si>
  <si>
    <t>https://ynet-pic1.yit.co.il/picserver5/wcm_upload/2022/06/28/S1oTuQ00qc/shutterstock_692569789.jpg</t>
  </si>
  <si>
    <t>Медузы уже здесь: что делать при ожоге и как узнавать дислокацию</t>
  </si>
  <si>
    <t>https://encrypted-tbn0.gstatic.com/images?q=tbn:ANd9GcTdEpLP1ay32NbWLEe9jveLQYLokUlXNY7cZuT4aQcpGJsDsVBQ&amp;s</t>
  </si>
  <si>
    <t>www.aldawlanews.com</t>
  </si>
  <si>
    <t>https://www.aldawlanews.com/967464</t>
  </si>
  <si>
    <t>https://media.aldawlanews.com/img/22/07/04/967464_W.jpg</t>
  </si>
  <si>
    <t>شبه حروق واحمرار شديد .. اعراض لسعة قنديل البحر | المنوعات ...</t>
  </si>
  <si>
    <t>https://encrypted-tbn0.gstatic.com/images?q=tbn:ANd9GcS_adx4qn-xoD9zTF0FzLT0qddqLlLKeU6zeIAokOTBAZVheeAP&amp;s</t>
  </si>
  <si>
    <t>https://netanya.mynet.co.il/local_news/article/s1b0i2gic</t>
  </si>
  <si>
    <t>https://modiin.mynet.co.il/picserver/mynet/wcm_upload/2022/07/06/SylsD3zoq/Untitled_design__35_.png</t>
  </si>
  <si>
    <t>הקאמבק הצורב של המדוזות לחופי נתניה: רוחצים מבלים בחוף ...</t>
  </si>
  <si>
    <t>https://encrypted-tbn0.gstatic.com/images?q=tbn:ANd9GcTLcUK-q2XWkOaSgwrQCWsN5Ds8QWAJ5J67Uw&amp;usqp=CAU</t>
  </si>
  <si>
    <t>https://www.newsru.co.il/israel/7jul2022/meduzot_102.html</t>
  </si>
  <si>
    <t>https://images.newsru.co.il/l/207/69/2076985.jpg</t>
  </si>
  <si>
    <t>Сезон медуз на израильском побережье Средиземного моря продолжается: при купании следует соблюдать осторожность - NEWSru.co.il</t>
  </si>
  <si>
    <t>https://encrypted-tbn0.gstatic.com/images?q=tbn:ANd9GcTGFIy2W_rrHSzRl8s2zqHQ0y9-oBUyoynMDw&amp;usqp=CAU</t>
  </si>
  <si>
    <t>https://m.facebook.com/IsraelRussian/posts/3726693040691609/</t>
  </si>
  <si>
    <t>https://lookaside.fbsbx.com/lookaside/crawler/media/?media_id=3726684810692432</t>
  </si>
  <si>
    <t>Израильские медузы не только мешают... - Израиль по-русски | Facebook</t>
  </si>
  <si>
    <t>Off the coast of Israel, the invasion of jellyfish - EN.DELFI&gt;RU.DELFI</t>
  </si>
  <si>
    <t>https://encrypted-tbn0.gstatic.com/images?q=tbn:ANd9GcT5LicwAxYKR2Pr_Ni3FBqIEE7rrwiVLp1BbuyijZDNu8-QhrU&amp;s</t>
  </si>
  <si>
    <t>actualic.co.il</t>
  </si>
  <si>
    <t>https://actualic.co.il/%D7%9B%D7%A9%D7%A7%D7%95%D7%A9%D7%9E%D7%A8%D7%95-%D7%90%D7%9B%D7%9C-%D7%9E%D7%93%D7%95%D7%96%D7%94/</t>
  </si>
  <si>
    <t>https://actualic.co.il/wp-content/uploads/2022/07/e2808fe2808fd79cd79bd799d793d794-2-3.jpg</t>
  </si>
  <si>
    <t>כשקושמרו אכל מדוזה - אקטואליק</t>
  </si>
  <si>
    <t>Jellyfish attack Israel | Russia-Online-Russian news&gt;Jellyfish attack Israel | Russia-Online ...</t>
  </si>
  <si>
    <t>https://encrypted-tbn0.gstatic.com/images?q=tbn:ANd9GcTBax69Ei2RZIRUNkOkgIX67qRzGHW302UlCj6jAOJMdHPce5HM&amp;s</t>
  </si>
  <si>
    <t>mubasher.aljazeera.net</t>
  </si>
  <si>
    <t>https://mubasher.aljazeera.net/news/miscellaneous/2022/7/11/%D8%A3%D8%B3%D8%B1%D8%A7%D8%A8-%D9%87%D8%A7%D8%A6%D9%84%D8%A9-%D9%85%D9%86-%D9%82%D9%86%D8%A7%D8%AF%D9%8A%D9%84-%D8%A7%D9%84%D8%A8%D8%AD%D8%B1-%D8%AA%D8%BA%D8%B2%D9%88-%D8%A3%D8%AD%D8%AF</t>
  </si>
  <si>
    <t>https://mubasher.aljazeera.net/wp-content/uploads/2022/07/Capture-42.png?resize=770%2C513&amp;quality=80</t>
  </si>
  <si>
    <t>الغازي الأبيض”.. أسراب هائلة من قناديل البحر تصل إلى شواطئ ...</t>
  </si>
  <si>
    <t>https://encrypted-tbn0.gstatic.com/images?q=tbn:ANd9GcSj4ZdSOqE-6WUW3GuhhTxws1dqujsUzr72NP63-K-hrmtqfVM&amp;s</t>
  </si>
  <si>
    <t>poleg</t>
  </si>
  <si>
    <t>https://www.meduzot.co.il/storage/app/uploads/public/62c/db3/1c5/62cdb31c5e128490032934.jpeg</t>
  </si>
  <si>
    <t>https://encrypted-tbn0.gstatic.com/images?q=tbn:ANd9GcRAfh65g-Dlohc3UEDGltVfoTIjhPU-3tbvj3e8oF_puOx1_aS5&amp;s</t>
  </si>
  <si>
    <t>https://nabd.com/t/106325807-2a9b32</t>
  </si>
  <si>
    <t>https://www.sawtbeirut.com/wp-content/uploads/2022/07/gelly-800x549.jpg</t>
  </si>
  <si>
    <t>صوت بيروت إنترناشونال | قناديل البحر تغزو الشواطئ اللبنانية</t>
  </si>
  <si>
    <t>https://encrypted-tbn0.gstatic.com/images?q=tbn:ANd9GcRx2to2wy8rBNIADlQu2Uy_v72wz00Yqsxi8w&amp;usqp=CAU</t>
  </si>
  <si>
    <t>https://www.israelhayom.co.il/weathern/article/12211242</t>
  </si>
  <si>
    <t>https://www.israelhayom.co.il/wp-content/uploads/2022/07/13/13/80391__T4A2667_2019-07-04-1920x960.jpg</t>
  </si>
  <si>
    <t>עלייה קלה בעומסי החום במישור החוף נחילי מדוזות באשדוד ובאשקלון</t>
  </si>
  <si>
    <t>Jellyfish can leave the cities of Israel without light&gt;Jellyfish can leave the cities without light ...</t>
  </si>
  <si>
    <t>In Israel, jellyfish stopped the work of the power plant - Korrespondent.net&gt;Korrespondent.net</t>
  </si>
  <si>
    <t>https://encrypted-tbn0.gstatic.com/images?q=tbn:ANd9GcQf-cWIc6sttHM84N6V5zvkR1ndblh186fA9BdXamZSIJ-y_Ccz&amp;s</t>
  </si>
  <si>
    <t>https://newsrnd.com/news/2022-07-22-the-jellyfish-are-here--these-are-the-best-ways-to-treat-the-sting-israel-today.BJXKY7X_25.html</t>
  </si>
  <si>
    <t>https://www.israelhayom.co.il/wp-content/uploads/2022/07/13/13/80391__T4A2667_2019-07-04-960x640.jpg</t>
  </si>
  <si>
    <t>The jellyfish are here: these are the best ways to treat the ...</t>
  </si>
  <si>
    <t>Because of the warm weather, the jellyfish came to Israel earlier&gt;Due to the warm weather, the jellyfish came to ...</t>
  </si>
  <si>
    <t>https://encrypted-tbn0.gstatic.com/images?q=tbn:ANd9GcRX8tNJ6yaZpwjwdgaBiJPNjhWvU9VGRXYPbyw7bNDRhBg7bsiC&amp;s</t>
  </si>
  <si>
    <t>https://www.newsru.co.il/israel/13jul2022/meduzot_102.html</t>
  </si>
  <si>
    <t>https://images.newsru.co.il/l/207/79/2077979.jpg</t>
  </si>
  <si>
    <t>Начинает сокращаться концентрация медуз на израильском ...</t>
  </si>
  <si>
    <t>Poisonous jellyfish return to Israel | www.korabli.eu&gt;www.korabli.eu</t>
  </si>
  <si>
    <t>https://serpapi.com/searches/637a3b77a5ad6d55c7dd6bef/images/5180850c0f0f6ef5661f689e4c2806a38e5123706ed4b91813a0506adc55a769.jpeg</t>
  </si>
  <si>
    <t>https://haipo.co.il/item/376781</t>
  </si>
  <si>
    <t>https://haipo.co.il/wp-content/uploads/2022/07/Haipo-news-Jelly-fish-in-Haifa-140722-scaled.jpeg</t>
  </si>
  <si>
    <t>מדוזות וילון מקלחת ערכות שטיחים פוליאסטר חדר מקלחת וילון ...</t>
  </si>
  <si>
    <t>https://encrypted-tbn0.gstatic.com/images?q=tbn:ANd9GcQffYAOfaMJX4Ta5JLjlB2pisb3iqo5jr6BSQFasPf0FKnj9cmt&amp;s</t>
  </si>
  <si>
    <t>mashunews.co.il</t>
  </si>
  <si>
    <t>https://mashunews.co.il/%D7%AA%D7%99%D7%A2%D7%95%D7%93-%D7%9E%D7%A8%D7%94%D7%99%D7%91-%D7%A0%D7%97%D7%99%D7%9C-%D7%9E%D7%93%D7%95%D7%96%D7%95%D7%AA-%D7%A6%D7%95%D7%A8%D7%91-%D7%91%D7%9E%D7%A4%D7%A8%D7%A5-%D7%97%D7%99%D7%A4/</t>
  </si>
  <si>
    <t>https://mashunews.co.il/wp-content/uploads/2022/07/IMG-20220714-WA0156.jpg</t>
  </si>
  <si>
    <t>תיעוד מרהיב: נחיל מדוזות צורב במפרץ חיפה – חדשות משו</t>
  </si>
  <si>
    <t>https://encrypted-tbn0.gstatic.com/images?q=tbn:ANd9GcTHIajCjN3933WkrxK037unJFeBMgKjW1jm1OXcd7j83KoX5e7Y&amp;s</t>
  </si>
  <si>
    <t>https://www.israelhayom.co.il/news/environment/article/12281235</t>
  </si>
  <si>
    <t>https://www.israelhayom.co.il/wp-content/uploads/2022/03/11/15627915319492_b-1280x1706.jpg</t>
  </si>
  <si>
    <t>תחזית מזג האוויר: חם ומתחמם עוד יותר</t>
  </si>
  <si>
    <t>habonim</t>
  </si>
  <si>
    <t>https://encrypted-tbn0.gstatic.com/images?q=tbn:ANd9GcSsVtEp3eS1kKwN0jY8DVlifnbwb0ei8r1zIZCfmi0IQhZpgjC0&amp;s</t>
  </si>
  <si>
    <t>www.1075.fm</t>
  </si>
  <si>
    <t>https://www.1075.fm/%D7%9E%D7%93%D7%95%D7%96%D7%95%D7%AA-%D7%96%D7%95%D7%94%D7%95-%D7%91%D7%97%D7%95%D7%A4%D7%99-%D7%97%D7%99%D7%A4%D7%94-%D7%9B%D7%9A-%D7%AA%D7%98%D7%A4%D7%9C%D7%95-%D7%91%D7%9E%D7%A7%D7%A8%D7%94-%D7%A9/</t>
  </si>
  <si>
    <t>https://www.1075.fm/wp-content/uploads/2020/06/20200617061314981216.jpg</t>
  </si>
  <si>
    <t>מדוזות זוהו בחופי חיפה: כך תטפלו במקרה של עקיצה • רדיו חיפה ...</t>
  </si>
  <si>
    <t>https://serpapi.com/searches/638337d236e6a9e35d6b9242/images/11f1afed02345fce84ffc98f43674c13f30324b22111587f0d1244c8b9857d85.jpeg</t>
  </si>
  <si>
    <t>ISRAEL21c</t>
  </si>
  <si>
    <t>https://www.israel21c.org/israels-shore-is-a-sea-of-blobbing-jellyfish/</t>
  </si>
  <si>
    <t>https://static.israel21c.org/www/uploads/2022/07/jellyfish-main-1168x657.jpg</t>
  </si>
  <si>
    <t>Israel's shore is a sea of blobbing jellyfish - ISRAEL21c</t>
  </si>
  <si>
    <t>https://encrypted-tbn0.gstatic.com/images?q=tbn:ANd9GcQG_U4ATC5Nl57A4amJmaMOz0J_gUANRecuQw&amp;usqp=CAU</t>
  </si>
  <si>
    <t>http://m.strana.co.il/news/?ID=130186&amp;cat=3</t>
  </si>
  <si>
    <t>http://www.strana.co.il/XXXcicuilkjvkhasjkasihdchakbchQQkjcvlkhzvhzlhasdfWWW/650x488/719202294900.jpg</t>
  </si>
  <si>
    <t>Концентрация медуз на израильском побережье Средиземного моря не сокращается</t>
  </si>
  <si>
    <t>ᐈ The coast of Israel was filled with jellyfish. What species is better not to meet?&gt;ᐈ The coast of Israel was filled with jellyfish ...</t>
  </si>
  <si>
    <t>https://encrypted-tbn0.gstatic.com/images?q=tbn:ANd9GcScTthKSxnjCsZEfu0lQE9onLIxsIATEH0uBI8i6up_w4xGpCc&amp;s</t>
  </si>
  <si>
    <t>detki.co.il</t>
  </si>
  <si>
    <t>https://detki.co.il/news/kupajtes_s_ostorozhnostyu_konczentracziya_meduz_na_poberezhe_sredizemnogo_morya_ne_sokrashhaetsya.html</t>
  </si>
  <si>
    <t>https://detki.co.il/113395688_s.jpg</t>
  </si>
  <si>
    <t>Detki.co.il - Все о детях в Израиле - Купайтесь с ...</t>
  </si>
  <si>
    <t>https://serpapi.com/searches/63d011560b5062e5ae5bfdcb/images/aab8c0efcf0389bc442c9cbb8ec935ac2fbf60d8fd2179086380ab5574297ed2.jpeg</t>
  </si>
  <si>
    <t>https://ar.timesofisrael.com/%D8%B8%D9%87%D9%88%D8%B1-%D8%B3%D8%B1%D8%A8-%D8%B6%D8%AE%D9%85-%D9%85%D9%86-%D9%82%D9%86%D8%A7%D8%AF%D9%8A%D9%84-%D8%A7%D9%84%D8%A8%D8%AD%D8%B1-%D9%82%D8%A8%D8%A7%D9%84%D8%A9-%D8%B3%D8%A7%D8%AD%D9%84/</t>
  </si>
  <si>
    <t>https://static.timesofisrael.com/ar/uploads//2022/07/jellyfish.jpeg</t>
  </si>
  <si>
    <t>ظهور سرب ضخم من قناديل البحر قبالة ساحل حيفا - تايمز أوف إسرائيل</t>
  </si>
  <si>
    <t>https://encrypted-tbn0.gstatic.com/images?q=tbn:ANd9GcS9_onu-UN9rQrueMo44eGmekSgIVjYDxxNvw&amp;usqp=CAU</t>
  </si>
  <si>
    <t>https://www.israelhayom.co.il/news/environment/article/12354525</t>
  </si>
  <si>
    <t>https://gw2.l7cdn.com/ih/Medoza-ingest-876447/poster0.png</t>
  </si>
  <si>
    <t>https://encrypted-tbn0.gstatic.com/images?q=tbn:ANd9GcQ06QGiqkJKWTPW7Tcot3h24x4rRTaFVjnqtA&amp;usqp=CAU</t>
  </si>
  <si>
    <t>חבּוּרֶה - חדשות מאנשים</t>
  </si>
  <si>
    <t>https://habura.co.il/%D7%99%D7%9D-%D7%A9%D7%9C-%D7%9E%D7%93%D7%95%D7%96%D7%95%D7%AA-%D7%A0%D7%97%D7%99%D7%9C-%D7%A2%D7%A6%D7%95%D7%9D-%D7%A9%D7%9C-%D7%9E%D7%93%D7%95%D7%96%D7%95%D7%AA-%D7%91%D7%90%D7%99%D7%96%D7%95%D7%A8/</t>
  </si>
  <si>
    <t>https://habura.co.il/wp-content/uploads/2022/07/IMG_20220720_092734_500-1024x768.jpg</t>
  </si>
  <si>
    <t>ים של מדוזות: נחיל עצום של מדוזות באיזור מפרץ חיפה • צפו - חבּוּרֶה - חדשות  מאנשים</t>
  </si>
  <si>
    <t>https://serpapi.com/searches/637a3b77a5ad6d55c7dd6bef/images/5180850c0f0f6ef55bf83fb5b0dfc135fd2266692cf1c46375b983141d350c3a.jpeg</t>
  </si>
  <si>
    <t>https://hm-news.co.il/294313/</t>
  </si>
  <si>
    <t>https://hamechadesh.b-cdn.net/wp-content/uploads/elementor/thumbs/WhatsApp-Image-2022-07-20-at-12.12.50-ps1bx0crcclq5n6xesqvmhdw4vqgj8gpo9og100cwo.jpeg</t>
  </si>
  <si>
    <t>https://serpapi.com/searches/637a3b77a5ad6d55c7dd6bef/images/5180850c0f0f6ef59bfb6cbf7e08eb04e915b205c6682022e9172f7b36528253.jpeg</t>
  </si>
  <si>
    <t>https://www.youtube.com/watch?v=5E4DL3Kgrnc</t>
  </si>
  <si>
    <t>https://i.ytimg.com/vi/5E4DL3Kgrnc/maxresdefault.jpg</t>
  </si>
  <si>
    <t>צריבת מדוזה בילדים ובמבוגרים - רפואת ילדים - האתר המקיף ...</t>
  </si>
  <si>
    <t>https://encrypted-tbn0.gstatic.com/images?q=tbn:ANd9GcTNbqqC8IAlkZ2rvDUesxr5TrLSm2xwIHoJig&amp;usqp=CAU</t>
  </si>
  <si>
    <t>https://www.haaretz.co.il/nature/2022-07-20/ty-article-magazine/.premium/00000182-1a80-d55b-a3b3-fae98bf80000</t>
  </si>
  <si>
    <t>https://i.ytimg.com/vi/em7oE98twO0/maxresdefault.jpg</t>
  </si>
  <si>
    <t>נחילי מדוזות מגיעים לישראל. חוקרים חוששים לתפקוד מתקני ההתפלה - סביבה  ואקלים - הארץ</t>
  </si>
  <si>
    <t>https://encrypted-tbn0.gstatic.com/images?q=tbn:ANd9GcTzSP6H4_GMIsLwN6nJHRfcbA4T9ci-H-zY_Q&amp;usqp=CAU</t>
  </si>
  <si>
    <t>https://www.youtube.com/watch?v=mWPnv4XHEYQ</t>
  </si>
  <si>
    <t>https://i.ytimg.com/vi/mWPnv4XHEYQ/hqdefault.jpg?sqp=-oaymwEmCOADEOgC8quKqQMa8AEB-AHOBoAC4AOKAgwIABABGEogYyhlMA8=&amp;rs=AOn4CLBeUXRiJj18kiOt65UdW4jmggbgQw</t>
  </si>
  <si>
    <t>https://encrypted-tbn0.gstatic.com/images?q=tbn:ANd9GcSyZhsCillHMdB3yfBdOhbqkNYxJEzVHjG78A&amp;usqp=CAU</t>
  </si>
  <si>
    <t>https://www.youtube.com/watch?v=uhsyH5nXlE4</t>
  </si>
  <si>
    <t>https://i.ytimg.com/vi/uhsyH5nXlE4/hqdefault.jpg</t>
  </si>
  <si>
    <t>A giant swarm of jellyfish in Haifa Bay Israel. - YouTube</t>
  </si>
  <si>
    <t>https://encrypted-tbn0.gstatic.com/images?q=tbn:ANd9GcQziPC-rGyarNj1SaE9Rh9bZ-mtOwwoBr7XStvaaevpompvj-c&amp;s</t>
  </si>
  <si>
    <t>https://www.1075.fm/%D7%AA%D7%99%D7%A2%D7%95%D7%93-%D7%9E%D7%93%D7%94%D7%99%D7%9D-%D7%A0%D7%97%D7%99%D7%9C-%D7%A2%D7%A0%D7%A7-%D7%A9%D7%9C-%D7%9E%D7%93%D7%95%D7%96%D7%95%D7%AA-%D7%91%D7%9E%D7%A4%D7%A8%D7%A5-%D7%97%D7%99/</t>
  </si>
  <si>
    <t>https://i.ytimg.com/vi/Vz-R6urSHsQ/mqdefault.jpg</t>
  </si>
  <si>
    <t>תיעוד מדהים: נחיל ענק של מדוזות במפרץ חיפה • רדיו חיפה 107.5</t>
  </si>
  <si>
    <t>https://encrypted-tbn0.gstatic.com/images?q=tbn:ANd9GcTX-DfWT3Zke0mVv5sSC4fiHTfvB3sJGO-Poy5n5uXDJ9g-Heo&amp;s</t>
  </si>
  <si>
    <t>newshaifakrayot.net</t>
  </si>
  <si>
    <t>https://newshaifakrayot.net/?p=267983</t>
  </si>
  <si>
    <t>https://i.ytimg.com/vi/YWiqnMpLNos/mqdefault.jpg</t>
  </si>
  <si>
    <t>ניוז חיפה והקריות » ים של מדוזות בחיפה (וידאו)</t>
  </si>
  <si>
    <t>https://encrypted-tbn0.gstatic.com/images?q=tbn:ANd9GcQuQbnn8iyPdJzz3TS_-2iIZ0I1xXVa-MjAR4WxUjSPAoxtHTc&amp;s</t>
  </si>
  <si>
    <t>newzim.co.il</t>
  </si>
  <si>
    <t>https://newzim.co.il/zafon/?p=38057</t>
  </si>
  <si>
    <t>https://newzim.co.il/zafon/wp-content/uploads/sites/4/2021/01/20210112_103852-390x220.jpg</t>
  </si>
  <si>
    <t>נחיל מדוזות ענק תועד כשהוא בדרכו לחופי חיפה - רשת ניוזים</t>
  </si>
  <si>
    <t>https://encrypted-tbn0.gstatic.com/images?q=tbn:ANd9GcTpKBS8XkpF-O2UETmMyUVp9s6UtrOpK06cYw&amp;usqp=CAU</t>
  </si>
  <si>
    <t>רשות הטבע והגנים</t>
  </si>
  <si>
    <t>https://www.parks.org.il/new/meduzot-2/</t>
  </si>
  <si>
    <t>https://static.parks.org.il/wp-content/uploads/2022/07/%D7%9E%D7%93%D7%95%D7%96%D7%95%D7%AA-%D7%A8%D7%95%D7%AA%D7%9D-%D7%A9%D7%93%D7%94.jpg</t>
  </si>
  <si>
    <t>ים של מדוזות - רשות הטבע והגנים</t>
  </si>
  <si>
    <t>https://serpapi.com/searches/637a3b77a5ad6d55c7dd6bef/images/5180850c0f0f6ef544e02b8ca2cb2e3470d89ab2452185fbd5d654565fb29d9a.jpeg</t>
  </si>
  <si>
    <t>https://www.hidabroot.org/article/1171389</t>
  </si>
  <si>
    <t>https://storage.hidabroot.org/articles_new/307940_tumb_750Xauto.jpg</t>
  </si>
  <si>
    <t>https://encrypted-tbn0.gstatic.com/images?q=tbn:ANd9GcQexGPOIqHltdTY3icVUMm0EHa9etz0jWWIh8KACKlv9AmSSxQZ&amp;s</t>
  </si>
  <si>
    <t>www.tv2000.co.il</t>
  </si>
  <si>
    <t>https://www.tv2000.co.il/article/28383</t>
  </si>
  <si>
    <t>https://storage.tv2000.co.il/media/Modules/Users/Pic/30755_tumb_750X480.webp</t>
  </si>
  <si>
    <t>הכל אנשים נחיל מדוזות שוטף את מפרץ חיפה</t>
  </si>
  <si>
    <t>https://encrypted-tbn0.gstatic.com/images?q=tbn:ANd9GcQ0KKjGE8G_RFJuoxtlbj9bTz_8_dJcy1VDFw&amp;usqp=CAU</t>
  </si>
  <si>
    <t>family go</t>
  </si>
  <si>
    <t>https://www.familygo.co.il/%D7%A8%D7%90%D7%A9%D7%99/%D7%99%D7%9D-%D7%A9%D7%9C-%D7%9E%D7%93%D7%95%D7%96%D7%95%D7%AA/</t>
  </si>
  <si>
    <t>https://www.familygo.co.il/wp-content/uploads/2022/07/00001.jpg</t>
  </si>
  <si>
    <t>ים של מדוזות | FAMILY GO</t>
  </si>
  <si>
    <t>https://encrypted-tbn0.gstatic.com/images?q=tbn:ANd9GcQKg8V83fXEqt55j0npG4MDiOw_AevRT9bp9g&amp;usqp=CAU</t>
  </si>
  <si>
    <t>חדשות מבזק לייב</t>
  </si>
  <si>
    <t>https://www.mivzaklive.co.il/archives/588952</t>
  </si>
  <si>
    <t>https://www.mivzaklive.co.il/wp-content/uploads/2022/07/2669940e-853f-4250-9885-72d4d71cfd1c.jpg</t>
  </si>
  <si>
    <t>כמויות אדירות של מדוזות נצפו באזור מפרץ חיפה | צפו בתיעוד</t>
  </si>
  <si>
    <t>The concentration of jellyfish on the Israeli Mediterranean coast remains high - NEWSen.co.il&gt;The concentration of jellyfish on the Israeli ...</t>
  </si>
  <si>
    <t>https://encrypted-tbn0.gstatic.com/images?q=tbn:ANd9GcTWDpAzDGgbbGm3w8d7TZ-DzGdBgdzWrpPfmw&amp;usqp=CAU</t>
  </si>
  <si>
    <t>https://www.mivzaklive.co.il/wp-content/uploads/2022/07/ffbc0fcd-447c-4de5-8479-a0d67760b456.jpg</t>
  </si>
  <si>
    <t>https://encrypted-tbn0.gstatic.com/images?q=tbn:ANd9GcRGyPJQMnwUzYxOLxt_VUy5MQBBnU1ijsEt3qTYprXi2bt9WEuo&amp;s</t>
  </si>
  <si>
    <t>www.now14.co.il</t>
  </si>
  <si>
    <t>https://www.now14.co.il/%D7%9E%D7%A8%D7%90%D7%94-%D7%9E%D7%A8%D7%94%D7%99%D7%91-%D7%91%D7%90%D7%96%D7%95%D7%A8-%D7%94%D7%9E%D7%A4%D7%A8%D7%A5-%D7%91%D7%97%D7%99%D7%A4%D7%94-%D7%A0%D7%97%D7%99%D7%9C-%D7%A2%D7%A6%D7%95%D7%9D/</t>
  </si>
  <si>
    <t>https://www.now14.co.il/wp-content/uploads/2022/07/WhatsApp-Image-2022-07-20-at-07.14.57.jpeg</t>
  </si>
  <si>
    <t>מראה מרהיב באזור המפרץ בחיפה: נחיל עצום של מדוזות | תיעוד ...</t>
  </si>
  <si>
    <t>https://serpapi.com/searches/637a3b77a5ad6d55c7dd6bef/images/5180850c0f0f6ef56842875b94bacc4c45350597b5adf1ad3747b5ce79c1ad78.jpeg</t>
  </si>
  <si>
    <t>https://www.srugim.co.il/692472-%D7%99%D7%9D-%D7%A9%D7%9C-%D7%9E%D7%93%D7%95%D7%96%D7%95%D7%AA-%D7%A6%D7%A4%D7%95-%D7%91%D7%A0%D7%97%D7%99%D7%9C-%D7%A2%D7%A6%D7%95%D7%9D-%D7%91%D7%9E%D7%A4%D7%A8%D7%A5-%D7%97%D7%99%D7%A4%D7%94</t>
  </si>
  <si>
    <t>https://www.srugim.co.il/wp-content/uploads/2022/07/%D7%9E%D7%93%D7%95%D7%96%D7%95%D7%AA-%D7%A8%D7%95%D7%AA%D7%9D-%D7%A9%D7%93%D7%94-%D7%A8%D7%98%D7%92-1-640x360.jpeg</t>
  </si>
  <si>
    <t>מה כדאי לדעת על מדוזות? - מוזיאון הטבע עש שטיינהרדט</t>
  </si>
  <si>
    <t>Millions of jellyfish move to the shores of Israel&gt;Millions of jellyfish move to the shores of Israel</t>
  </si>
  <si>
    <t>https://encrypted-tbn0.gstatic.com/images?q=tbn:ANd9GcTAd5pOls8NyfFC6hMHr2atUbJZk44YBhKI_w&amp;usqp=CAU</t>
  </si>
  <si>
    <t>https://www.tiktok.com/@suleimanmaswadeh/video/7122363001721670914</t>
  </si>
  <si>
    <t>https://www.tiktok.com/api/img/?itemId=7122363001721670914&amp;location=0&amp;aid=1988</t>
  </si>
  <si>
    <t>Jellyfish reported on Israeli Mediterranean beaches - NEWSru.co.il&gt;NEWSru.co.il</t>
  </si>
  <si>
    <t>https://serpapi.com/searches/637a446e8ccee01a43a050f8/images/a694e05bbaa764f09b8d5f2543be562c3325c525db547d751770101ea9888dd4.jpeg</t>
  </si>
  <si>
    <t>https://ynet-images1.yit.co.il/picserver5/crop_images/2022/07/20/rkbZHrbB2c/rkbZHrbB2c_0_0_1600_1200_0_x-large.jpg</t>
  </si>
  <si>
    <t>https://serpapi.com/searches/637a3b77a5ad6d55c7dd6bef/images/5180850c0f0f6ef55bf83fb5b0dfc135d34b2bb6aa9095aae230ea6c003dbe2c.jpeg</t>
  </si>
  <si>
    <t>https://www.ynet.co.il/environment-science/article/hjlcfbbn5</t>
  </si>
  <si>
    <t>https://ynet-images1.yit.co.il/picserver5/wcm_upload/2022/07/20/SkxbBr11r29/8ef4cd46_317e_4933_b977_df620585ba2d.jpg</t>
  </si>
  <si>
    <t>Origins Of The Medusa: Study Examines Israel's Summer Jellyfish - I24NEWS&gt;Origins Of The Medusa: Study Examines ...</t>
  </si>
  <si>
    <t>https://encrypted-tbn0.gstatic.com/images?q=tbn:ANd9GcR9V7UcP1-OdZvoEdUTEm9LxiEaIfeEXQpKR7UArtJGFCOdX5N0&amp;s</t>
  </si>
  <si>
    <t>www.paudal.com</t>
  </si>
  <si>
    <t>https://www.paudal.com/2022/07/20/videos-drone-films-thousands-of-jellyfish-off-the-coast-of-israel/</t>
  </si>
  <si>
    <t>https://media.nu.nl/m/3ozxjteamkis_sqr256.jpg/drone-filmt-duizenden-kwallen-voor-de-kust-van-israel.jpg</t>
  </si>
  <si>
    <t>Videos | Drone films thousands of jellyfish off the coast of ...</t>
  </si>
  <si>
    <t>https://encrypted-tbn0.gstatic.com/images?q=tbn:ANd9GcS_KX_dp42nxIoQ9vAnpDmHc5KZ0Pi8SEqT_Q-KeFx2okYO8Wo&amp;s</t>
  </si>
  <si>
    <t>https://www.youtube.com/watch?v=EUHXzBy6f7Y</t>
  </si>
  <si>
    <t>https://i.ytimg.com/vi/g-QNqAJwA4M/hqdefault.jpg?sqp=-oaymwEiCKgBEF5IWvKriqkDFQgBFQAAAAAYASUAAMhCPQCAokN4AQ==&amp;rs=AOn4CLDl4fsoM8eD9OGuOh4_3XkhLyJryw</t>
  </si>
  <si>
    <t>Watch Thousands Of Jellyfish Swarming Off The Israeli Coast ...</t>
  </si>
  <si>
    <t>https://encrypted-tbn0.gstatic.com/images?q=tbn:ANd9GcQx8VpGRidqzPJqMTw8Cc1yWG-3KvQXBrJ6ksG3tr7PnofyxXJA&amp;s</t>
  </si>
  <si>
    <t>https://www.tiktok.com/discover/jellyfish-swarm</t>
  </si>
  <si>
    <t>https://www.tiktok.com/api/img/?itemId=7125083271779863854&amp;location=0&amp;aid=1988</t>
  </si>
  <si>
    <t>These jellyfish swarms are taking over parts of the Mediterranean Sea...  #nature #climate #news #fyp</t>
  </si>
  <si>
    <t>When the jellyfish leave the beaches of Israel: expert explains&gt;When the jellyfish leave the beaches of Israel ...</t>
  </si>
  <si>
    <t>https://encrypted-tbn0.gstatic.com/images?q=tbn:ANd9GcSE2yd_dAOem898j0UyRjLzxbinbzllMVOIy5DExHGb_A0NbZpF&amp;s</t>
  </si>
  <si>
    <t>https://www.youtube.com/watch?v=fTCFMFDhymg</t>
  </si>
  <si>
    <t>https://i.ytimg.com/vi/fTCFMFDhymg/maxresdefault.jpg</t>
  </si>
  <si>
    <t>Swarm of jellyfish appears off Israel's Mediterranean Coast</t>
  </si>
  <si>
    <t>https://encrypted-tbn0.gstatic.com/images?q=tbn:ANd9GcStyFtC0E3RjdQJLWF4hMQREhfIC_xNeXSgl0NwFWJfK4GfYqo&amp;s</t>
  </si>
  <si>
    <t>https://www.youtube.com/watch?v=eurkeWpxkGU</t>
  </si>
  <si>
    <t>https://i.ytimg.com/vi/2msRyMR2R08/hqdefault.jpg?sqp=-oaymwEiCKgBEF5IWvKriqkDFQgBFQAAAAAYASUAAMhCPQCAokN4AQ==&amp;rs=AOn4CLDva2p4ScGzOcZ8CvSbWKytChgfyg</t>
  </si>
  <si>
    <t>Massive Swarm of Jellyfish Appears in Israel's Haifa Bay ...</t>
  </si>
  <si>
    <t>https://encrypted-tbn0.gstatic.com/images?q=tbn:ANd9GcTJUR3zGH8be2ly3I8PKIAh84lxnYrZy5P62Smfl6rJ5T9i46E&amp;s</t>
  </si>
  <si>
    <t>https://www.youtube.com/watch?v=dUaeaCXJZJw</t>
  </si>
  <si>
    <t>https://i.ytimg.com/vi/dUaeaCXJZJw/maxresdefault.jpg</t>
  </si>
  <si>
    <t>Huge jellyfish swarm surrounds boat in Israel</t>
  </si>
  <si>
    <t>https://encrypted-tbn0.gstatic.com/images?q=tbn:ANd9GcQXEX_LErfq520X9Nbdf38L7MmEbCrA6GqULwR0YPjsSyVm9V1d&amp;s</t>
  </si>
  <si>
    <t>www.toi.news</t>
  </si>
  <si>
    <t>https://www.toi.news/world/massive-schools-of-jellyfish-appear-like-polka-dots-in-the-israel-sea/</t>
  </si>
  <si>
    <t>https://i0.wp.com/i.ytimg.com/vi/4tWA9QO7uL4/hqdefault.jpg?ssl=1</t>
  </si>
  <si>
    <t>Massive schools of jellyfish appear like polka dots in the ...</t>
  </si>
  <si>
    <t>https://serpapi.com/searches/638337d236e6a9e35d6b9242/images/11f1afed02345fce85b2bda28b0787c37de592db5e2a9fcc3f341269070e1892.jpeg</t>
  </si>
  <si>
    <t>https://www.timesofisrael.com/giant-jellyfish-swarm-speckling-the-sea-off-haifa-coast/</t>
  </si>
  <si>
    <t>https://static.timesofisrael.com/www/uploads/2022/07/Image-from-iOS-2022-07-21T120729.579.jpg</t>
  </si>
  <si>
    <t>Off the Haifa coast a giant jellyfish swarm speckles the sea | The Times of Israel</t>
  </si>
  <si>
    <t>https://serpapi.com/searches/638337d236e6a9e35d6b9242/images/11f1afed02345fce84ffc98f43674c13d90d3e8981da4c613ddebf95d2750114.jpeg</t>
  </si>
  <si>
    <t>i24NEWS</t>
  </si>
  <si>
    <t>https://www.i24news.tv/en/news/israel/environment/1658303657-israel-jellyfish-swarm-spotted-off-coast-of-haifa-bay</t>
  </si>
  <si>
    <t>https://cdn.i24news.tv/uploads/d6/12/14/a3/90/77/3d/5d/da/dd/03/81/d0/13/f4/db/d61214a390773d5ddadd0381d013f4db.jpg?width=1000</t>
  </si>
  <si>
    <t>Israel: Jellyfish Swarm Spotted Off Coast Of Haifa Bay - I24NEWS</t>
  </si>
  <si>
    <t>Jellyfish season on the Israeli coast: caution to be taken&gt;Jellyfish season on the Israeli coast ...</t>
  </si>
  <si>
    <t>https://encrypted-tbn0.gstatic.com/images?q=tbn:ANd9GcQ1iEGV4J9vquM0-a_8I5xHodWdVdlIgfEIZw&amp;usqp=CAU</t>
  </si>
  <si>
    <t>https://static.timesofisrael.com/www/uploads/2022/07/Image-from-iOS-2022-07-21T121100.574.jpg</t>
  </si>
  <si>
    <t>https://encrypted-tbn0.gstatic.com/images?q=tbn:ANd9GcTk790TUILnvLAccFAcZ1hRYZGRcehGvCzBqw&amp;usqp=CAU</t>
  </si>
  <si>
    <t>https://www.jpost.com/environment-and-climate-change/article-712617</t>
  </si>
  <si>
    <t>https://images.jpost.com/image/upload/f_autofl_lossy/t_JD_ArticleMainImageFaceDetect/510560</t>
  </si>
  <si>
    <t>Huge hordes of jellyfish spotted swarming around Haifa - The Jerusalem Post</t>
  </si>
  <si>
    <t>https://encrypted-tbn0.gstatic.com/images?q=tbn:ANd9GcTvycHMh1y_w80RUEnZdlV3n-MJImsoYSo_uQ&amp;usqp=CAU</t>
  </si>
  <si>
    <t>Sky News</t>
  </si>
  <si>
    <t>https://news.sky.com/video/jellyfish-swarm-spotted-floating-around-israels-coast-12655717</t>
  </si>
  <si>
    <t>https://e3.365dm.com/22/07/768x432/skynews-jellyfish-swarm_5840669.jpg</t>
  </si>
  <si>
    <t>Jellyfish swarm spotted floating around Israel's coast | World News | Sky News</t>
  </si>
  <si>
    <t>https://encrypted-tbn0.gstatic.com/images?q=tbn:ANd9GcSPdpTr0NrmEYLwrT47DMxTKrCimO7bFUGs8A&amp;usqp=CAU</t>
  </si>
  <si>
    <t>The Guardian</t>
  </si>
  <si>
    <t>https://www.theguardian.com/world/video/2022/jul/20/drone-footage-shows-jellyfish-swarm-floating-in-northern-israel-video</t>
  </si>
  <si>
    <t>https://i.guim.co.uk/img/media/9ab064381c85e50237fb51eb049b8d45eebe21ca/60_0_1800_1080/master/1800.jpg?width=1200&amp;height=630&amp;quality=85&amp;auto=format&amp;fit=crop&amp;overlay-align=bottom%2Cleft&amp;overlay-width=100p&amp;overlay-base64=L2ltZy9zdGF0aWMvb3ZlcmxheXMvdGctZGVmYXVsdC5wbmc&amp;s=f597dbc0ade5e7c455ea1934b2c83356</t>
  </si>
  <si>
    <t>Drone footage shows jellyfish swarm floating in northern Israel – video | World news | The Guardian</t>
  </si>
  <si>
    <t>https://encrypted-tbn0.gstatic.com/images?q=tbn:ANd9GcSWs-e12_V4MDqYaxDQ9JIc-QHNHVj5e5dK6g&amp;usqp=CAU</t>
  </si>
  <si>
    <t>USA Today</t>
  </si>
  <si>
    <t>https://www.usatoday.com/videos/news/have-you-seen/2022/07/26/jellyfish-swarm-take-over-beach-near-haifa-bay-israel/10153776002/</t>
  </si>
  <si>
    <t>https://www.gannett-cdn.com/presto/2022/07/26/USAT/52f6921b-9320-4485-9d45-5f9f85e2912d-jellydish_logo.jpg?crop=19111075x8y0&amp;width=1911&amp;height=1075&amp;format=pjpg&amp;auto=webp</t>
  </si>
  <si>
    <t>Jellyfish swarm take over a beach near Haifa Bay in Israel</t>
  </si>
  <si>
    <t>https://encrypted-tbn0.gstatic.com/images?q=tbn:ANd9GcTtZUFjpLT8XBsvyojLDkrgYAkiAy_y2uBCfg&amp;usqp=CAU</t>
  </si>
  <si>
    <t>Hamodia</t>
  </si>
  <si>
    <t>https://hamodia.com/2022/07/20/jellyfish-swarm-spotted-off-the-coast-of-haifa-bay/</t>
  </si>
  <si>
    <t>https://hamodia.com/hamod-uploads/2022/07/F100630EI03.jpg</t>
  </si>
  <si>
    <t>Jellyfish Swarm Spotted Off the Coast of Haifa Bay - Hamodia.com</t>
  </si>
  <si>
    <t>https://encrypted-tbn0.gstatic.com/images?q=tbn:ANd9GcQT2r2Z2GAsRpehgpwdPkLINXoAyYZ0miMZzSy0cMWWNFjTl93Z&amp;s</t>
  </si>
  <si>
    <t>play.stuff.co.nz</t>
  </si>
  <si>
    <t>https://play.stuff.co.nz/details/_6309766180112</t>
  </si>
  <si>
    <t>https://connect-images.viago.io/w_771c_scalee_sharpen:70q_95/a95ef335e2e2bd9d5318f9524874c09469e8e2650701aa66f84536d1002b2529</t>
  </si>
  <si>
    <t>Giant swarm of jellyfish blanket Israel’s Haifa Bay</t>
  </si>
  <si>
    <t>A high concentration of jellyfish remains along the entire coast of Israel - NEWSru.co.il&gt;NEWSru.co.il</t>
  </si>
  <si>
    <t>https://encrypted-tbn0.gstatic.com/images?q=tbn:ANd9GcRIAGVJv_IwOjfeN_x8omBVuEps-xnc3pgrJAD7_JwSqD128oA&amp;s</t>
  </si>
  <si>
    <t>www.i24news.tv</t>
  </si>
  <si>
    <t>https://cf-images.eu-west-1.prod.boltdns.net/v1/jit/5377161796001/1413e7d4-ef5e-4181-819b-6af05422e849/main/1280x720/28s840ms/match/image.jpg</t>
  </si>
  <si>
    <t>Drone shows sea of jellyfish in Haifa's bay</t>
  </si>
  <si>
    <t>https://encrypted-tbn0.gstatic.com/images?q=tbn:ANd9GcTyjUGm0Z-aKhGCgy9s71wG-gcBiNwIFF8vaBtfXeMgLQTIWSWO&amp;s</t>
  </si>
  <si>
    <t>https://images.jpost.com/image/upload/f_auto,fl_lossy/t_JD_ArticleMainImageFaceDetect/510561</t>
  </si>
  <si>
    <t>Huge hordes of jellyfish spotted swarming around Haifa - The ...</t>
  </si>
  <si>
    <t>The concentration of jellyfish on the Israeli Mediterranean coast remains high, you should be careful when swimming - NEWSen.co.il&gt;The concentration of jellyfish on the Israeli ...</t>
  </si>
  <si>
    <t>https://encrypted-tbn0.gstatic.com/images?q=tbn:ANd9GcTaYk38qSfzF_F6Qw_gy17_F4bzFfn1EvCuIQ&amp;usqp=CAU</t>
  </si>
  <si>
    <t>https://cursorinfo.co.il/israel-news/gigantskij-roj-meduz-zafiksirovali-na-video-na-poberezhe-izrailskogo-plyazha/</t>
  </si>
  <si>
    <t>https://cursorinfo.co.il/wp-content/uploads/2022/10/meduzy-979x637.jpg</t>
  </si>
  <si>
    <t>Гигантский рой медуз зафиксировали на видео на побережье израильского пляжа - новости Израиля и мира</t>
  </si>
  <si>
    <t>https://encrypted-tbn0.gstatic.com/images?q=tbn:ANd9GcTVwV9kcY6al-Ep9FjnAUaAMP8GYh3ENW16_Q&amp;usqp=CAU</t>
  </si>
  <si>
    <t>Новости Хайфы</t>
  </si>
  <si>
    <t>https://haifaru.co.il/stalo-izvestno-gde-sejchas-osobenno-vysokaja-koncentracija-meduz-u-beregov-izrailja-video/</t>
  </si>
  <si>
    <t>https://haifaru.co.il/wp-content/uploads/2022/07/meduz-2.png</t>
  </si>
  <si>
    <t>Стало известно, где сейчас особенно высокая концентрация медуз у берегов Израиля (Видео) - Новости Хайфы</t>
  </si>
  <si>
    <t>Medusas invaden playas de Israel; causan pérdidas a turismo local - Potosinoticias.com&gt;Medusas invaden playas de Israel ...</t>
  </si>
  <si>
    <t>https://encrypted-tbn0.gstatic.com/images?q=tbn:ANd9GcReB4k4P-v650vxmednh9_RXRMOVahsBVaB0ewYLI7M_OBwfDg&amp;s</t>
  </si>
  <si>
    <t>israelinside.info</t>
  </si>
  <si>
    <t>https://israelinside.info/news/obshhestvo/24638/</t>
  </si>
  <si>
    <t>https://israelinside.info/wp-content/uploads/2022/07/2-5.jpg</t>
  </si>
  <si>
    <t>У побережья Хайфы замечен гигантский рой медуз - Новости ...</t>
  </si>
  <si>
    <t>https://encrypted-tbn0.gstatic.com/images?q=tbn:ANd9GcQbI_SfgUY_wr8embll3uGA6996SnzXHjuiEeLs_UgOR51Kpo7s&amp;s</t>
  </si>
  <si>
    <t>rutube.ru</t>
  </si>
  <si>
    <t>https://rutube.ru/video/1a1c319cce53ffabead6204b392d76e8/</t>
  </si>
  <si>
    <t>https://pic.rutubelist.ru/video/cb/37/cb3769fe1c781357a777d4ba0e6c70d7.jpg</t>
  </si>
  <si>
    <t>В Израиле нашествие медуз. Туристы боятся заходить в воду: видео</t>
  </si>
  <si>
    <t>https://encrypted-tbn0.gstatic.com/images?q=tbn:ANd9GcQDepZnnK3mBJdCoGezhjWU-4nC2RzGoXzrig&amp;usqp=CAU</t>
  </si>
  <si>
    <t>Новости Израиля</t>
  </si>
  <si>
    <t>https://news.israelinfo.co.il/104314</t>
  </si>
  <si>
    <t>https://news.israelinfo.co.il/pictures/news/35/34704.jpg</t>
  </si>
  <si>
    <t>На севере Израиля огромный косяк медуз</t>
  </si>
  <si>
    <t>https://encrypted-tbn0.gstatic.com/images?q=tbn:ANd9GcR5YUpEZkYC47tsw68a3Ak-YBVUSRobvzv80s2I-flIzg6ixX-W&amp;s</t>
  </si>
  <si>
    <t>https://www.i24news.tv/ar/%D8%A3%D8%AE%D8%A8%D8%A7%D8%B1/middle-east/1658311890-%D8%A5%D8%B3%D8%B1%D8%A7%D8%A6%D9%8A%D9%84-%D8%B1%D8%B5%D8%AF-%D8%A3%D8%B3%D8%B1%D8%A7%D8%A8-%D9%85%D9%86-%D9%82%D9%86%D8%A7%D8%AF%D9%8A%D9%84-%D8%A7%D9%84%D8%A8%D8%AD%D8%B1-%D8%AA%D8%BA%D8%B2%D9%88-%D9%85%D9%86%D8%B7%D9%82%D8%A9-%D8%AE%D9%84%D9%8A%D8%AC-%D8%AD%D9%8A%D9%81%D8%A7</t>
  </si>
  <si>
    <t>https://cf-images.eu-west-1.prod.boltdns.net/v1/static/5377161796001/7ab75b26-afcf-4f65-9c93-200e159fdc16/0397852a-a8ff-457e-aba5-caff0655d791/1280x720/match/image.jpg</t>
  </si>
  <si>
    <t>رصد سرب قناديل البحر قبالة سواحل خليج حيفا 20/7/2022</t>
  </si>
  <si>
    <t>https://encrypted-tbn0.gstatic.com/images?q=tbn:ANd9GcS6kr1rfByieylOqEaQkeKgkBm_bIPX4cGoslgAeSAzO7eFm2Qc&amp;s</t>
  </si>
  <si>
    <t>www.maannews.net</t>
  </si>
  <si>
    <t>https://www.maannews.net/news/2072259.html</t>
  </si>
  <si>
    <t>https://cdn3.maannews.net/cached_uploads/crop2/365/200/n/2022/10/08/1023015662-018129991868-1920x0-8-1665177977.jpg?_mhk=353ee6aef8295e16410f5406da170874219e129e5beb85e1a7d9e8d4ceb97f013d4c80112ea21306a8e5b4543e7a620b</t>
  </si>
  <si>
    <t>قناديل البحر تغزو منطقة خليج حيفا</t>
  </si>
  <si>
    <t>Taking a stand against BDS, Jellyfish return to Israel | Jellyfish, Take that, Netanya&gt;Taking a stand against BDS, Jellyfish ...</t>
  </si>
  <si>
    <t>https://serpapi.com/searches/637a446e8ccee01a43a050f8/images/a694e05bbaa764f09b8d5f2543be562c95ece67e28af8fa03cad468207630d8b.jpeg</t>
  </si>
  <si>
    <t>החברה להגנת הטבע</t>
  </si>
  <si>
    <t>https://www.teva.org.il/16033</t>
  </si>
  <si>
    <t>https://www.teva.org.il/app/uploads/2022/07/%D7%9E%D7%93%D7%95%D7%96-1.jpg</t>
  </si>
  <si>
    <t>אמאל'ה מדוזות! למה יש כל כך הרבה מהן? | החברה להגנת הטבע</t>
  </si>
  <si>
    <t>https://encrypted-tbn0.gstatic.com/images?q=tbn:ANd9GcSI_cNz-qx52SR2VNnq5aHoQ0_cYajzDe7jomsnzYJ_F-UKArc&amp;s</t>
  </si>
  <si>
    <t>www.teva.org.il</t>
  </si>
  <si>
    <t>https://www.teva.org.il/app/uploads/2022/07/%D7%9E%D7%93%D7%95%D7%962-1.jpg</t>
  </si>
  <si>
    <t>https://encrypted-tbn0.gstatic.com/images?q=tbn:ANd9GcTs6ZH0UyzGwky5RKMXTA88zqaQohQiBMsAPA&amp;usqp=CAU</t>
  </si>
  <si>
    <t>Baltics News</t>
  </si>
  <si>
    <t>https://baltics.news/2022/07/21/a-large-swarm-of-jellyfish-has-been-spotted-in-israel/</t>
  </si>
  <si>
    <t>https://static.lsm.lv/media/2022/07/large/2/ijhe.jpg</t>
  </si>
  <si>
    <t>A large swarm of jellyfish has been spotted in Israel – Baltics News</t>
  </si>
  <si>
    <t>Attention: on the Mediterranean beaches of Israel - a lot of jellyfish&gt; Attention: on the Mediterranean beaches ...</t>
  </si>
  <si>
    <t>https://encrypted-tbn0.gstatic.com/images?q=tbn:ANd9GcRPQQ2X5ktfZQb4aes0yGCYnNl3mNLk8MtHJ2N5dLcOuMc7DqaO&amp;s</t>
  </si>
  <si>
    <t>theglobalherald.com</t>
  </si>
  <si>
    <t>https://theglobalherald.com/news/jellyfish-swarm-a-boat-in-israel/</t>
  </si>
  <si>
    <t>https://i.ytimg.com/vi/Pn1Knr9fF64/maxresdefault.jpg</t>
  </si>
  <si>
    <t>Jellyfish swarm a boat in Israel - The Global Herald</t>
  </si>
  <si>
    <t>Israel, el Mar Mediterráneo, Medusa Rhopilema nomadica Fotografía de stock - Alamy&gt;Medusa Rhopilema nomadica ...</t>
  </si>
  <si>
    <t>https://encrypted-tbn0.gstatic.com/images?q=tbn:ANd9GcRpc4DVK-RrZ3siRdNMp11yAS3pXukaYZWm6TisK_oyfERnxxg&amp;s</t>
  </si>
  <si>
    <t>petapixel.com</t>
  </si>
  <si>
    <t>https://petapixel.com/2022/07/21/massive-swarm-of-jellyfish-appears-in-israels-haifa-bay/</t>
  </si>
  <si>
    <t>https://i.ytimg.com/vi/2JOMYW5lGII/mqdefault.jpg</t>
  </si>
  <si>
    <t>South of Israel: jellyfish "capture" power plants | CHANNEL 7 - Arutz Sheva&gt;South of Israel: jellyfish "capture ...</t>
  </si>
  <si>
    <t>https://encrypted-tbn0.gstatic.com/images?q=tbn:ANd9GcTWbEjpFmTKOsKs7BRbojbZ3mPIIT2OLBF7rALMlPUsU96mQDY&amp;s</t>
  </si>
  <si>
    <t>www.9news.com.au</t>
  </si>
  <si>
    <t>https://www.9news.com.au/world/giant-swarm-jellyfish-northern-israel/9fb0086d-ada9-4339-bc11-dcccf893f62e</t>
  </si>
  <si>
    <t>https://imageresizer.static9.net.au/oref4aus-ynPMLCPHSpP4MQQVr4=/500x0/https%3A%2F%2Fprod.static9.net.au%2Ffs%2F10ebd4c1-4043-4978-994d-259baf501ab0</t>
  </si>
  <si>
    <t>Hundreds of thousands of jellyfish shown swarming off the ...</t>
  </si>
  <si>
    <t>Giant jellyfish off the coast of Tel Aviv | Incidents | MIGnews - MigNews - Israeli and world news in Russian&gt;MIGnews - MigNews ...</t>
  </si>
  <si>
    <t>https://encrypted-tbn0.gstatic.com/images?q=tbn:ANd9GcTX6Smc4LJk09vTNkVx9DDHQhcfFf8E65uAFw&amp;usqp=CAU</t>
  </si>
  <si>
    <t>https://www.youtube.com/watch?v=NpKJlRXQA58</t>
  </si>
  <si>
    <t>https://i.ytimg.com/vi/NpKJlRXQA58/maxresdefault.jpg</t>
  </si>
  <si>
    <t>האמת הצורבת על מדוזות | כאן מציקים - YouTube</t>
  </si>
  <si>
    <t>https://www.newsru.co.il/israel/21jul2022/meduzot_102.html</t>
  </si>
  <si>
    <t>https://encrypted-tbn0.gstatic.com/images?q=tbn:ANd9GcS44GdFu0UEFPoeCKrmaQs1Hnkg0PDtn0IJrtSesKJ69hynhNNh&amp;s</t>
  </si>
  <si>
    <t>ar.timesofisrael.com</t>
  </si>
  <si>
    <t>https://ar.timesofisrael.com/topic/%D8%B4%D9%88%D8%A7%D8%B7%D8%A6/</t>
  </si>
  <si>
    <t>https://static.timesofisrael.com/ar/uploads//2021/03/Untitled-1-1-640x400-1-200x200.jpg</t>
  </si>
  <si>
    <t>شواطئ - تايمز أوف إسرائيل</t>
  </si>
  <si>
    <t>https://encrypted-tbn0.gstatic.com/images?q=tbn:ANd9GcRChavT7z2oQzhrGWxyjazNLqbAyZ_OZn5VjyC1qOMcwJfE147f&amp;s</t>
  </si>
  <si>
    <t>https://ar.timesofisrael.com/the-daily-edition/2022-07-21/</t>
  </si>
  <si>
    <t>https://static.timesofisrael.com/ar/uploads//2022/07/WhatsApp-Image-2022-07-21-at-6.22.17-AM-1-640x400.jpeg</t>
  </si>
  <si>
    <t>ألنشرة أليومية - تايمز أوف إسرائيل</t>
  </si>
  <si>
    <t>https://encrypted-tbn0.gstatic.com/images?q=tbn:ANd9GcRx-ZVkW8c1JyRTRgnzYWwcBWwo2x50CjbSc8mjA72pVIU7TF42&amp;s</t>
  </si>
  <si>
    <t>https://ashdodhayom.co.il/%D7%A0%D6%B0%D7%97%D6%B4%D7%99%D7%9C-%D7%9E%D7%93%D7%95%D7%96%D7%95%D7%AA-%D7%91%D7%A0%D7%9E%D7%9C-%D7%90%D7%A9%D7%93%D7%95%D7%93-%D7%95%D7%9C%D7%A7%D7%99%D7%A0%D7%95%D7%97-%D7%93%D7%95%D7%9C%D7%A4/</t>
  </si>
  <si>
    <t>https://ashdodhayom.co.il/wp-content/uploads/2022/07/00E2A740-040B-4B1C-84E6-28CCAA487A79-660x330.jpeg</t>
  </si>
  <si>
    <t>נְחִיל מדוזות בנמל אשדוד ולקינוח דולפין בהפתעה| צפו בסרטון ...</t>
  </si>
  <si>
    <t>https://encrypted-tbn0.gstatic.com/images?q=tbn:ANd9GcQO03HdOnp6SNboNQKicxqeJIWHCqvXoVOGcO544luBDTvk8Of3&amp;s</t>
  </si>
  <si>
    <t>https://www.independent.co.uk/topic/israel</t>
  </si>
  <si>
    <t>https://static.independent.co.uk/2022/07/25/22/Screenshot%202022-07-25%20at%205.44.49%20PM.png?quality=50&amp;width=640&amp;auto=webp</t>
  </si>
  <si>
    <t>israel - latest news breaking stories and comment - The ...</t>
  </si>
  <si>
    <t>Attack of jellyfish in Israel (12 photos)</t>
  </si>
  <si>
    <t>https://encrypted-tbn0.gstatic.com/images?q=tbn:ANd9GcSuvdz8UdCnc3s1yhsECW1vJARBbRMAf8IJTFPMHNr8AD8XCZ2C&amp;s</t>
  </si>
  <si>
    <t>https://twitter.com/bbcworld/status/1550872881478991873</t>
  </si>
  <si>
    <t>https://pbs.twimg.com/amplify_video_thumb/1550872546446393348/img/18Mh-qaGOLy-7Xzp.jpg:large</t>
  </si>
  <si>
    <t>@BBCWorld's video Tweet</t>
  </si>
  <si>
    <t>https://encrypted-tbn0.gstatic.com/images?q=tbn:ANd9GcSMx49JTwzr2EcpcNqXIh4dMn7cjiv-9OqOow&amp;usqp=CAU</t>
  </si>
  <si>
    <t>BBC</t>
  </si>
  <si>
    <t>https://www.bbc.com/news/av/world-middle-east-62274464</t>
  </si>
  <si>
    <t>https://ichef.bbci.co.uk/images/ic/400xn/p07h7d5c.jpg</t>
  </si>
  <si>
    <t>Huge jellyfish swarm surrounds boat in Israel - BBC News</t>
  </si>
  <si>
    <t>Giant jellyfish attack Israel's coast&gt;Giant jellyfish attack Israel's coast</t>
  </si>
  <si>
    <t>https://encrypted-tbn0.gstatic.com/images?q=tbn:ANd9GcRAH2QKViDEt1OKW263iK9ldZ1AfA5mId-Vll2Slcs1xLXbr1E&amp;s</t>
  </si>
  <si>
    <t>https://www.alamy.com/sea-jellyfish-closeup-on-the-coastal-sand-mediterranean-sea-beach-israel-image475916373.html</t>
  </si>
  <si>
    <t>https://c8.alamy.com/comp/2JJ7T59/sea-jellyfish-closeup-on-the-coastal-sand-mediterranean-sea-beach-israel-2JJ7T59.jpg</t>
  </si>
  <si>
    <t>Sea jellyfish closeup on the coastal sand. Mediterranean sea ...</t>
  </si>
  <si>
    <t>https://encrypted-tbn0.gstatic.com/images?q=tbn:ANd9GcTCZPGAtr52hXu0ONApgb3qOb_VImveaxrjAc0ocPMWt9QbRMI&amp;s</t>
  </si>
  <si>
    <t>https://www.alamy.com/sea-jellyfish-closeup-on-the-coastal-sand-mediterranean-sea-beach-israel-image475916428.html</t>
  </si>
  <si>
    <t>https://c8.alamy.com/comp/2JJ7T78/sea-jellyfish-closeup-on-the-coastal-sand-mediterranean-sea-beach-israel-2JJ7T78.jpg</t>
  </si>
  <si>
    <t>https://serpapi.com/searches/63d011560b5062e5ae5bfdcb/images/aab8c0efcf0389bcd045e7a3ac5f8db8ddcd06e0cacd76594daeafd26e928f79.jpeg</t>
  </si>
  <si>
    <t>https://arabic.cnn.com/travel/video/2022/07/23/v124386-jellyfish-surround-boat-israel</t>
  </si>
  <si>
    <t>https://cnn-arabic-images.cnn.io/cloudinary/image/upload/w_780,h_439,c_fill,q_auto,g_center/cnnarabic/2022/07/23/images/217971.jpg</t>
  </si>
  <si>
    <t>شاهد.. آلاف قناديل البحر تحاصر قاربًا بعرض البحر في إسرائيل - CNN Arabic</t>
  </si>
  <si>
    <t>https://serpapi.com/searches/63d011560b5062e5ae5bfdcb/images/aab8c0efcf0389bc442c9cbb8ec935acd8e7745be28c00e642f22f460b13fc98.jpeg</t>
  </si>
  <si>
    <t>القاهرة 24</t>
  </si>
  <si>
    <t>https://www.cairo24.com/keyword/474361</t>
  </si>
  <si>
    <t>https://www.cairo24.com/UploadCache/libfiles/80/6/400x225o/813.jpg</t>
  </si>
  <si>
    <t>القاهرة 24 | قناديل البحر</t>
  </si>
  <si>
    <t>https://encrypted-tbn0.gstatic.com/images?q=tbn:ANd9GcTtW5XqLt8bOGieFSecslOOgJZvMQeqzb999Q&amp;usqp=CAU</t>
  </si>
  <si>
    <t>https://www.cairo24.com/keyword/511118</t>
  </si>
  <si>
    <t>https://www.cairo24.com/UploadCache/libfiles/80/0/400x225o/44.jpg</t>
  </si>
  <si>
    <t>القاهرة 24 | قناديل البحر إسرائيل</t>
  </si>
  <si>
    <t>https://encrypted-tbn0.gstatic.com/images?q=tbn:ANd9GcTqH9b13psrKFuKQlnvr9uYkFIDUCs1IsqS-A&amp;usqp=CAU</t>
  </si>
  <si>
    <t>Reuters</t>
  </si>
  <si>
    <t>https://www.reuters.com/world/middle-east/clear-present-danger-jellyfish-swarm-israels-coast-2022-07-25/</t>
  </si>
  <si>
    <t>https://cloudfront-us-east-2.images.arcpublishing.com/reuters/WEJ22OYMTBPGLBQG3WHLAI4IPU.jpg</t>
  </si>
  <si>
    <t>Clear and present danger: Jellyfish swarm Israel's coast | Reuters</t>
  </si>
  <si>
    <t>https://encrypted-tbn0.gstatic.com/images?q=tbn:ANd9GcS7moDjphvAcosKWluiNvvQFPL-RYtwh6I9cQ&amp;usqp=CAU</t>
  </si>
  <si>
    <t>https://hamodia.com/2022/07/25/clear-and-present-danger-jellyfish-swarm-israels-coast/</t>
  </si>
  <si>
    <t>https://hamodia.com/hamod-uploads/2022/07/2022-07-25T110314Z_1628117439_RC2SIV9TGXJS_RTRMADP_3_ISRAEL-ENVIRONMENT-JELLYFISH-1024x683.jpg</t>
  </si>
  <si>
    <t>Clear and Present Danger: Jellyfish Swarm Israel's Coast - Hamodia.com</t>
  </si>
  <si>
    <t>https://encrypted-tbn0.gstatic.com/images?q=tbn:ANd9GcQgYPlaTMmWWcN-wT_SvrjV5h70f7WgqrO7-A&amp;usqp=CAU</t>
  </si>
  <si>
    <t>https://cloudfront-us-east-2.images.arcpublishing.com/reuters/7MBQMR4UWRODXGTIVIAHJV3PM4.jpg</t>
  </si>
  <si>
    <t>https://encrypted-tbn0.gstatic.com/images?q=tbn:ANd9GcR30H6rC4qazCKr7T6AYwZMAvh66b2urJSO1Q&amp;usqp=CAU</t>
  </si>
  <si>
    <t>https://www.alamy.com/a-jellyfish-is-seen-near-a-boat-by-the-coast-of-haifa-at-the-mediterranean-sea-israel-july-25-2022-reutersnir-elias-image476006194.html</t>
  </si>
  <si>
    <t>https://c8.alamy.com/comp/2JJBXN6/a-jellyfish-is-seen-near-a-boat-by-the-coast-of-haifa-at-the-mediterranean-sea-israel-july-25-2022-reutersnir-elias-2JJBXN6.jpg</t>
  </si>
  <si>
    <t>A jellyfish is seen near a boat by the coast of Haifa at the Mediterranean sea Israel July 25 2022. REUTERS/Nir Elias Stock Photo - Alamy</t>
  </si>
  <si>
    <t>https://encrypted-tbn0.gstatic.com/images?q=tbn:ANd9GcTMdnmlPG4EgOUv1aApBBgSongBIpthFaLKEJOFo1KxQyVIkAE&amp;s</t>
  </si>
  <si>
    <t>www.todayonline.com</t>
  </si>
  <si>
    <t>https://www.todayonline.com/world/clear-and-present-danger-jellyfish-swarm-israels-coast-1952926</t>
  </si>
  <si>
    <t>https://onecms-res.cloudinary.com/image/upload/s--QRL0_1dm--/fl_relative%2Cg_south_east%2Cl_mediacorp:tdy:watermark:2021-10:reuters%2Cw_0.1/f_auto%2Cq_auto/c_fill%2Cg_auto%2Ch_622%2Cw_830/v1/one-cms/core/2022-07-25t120835z_2_lynxmpei6o0ir_rtroptp_3_israel-environment-jellyfish.jpg?itok=nKAiTE3G</t>
  </si>
  <si>
    <t>Clear and present danger: Jellyfish swarm Israel's coast - TODAY</t>
  </si>
  <si>
    <t>https://encrypted-tbn0.gstatic.com/images?q=tbn:ANd9GcRKGhE8lrp5xqloIZ8UMBY-IX9ERcRFnlCZqsglP3iBy0fx29p6&amp;s</t>
  </si>
  <si>
    <t>our.today</t>
  </si>
  <si>
    <t>https://our.today/clear-and-present-danger-jellyfish-swarm-israels-coast/</t>
  </si>
  <si>
    <t>https://our.today/wp-content/uploads/2022/07/2022-07-25T120835Z_2_LYNXMPEI6O0IO_RTROPTP_4_ISRAEL-ENVIRONMENT-JELLYFISH-scaled.jpg</t>
  </si>
  <si>
    <t>Our Today</t>
  </si>
  <si>
    <t>https://encrypted-tbn0.gstatic.com/images?q=tbn:ANd9GcQecFQd1lac0MWn-nl8tY_lTN1iXS4c-BRAPiXVUstlbn1jPxYO&amp;s</t>
  </si>
  <si>
    <t>gcaptain.com</t>
  </si>
  <si>
    <t>https://gcaptain.com/high-temperatures-unleash-marine-heatwave-in-mediterranean-sea/</t>
  </si>
  <si>
    <t>https://gcaptain.com/wp-content/uploads/2022/07/2022-07-25T182235Z_447683175_RC2XIV94G4S2_RTRMADP_3_ISRAEL-ENVIRONMENT-JELLYFISH-scaled.jpg</t>
  </si>
  <si>
    <t>High Temperatures Unleash Marine Heatwave In Mediterranean Sea</t>
  </si>
  <si>
    <t>https://encrypted-tbn0.gstatic.com/images?q=tbn:ANd9GcRaWRAcyUrBrs7jYKv31iWkP_90pRkjXXZoCr81KVUp-i2rK7A&amp;s</t>
  </si>
  <si>
    <t>https://www.paudal.com/2022/07/25/a-voir-a-phenomenal-swarm-of-jellyfish-captured-on-video/</t>
  </si>
  <si>
    <t>https://m1.quebecormedia.com/emp/emp/REUTERS_202207254202LI_ISRAEL_ENVIRONMENTJELLYFISH_O_frame_3443f8c803ea-5537-4dc0-86a0-47f463439603_ORIGINAL.jpg?impolicy=crop-resize&amp;x=0&amp;y=0&amp;w=1920&amp;h=1080&amp;width=1200</t>
  </si>
  <si>
    <t>À VOIR] A phenomenal swarm of jellyfish captured on video ...</t>
  </si>
  <si>
    <t>https://www.independent.co.uk/topic/jellyfish</t>
  </si>
  <si>
    <t>jellyfish - latest news breaking stories and comment - The ...</t>
  </si>
  <si>
    <t>https://encrypted-tbn0.gstatic.com/images?q=tbn:ANd9GcRL4DYtKsnjDUZchHvHi4rVY7QAPFKzdJY_ZJrFp8bZvbkS29g&amp;s</t>
  </si>
  <si>
    <t>https://www.independent.co.uk/climate-change/news/jellyfish-swarm-climate-crisis-israel-b2131001.html</t>
  </si>
  <si>
    <t>https://cdn.jwplayer.com/v2/media/nszuN3CI/poster.jpg?width=1920</t>
  </si>
  <si>
    <t>https://encrypted-tbn0.gstatic.com/images?q=tbn:ANd9GcRR8NruOGlVa7-Ohnh_5f3V4-Fp0lIvxhYsBCVb68h7JOdlHHo&amp;s</t>
  </si>
  <si>
    <t>aussiedlerbote.de</t>
  </si>
  <si>
    <t>https://aussiedlerbote.de/2022/07/meduzy-v-sredizemnom-more/</t>
  </si>
  <si>
    <t>https://aussiedlerbote.de/wp-content/uploads/2022/07/meduzy-v-sredizemnom-more.jpg</t>
  </si>
  <si>
    <t>Медузы в Средиземном море: в Израиле теперь мало туристов</t>
  </si>
  <si>
    <t>https://encrypted-tbn0.gstatic.com/images?q=tbn:ANd9GcSkC3SDdHuLO3tcvZ4qEzkLnrXjZIUbtKeH2X1EWAY9R72V22Db&amp;s</t>
  </si>
  <si>
    <t>rossaprimavera.ru</t>
  </si>
  <si>
    <t>https://rossaprimavera.ru/news/ddcb4de3</t>
  </si>
  <si>
    <t>https://rossaprimavera.ru/static/files/061593e6f8cf.jpg</t>
  </si>
  <si>
    <t>Стаи медуз нанесли удар по экологическому балансу Израиля ...</t>
  </si>
  <si>
    <t>https://encrypted-tbn0.gstatic.com/images?q=tbn:ANd9GcS3XzpvraIU7pV2FSnA4xmemx982aM-jZKHArcD3aDKGr0rETY&amp;s</t>
  </si>
  <si>
    <t>https://dzen.ru/media/puerrtto/sup-iz-meduz-pochemu-seichas-samoe-neudachnoe-vremia-dlia-otdyha-v-izraile-62de1b5d8c26487b59943008?feed_exp=ordinary_feed&amp;from=channel&amp;rid=1238568714.98.1660002602023.71387&amp;clid=300&amp;integration=site_desktop&amp;place=layout&amp;secdata=CNnxj5%2BjMCABMAJQD2oBAQ%3D%3D&amp;</t>
  </si>
  <si>
    <t>https://avatars.dzeninfra.ru/get-zen_doc/198334/pub_62de1b5d8c26487b59943008_62de2d34778259695603562d/scale_1200</t>
  </si>
  <si>
    <t>Суп из медуз - почему сейчас самое неудачное время для ...</t>
  </si>
  <si>
    <t>https://encrypted-tbn0.gstatic.com/images?q=tbn:ANd9GcQLrtlsoLh33caJxJFA7FYEjFvzHhYqPJr1sNJpNMJVkCmlv2EF&amp;s</t>
  </si>
  <si>
    <t>https://www.istockphoto.com/ru/%D1%84%D0%BE%D1%82%D0%BE/%D0%BC%D0%BE%D1%80%D1%81%D0%BA%D0%B0%D1%8F-%D0%BC%D0%B5%D0%B4%D1%83%D0%B7%D0%B0-%D0%BA%D1%80%D1%83%D0%BF%D0%BD%D1%8B%D0%BC-%D0%BF%D0%BB%D0%B0%D0%BD%D0%BE%D0%BC-%D0%BD%D0%B0-%D0%BF%D1%80%D0%B8%D0%B1%D1%80%D0%B5%D0%B6%D0%BD%D0%BE%D0%BC-%D0%BF%D0%B5%D1%81%D0%BA%D0%B5-%D0%BF%D0%BB%D1%8F%D0%B6-%D1%81%D1%80%D0%B5%D0%B4%D0%B8%D0%B7%D0%B5%D0%BC%D0%BD%D0%BE%D0%B3%D0%BE-%D0%BC%D0%BE%D1%80%D1%8F-%D0%B8%D0%B7%D1%80%D0%B0%D0%B8%D0%BB%D1%8C-gm1410576233-460721993</t>
  </si>
  <si>
    <t>https://media.istockphoto.com/id/1410576233/ru/%D1%84%D0%BE%D1%82%D0%BE/%D0%BC%D0%BE%D1%80%D1%81%D0%BA%D0%B0%D1%8F-%D0%BC%D0%B5%D0%B4%D1%83%D0%B7%D0%B0-%D0%BA%D1%80%D1%83%D0%BF%D0%BD%D1%8B%D0%BC-%D0%BF%D0%BB%D0%B0%D0%BD%D0%BE%D0%BC-%D0%BD%D0%B0-%D0%BF%D1%80%D0%B8%D0%B1%D1%80%D0%B5%D0%B6%D0%BD%D0%BE%D0%BC-%D0%BF%D0%B5%D1%81%D0%BA%D0%B5-%D0%BF%D0%BB%D1%8F%D0%B6-%D1%81%D1%80%D0%B5%D0%B4%D0%B8%D0%B7%D0%B5%D0%BC%D0%BD%D0%BE%D0%B3%D0%BE-%D0%BC%D0%BE%D1%80%D1%8F-%D0%B8%D0%B7%D1%80%D0%B0%D0%B8%D0%BB%D1%8C.jpg?s=612x612&amp;w=0&amp;k=20&amp;c=ZA1animVb6r66W6QThZGolygr6D_TIHPGJJ5pafDm8E=</t>
  </si>
  <si>
    <t>Морская Медуза Крупным Планом На Прибрежном Песке Пляж ...</t>
  </si>
  <si>
    <t>https://encrypted-tbn0.gstatic.com/images?q=tbn:ANd9GcRl8lMn6Wb1iO-B_NB96T3Y8Nf9uee5OMf8YA&amp;usqp=CAU</t>
  </si>
  <si>
    <t>العين الإخبارية</t>
  </si>
  <si>
    <t>https://al-ain.com/article/jellyfish-invade-coast-israel</t>
  </si>
  <si>
    <t>https://cdn.al-ain.com/lg/images/2022/7/25/173-170153-jellyfish-invade-coast-israel_700x400.jpg</t>
  </si>
  <si>
    <t>غزو بحري يطرد المصطافين من سواحل إسرائيل</t>
  </si>
  <si>
    <t>https://encrypted-tbn0.gstatic.com/images?q=tbn:ANd9GcQWs1U6aDpub33yTyDe8sF0OFZBxn2Hq8ewNDHsUyojMlLscxk&amp;s</t>
  </si>
  <si>
    <t>m.elsaanews.com</t>
  </si>
  <si>
    <t>https://m.elsaanews.com/%D9%82%D9%86%D8%A7%D8%AF%D9%8A%D9%84-%D8%A7%D9%84%D8%A8%D8%AD%D8%B1-%D8%AA%D8%BA%D8%B2%D9%88-%D8%B3%D9%88%D8%A7%D8%AD%D9%84-%D8%A5%D8%B3%D8%B1%D8%A7%D8%A6%D9%8A%D9%84/</t>
  </si>
  <si>
    <t>https://m.elsaanews.com/wp-content/uploads/2022/07/%D9%82%D9%86%D8%A7%D8%AF%D9%8A%D9%84-%D8%A7%D9%84%D8%A8%D8%AD%D8%B1-%D8%AA%D8%BA%D8%B2%D9%88-%D8%B3%D9%88%D8%A7%D8%AD%D9%84-%D8%A5%D8%B3%D8%B1%D8%A7%D8%A6%D9%8A%D9%84.jpg</t>
  </si>
  <si>
    <t>قناديل البحر تغزو سواحل إسرائيل - جريدة الساعة</t>
  </si>
  <si>
    <t>https://encrypted-tbn0.gstatic.com/images?q=tbn:ANd9GcTN6JvqpXOZBnxqXzsiLzgjwjpDLYIWnRw5fQ&amp;usqp=CAU</t>
  </si>
  <si>
    <t>رأي اليوم</t>
  </si>
  <si>
    <t>https://www.raialyoum.com/%D9%82%D9%86%D8%A7%D8%AF%D9%8A%D9%84-%D8%A7%D9%84%D8%A8%D8%AD%D8%B1-%D8%AA%D8%BA%D8%B2%D9%88-%D8%B3%D9%88%D8%A7%D8%AD%D9%84-%D8%A5%D8%B3%D8%B1%D8%A7%D8%A6%D9%8A%D9%84/</t>
  </si>
  <si>
    <t>https://www.raialyoum.com/wp-content/uploads/2022/07/2022-07-25_12-18-23_422121.jpeg</t>
  </si>
  <si>
    <t>قناديل البحر تغزو سواحل إسرائيل | رأي اليوم</t>
  </si>
  <si>
    <t>https://serpapi.com/searches/63d011560b5062e5ae5bfdcb/images/aab8c0efcf0389bc442c9cbb8ec935ac3abb6ba0b14765ecb562032eef7844ba.jpeg</t>
  </si>
  <si>
    <t>النهار العربي</t>
  </si>
  <si>
    <t>https://www.annaharar.com/arabic/politics/international/israeliyat/25072022121429295</t>
  </si>
  <si>
    <t>https://www.annaharar.com/ContentFiles/115174Image1-1180x677_d.jpg?version=2486402</t>
  </si>
  <si>
    <t>قناديل البحر تغزو سواحل إسرائيل | النهار العربي</t>
  </si>
  <si>
    <t>https://encrypted-tbn0.gstatic.com/images?q=tbn:ANd9GcS3F4QqL8jXGrkGaGeAdzdzMc1zMNEVh2cLtS6MH8aNeoKIwms&amp;s</t>
  </si>
  <si>
    <t>www.alkhaleej.ae</t>
  </si>
  <si>
    <t>https://www.alkhaleej.ae/2022-07-25/%D9%82%D9%86%D8%A7%D8%AF%D9%8A%D9%84-%D8%A7%D9%84%D8%A8%D8%AD%D8%B1-%D8%AA%D8%BA%D8%B2%D9%88-%D8%B3%D9%88%D8%A7%D8%AD%D9%84-%D8%A5%D8%B3%D8%B1%D8%A7%D8%A6%D9%8A%D9%84/%D9%85%D8%AD%D8%B7%D8%A7%D8%AA/%D9%85%D9%86%D9%88%D8%B9%D8%A7%D8%AA</t>
  </si>
  <si>
    <t>https://www.alkhaleej.ae/sites/default/files/styles/d08_standard/public/2022-07/4385124.jpeg?h=f7d9296c&amp;itok=2jo8wSD7</t>
  </si>
  <si>
    <t>قناديل البحر تغزو سواحل إسرائيل | صحيفة الخليج</t>
  </si>
  <si>
    <t>https://encrypted-tbn0.gstatic.com/images?q=tbn:ANd9GcR7BY_AclqbnEYXpsjTcInToWcTsdR3qgw3Gg&amp;usqp=CAU</t>
  </si>
  <si>
    <t>https://www.cairo24.com/1621277</t>
  </si>
  <si>
    <t>https://www.cairo24.com/Upload/libfiles/80/2/106.jpg</t>
  </si>
  <si>
    <t>قناديل البحر تحاصر سواحل إسرائيل بسبب ارتفاع درجات الحرارة | صور</t>
  </si>
  <si>
    <t>https://encrypted-tbn0.gstatic.com/images?q=tbn:ANd9GcQPXwgmmE-6kSDliOHLjkp-7V_mjEDJZBuf3g&amp;usqp=CAU</t>
  </si>
  <si>
    <t>CNN</t>
  </si>
  <si>
    <t>https://www.cnn.com/videos/world/2022/07/26/jellyfish-israel-climate-change-ovn-intl-ldn-vpx.cnn</t>
  </si>
  <si>
    <t>https://cdn.cnn.com/cnnnext/dam/assets/220726065633-video-thumbnail-israel-jellyfish-1.jpg</t>
  </si>
  <si>
    <t>Climate change creates ideal conditions for jellyfish to breed in Israel - CNN Video</t>
  </si>
  <si>
    <t>https://encrypted-tbn0.gstatic.com/images?q=tbn:ANd9GcSZ7n3qtvLN9sl9fg5FIkzA-H1XB_p395ORQCrRTTYwnKJcS-E&amp;s</t>
  </si>
  <si>
    <t>www.thenationalnews.com</t>
  </si>
  <si>
    <t>https://www.thenationalnews.com/world/2022/07/26/huge-swarms-of-jellyfish-reported-on-israels-coast/</t>
  </si>
  <si>
    <t>https://thenational-the-national-prod.cdn.arcpublishing.com/resizer/NBYkXqAkOiVf4DB0G3_4_EyjrjU=/1536x864/filters:quality(80)/arc-goldfish-thenational-thumbnails.s3.amazonaws.com/07-26-2022/t_ae0c97908c274aa8bef884f830d91d60_name_2022_07_25T110409Z_1357418379_RC2RIV9G4ZDJ_RTRMADP_3_ISRAEL_ENVIRONMENT_JELLYFISH.JPG</t>
  </si>
  <si>
    <t>Huge swarms of jellyfish reported on Israel's coast</t>
  </si>
  <si>
    <t>https://encrypted-tbn0.gstatic.com/images?q=tbn:ANd9GcS2zbUwF5fFtFYdag11RlcKGfI2L1CTvCtgk4DH99jJ4qHNi9Y&amp;s</t>
  </si>
  <si>
    <t>awaramusafir.com</t>
  </si>
  <si>
    <t>https://awaramusafir.com/clear-and-present-danger-jellyfish-swarm-israels-coast/</t>
  </si>
  <si>
    <t>https://i0.wp.com/awaramusafir.com/wp-content/uploads/2022/07/Haifa_jellyfish-2.jpg?resize=640%2C427&amp;ssl=1</t>
  </si>
  <si>
    <t>Clear and present danger: Jellyfish swarm Israel's coast ...</t>
  </si>
  <si>
    <t>https://encrypted-tbn0.gstatic.com/images?q=tbn:ANd9GcSnrZhcB0jMNWzV5A1VomghcUVz5Hl2dlWDHTpsexWd7lH9Efw0&amp;s</t>
  </si>
  <si>
    <t>https://www.tiktok.com/@rtenews/video/7124693604601302278</t>
  </si>
  <si>
    <t>https://www.tiktok.com/api/img/?itemId=7124693604601302278&amp;location=0&amp;aid=1988</t>
  </si>
  <si>
    <t>Swarms of jellyfish along Israel's coast have banished ...</t>
  </si>
  <si>
    <t>https://encrypted-tbn0.gstatic.com/images?q=tbn:ANd9GcQFLy_L1mGgFZWeCqCr0qMcgi0QguNePb8-jw&amp;usqp=CAU</t>
  </si>
  <si>
    <t>ET TravelWorld</t>
  </si>
  <si>
    <t>https://travel.economictimes.indiatimes.com/news/destination/international/jellyfish-swarm-israels-coast-banishes-travellers-from-mediterranean-waters/93131393</t>
  </si>
  <si>
    <t>https://etimg.etb2bimg.com/thumb/msid-93131393,imgsize-959226,width-1200,height-900,overlay-ettravelworld/jellyfish-swarm-israel-s-coast-banishes-travellers-from-mediterranean-waters.jpg</t>
  </si>
  <si>
    <t>Travel Updates: Jellyfish swarm Israel's coast, banishes travellers from Mediterranean waters, ET TravelWorld News, ET TravelWorld</t>
  </si>
  <si>
    <t>https://encrypted-tbn0.gstatic.com/images?q=tbn:ANd9GcRWaVLVbkIZilZkDXz45LMlIR1e5vNLUcfo9A&amp;usqp=CAU</t>
  </si>
  <si>
    <t>https://www.israelhayom.com/2022/07/26/clear-and-present-danger-jellyfish-swarm-israels-coast/</t>
  </si>
  <si>
    <t>https://www.israelhayom.com/wp-content/uploads/2022/07/hd-wallpaper-g72f1334c1_1280.jpg</t>
  </si>
  <si>
    <t>Beachgoers beware: Jellyfish swarm Israel's coast - www.israelhayom.com</t>
  </si>
  <si>
    <t>https://encrypted-tbn0.gstatic.com/images?q=tbn:ANd9GcQpSZolx-UYYJgnNFjr7G2_4lHRP-LmSQOAy-c4to-5BpTvWSSa&amp;s</t>
  </si>
  <si>
    <t>https://www.tiktok.com/@nowthis/video/7124461120378670379</t>
  </si>
  <si>
    <t>https://www.tiktok.com/api/img/?itemId=7124461120378670379&amp;location=0&amp;aid=1988</t>
  </si>
  <si>
    <t>Israel's $10M jellyfish problem #israel #animals #jellyfish ...</t>
  </si>
  <si>
    <t>https://encrypted-tbn0.gstatic.com/images?q=tbn:ANd9GcRZwpZCheX4GRNOfLPxiKqGRN0KOQmGtURLQu54Klml3Fhl5Ew&amp;s</t>
  </si>
  <si>
    <t>https://ntdtv.ru/119570-stai-meduz-vygnali-turistov-s-izrailskih-plyazhej</t>
  </si>
  <si>
    <t>https://ntdtv.ru/wp-content/uploads/2022/07/22_07_26_ISRAEL-JELLYFISH.jpg</t>
  </si>
  <si>
    <t>Стаи медуз выгнали туристов с израильских пляжей</t>
  </si>
  <si>
    <t>potosinoticias.com</t>
  </si>
  <si>
    <t>https://potosinoticias.com/2022/07/26/medusas-invaden-playas-de-israel-causan-perdidas-a-turismo-local/</t>
  </si>
  <si>
    <t>https://encrypted-tbn0.gstatic.com/images?q=tbn:ANd9GcTE1mMhwFUAeHclgFWlYx9ngP4jMErPz3nbjFZ3lj9CWfyCEAA&amp;s</t>
  </si>
  <si>
    <t>bnews.ps</t>
  </si>
  <si>
    <t>https://bnews.ps/index.php/ar/node/19498</t>
  </si>
  <si>
    <t>https://bnews.ps/sites/default/files/styles/news_/public/images/news-photos/2022-07/GTRVC7SKC5JYVERMQ2NWU46KFM_0.jpg?itok=ZEJxe2xe</t>
  </si>
  <si>
    <t>إسرائيل تخسر 10 ملايين دولار بسبب قناديل البحر</t>
  </si>
  <si>
    <t>https://encrypted-tbn0.gstatic.com/images?q=tbn:ANd9GcTAm2YiSDYnuj6lY47K45lVheZH2Au5sMNzUQ&amp;usqp=CAU</t>
  </si>
  <si>
    <t>BNEWS.ps</t>
  </si>
  <si>
    <t>https://www.bnews.ps/ar/node/19498</t>
  </si>
  <si>
    <t>http://www.bnews.ps/sites/default/files/styles/inner_main/public/images/news/2022-07/7MBQMR4UWRODXGTIVIAHJV3PM4.jpg?itok=RhztukQP</t>
  </si>
  <si>
    <t>https://encrypted-tbn0.gstatic.com/images?q=tbn:ANd9GcRVL1JqwGrTFszFs-JhqOzA2XRWuLvHooWUZOcN8Qe55CccRu0&amp;s</t>
  </si>
  <si>
    <t>https://ynet-images1.yit.co.il/picserver5/crop_images/2022/07/27/ByUtJFYR35/ByUtJFYR35_0_172_1001_563_0_medium.jpg</t>
  </si>
  <si>
    <t>https://encrypted-tbn0.gstatic.com/images?q=tbn:ANd9GcRxdR-ueBPN-snNPVbhIe9vOI28QwgetX-nSw&amp;usqp=CAU</t>
  </si>
  <si>
    <t>Nature World News</t>
  </si>
  <si>
    <t>https://www.natureworldnews.com/articles/52146/20220727/video-jellyfish-swarm-thousands-surrounds-lone-boat-haifa-bay-israel.htm</t>
  </si>
  <si>
    <t>https://1471793142.rsc.cdn77.org/data/images/full/60753/jellyfish.jpg</t>
  </si>
  <si>
    <t>Video: Jellyfish Swarm in the Thousands Surrounds a Lone Boat on Haifa Bay Israel | Nature World News</t>
  </si>
  <si>
    <t>https://encrypted-tbn0.gstatic.com/images?q=tbn:ANd9GcT166hcL1NNVhDdBTGiyv3TVyzItXV3O1Ykug&amp;usqp=CAU</t>
  </si>
  <si>
    <t>צומת השרון הרצליה</t>
  </si>
  <si>
    <t>https://www.tzomet-hrz.co.il/news/51573</t>
  </si>
  <si>
    <t>https://www.tzomet-hrz.co.il/wp-content/uploads/2022/07/27f12dc3349fbbc696d24d760c97d8e6-e1657098995966.jpg</t>
  </si>
  <si>
    <t>צפו: נחילים עצומים של מדוזות נראו כקילומטר וחצי מחופי הרצליה - צומת השרון  הרצליה</t>
  </si>
  <si>
    <t>https://encrypted-tbn0.gstatic.com/images?q=tbn:ANd9GcSvFtwkb6aC4Nrrnhs7l7n1O9K7KYXbagiG_38yjIvGB2LGNCc&amp;s</t>
  </si>
  <si>
    <t>www.brut.media</t>
  </si>
  <si>
    <t>https://www.brut.media/us/nature/jellyfish-swarm-israel-coast-134dd8c8-629b-4210-b9ff-dac5cf633bc7</t>
  </si>
  <si>
    <t>https://img.brut.media/w600/thumbnail/jellyfish-swarm-israel-coast134dd8c8-629b-4210-b9ff-dac5cf633bc7-7ed2367f-6c8f-40c8-a489-4b20f17303e5-portrait-auto.jpg</t>
  </si>
  <si>
    <t>Jellyfish swarm Israel coast | Brut.</t>
  </si>
  <si>
    <t>https://encrypted-tbn0.gstatic.com/images?q=tbn:ANd9GcSOG5mqluzkNCIJU-c6D9qZ10rvOFF1Lmtr9aZOXfgfhOdHuKTf&amp;s</t>
  </si>
  <si>
    <t>https://www.israeltoday.co.il/read/israeli-beaches-contend-with-unusually-intense-jellyfish-swarm/</t>
  </si>
  <si>
    <t>https://www.israeltoday.co.il/wp-content/uploads/2019/10/Nati-ShohatFlash90-4-930x520-1-300x170.jpg</t>
  </si>
  <si>
    <t>Israeli Beaches Contend With Unusually Intense Jellyfish Swarm</t>
  </si>
  <si>
    <t>https://serpapi.com/searches/638337d236e6a9e35d6b9242/images/11f1afed02345fce84ffc98f43674c13c20e19d791d4ae56e960ddce8b8214ba.jpeg</t>
  </si>
  <si>
    <t>Israel Today</t>
  </si>
  <si>
    <t>https://www.israeltoday.co.il/wp-content/uploads/2022/07/Jellyfish2-930x520.jpeg</t>
  </si>
  <si>
    <t>https://encrypted-tbn0.gstatic.com/images?q=tbn:ANd9GcQ5hP2XnNkNHygNgFipsvF2-a77jFjKPpmWzl7cxeXFe5nlYHJG&amp;s</t>
  </si>
  <si>
    <t>www.israelnationalnews.com</t>
  </si>
  <si>
    <t>https://www.israelnationalnews.com/news/357244</t>
  </si>
  <si>
    <t>https://a7.org/pictures/000/1081087.jpg</t>
  </si>
  <si>
    <t>Jellyfish swarm in Israel unusually intense but may not be ...</t>
  </si>
  <si>
    <t>https://encrypted-tbn0.gstatic.com/images?q=tbn:ANd9GcSFLfixqktwg0aRFRZh3gPPrgNzAayJD4YxS2SNo456SHUjZlQ&amp;s</t>
  </si>
  <si>
    <t>www.tellerreport.com</t>
  </si>
  <si>
    <t>https://www.tellerreport.com/news/2022-07-28-jellyfish-occupy-israeli-waters-----climate-change-impact-.SyfzXCkaq.html</t>
  </si>
  <si>
    <t>https://img.sbs.co.kr/newimg/news/20220728/201686408_1280.jpg</t>
  </si>
  <si>
    <t>Jellyfish occupy Israeli waters... 'Climate Change Impact ...</t>
  </si>
  <si>
    <t>https://encrypted-tbn0.gstatic.com/images?q=tbn:ANd9GcSdbJ83Wcnd0xKg8ctrRP09DNTk_3Y2vBEd9A&amp;usqp=CAU</t>
  </si>
  <si>
    <t>JNS.org</t>
  </si>
  <si>
    <t>https://www.jns.org/beach-bummer-unusually-large-swarms-of-jellyfish-converge-on-israels-coastline/</t>
  </si>
  <si>
    <t>https://cdn.jns.org/uploads/2022/07/Jellyfish-at-Israeli-Beach-scaled.jpg</t>
  </si>
  <si>
    <t>Beach bummer: Unusually large jellyfish swarms converge on Israel's coast - JNS.org</t>
  </si>
  <si>
    <t>https://encrypted-tbn0.gstatic.com/images?q=tbn:ANd9GcSodl_BlKj87xeLb8sV1rwUAH4PWgnv3Oj3oJ4ae7PY7Cout6E&amp;s</t>
  </si>
  <si>
    <t>24.kz</t>
  </si>
  <si>
    <t>https://24.kz/ru/news/in-the-world/item/556841-gigantskoe-skoplenie-meduz-nablyudayut-v-izraile</t>
  </si>
  <si>
    <t>https://24.kz/media/k2/items/cache/6955b23a0ba4b4fdbee2a5c5ca6a435f_XL.jpg</t>
  </si>
  <si>
    <t>Гигантское скопление медуз наблюдают в Израиле - Новости ...</t>
  </si>
  <si>
    <t>https://encrypted-tbn0.gstatic.com/images?q=tbn:ANd9GcTtkfe3aehGAUD4nm-WCqp1x9olKtXaWVGnxgmT8G4NaoeprnU&amp;s</t>
  </si>
  <si>
    <t>https://www.youtube.com/watch?v=yNvxkuQYMgw</t>
  </si>
  <si>
    <t>https://i.ytimg.com/vi/yNvxkuQYMgw/maxresdefault.jpg</t>
  </si>
  <si>
    <t>Swarms Of Jellyfish Are Appearing On Israel’s Beaches Due To Rising Temperatures And It’s Not Normal</t>
  </si>
  <si>
    <t>https://encrypted-tbn0.gstatic.com/images?q=tbn:ANd9GcSstaITX6gS61n22vaN8rO4PpCVudbJWRTZuRJVfs7Uz1iLzJA&amp;s</t>
  </si>
  <si>
    <t>cursorinfo.co.il</t>
  </si>
  <si>
    <t>https://cursorinfo.co.il/israel-news/gigantskij-roj-meduz-v-izraile-otdyhayushhim-rasskazali-stoit-li-volnovatsya/</t>
  </si>
  <si>
    <t>https://img.phoenix-widget.com/w/420x280,sc,q85/u/6367ff5a636744bfa34607cd.jpg</t>
  </si>
  <si>
    <t>Гигантский рой медуз в Израиле: отдыхающим рассказали, стоит ...</t>
  </si>
  <si>
    <t>https://encrypted-tbn0.gstatic.com/images?q=tbn:ANd9GcQNCxbxqoMiMKdcx-TuYXxcNO6jprIy7Vsr-HUfCwwVapLY1Co&amp;s</t>
  </si>
  <si>
    <t>https://cursorinfo.co.il/israel-news/raj-bez-edinoj-meduzy-v-seti-pokazali-video-neobychajnoj-krasoty-s-otdyha-na-ejlatskom-zalive/</t>
  </si>
  <si>
    <t>https://cursorinfo.co.il/wp-content/uploads/2020/09/Izrailtyane-na-plyazhe-v-Tel-Avive-5.jpg</t>
  </si>
  <si>
    <t>Рай без единой медузы: в сети показали видео необычайной ...</t>
  </si>
  <si>
    <t>537</t>
  </si>
  <si>
    <t>https://encrypted-tbn0.gstatic.com/images?q=tbn:ANd9GcQkB3XmgeNrus6uc8ZwSKS7oqMKCDoNTttPwYRRJU4bd8eyzK0L&amp;s</t>
  </si>
  <si>
    <t>https://www.kore.co.il/viewArticle/110930</t>
  </si>
  <si>
    <t>https://www.kore.co.il/news/2022/7/6d3bc89d5a29a08644ef.jpg</t>
  </si>
  <si>
    <t>כל רגע - כיצד לטפל נכון במקרה של צריבת מדוזה</t>
  </si>
  <si>
    <t>https://encrypted-tbn0.gstatic.com/images?q=tbn:ANd9GcRB5EX92djQZ12wfwThGR6vTzkVktBwm3efrA&amp;usqp=CAU</t>
  </si>
  <si>
    <t>Twitter</t>
  </si>
  <si>
    <t>https://twitter.com/israeltoday/status/1554814380902162439?lang=bg</t>
  </si>
  <si>
    <t>https://pbs.twimg.com/media/FZPPcGMXkAUgZgN.jpg</t>
  </si>
  <si>
    <t>Israel Today в Twitter: „Israeli Beaches Contend With Unusually Intense Jellyfish Swarm. While it's natural for Israel to experience jellyfish blooms every year, what is unusual with this particular swarm is its</t>
  </si>
  <si>
    <t>https://encrypted-tbn0.gstatic.com/images?q=tbn:ANd9GcRzYxT2oNHD1FwZKe0Qx7d1Id0LhgC7JXAVSw&amp;usqp=CAU</t>
  </si>
  <si>
    <t>Мета</t>
  </si>
  <si>
    <t>https://meta.ua/news/video/51717-poberezhe-izrailya-zapolonili-meduzi-video-neveroyatnogo-zrelischa/</t>
  </si>
  <si>
    <t>https://cdn.meta.ua/meta_news/79/01001hal-7975_1280x720.jpeg</t>
  </si>
  <si>
    <t>Побережье Израиля заполонили медузы: видео невероятного зрелища — МЕТА</t>
  </si>
  <si>
    <t>https://encrypted-tbn0.gstatic.com/images?q=tbn:ANd9GcRms941rxyzi2GUq6vxFb_m16qS4aKYxhd3STndK-pzxapqXGs&amp;s</t>
  </si>
  <si>
    <t>csn-tv.ru</t>
  </si>
  <si>
    <t>https://csn-tv.ru/posts/id101702-ogromnoe-skoplenie-meduz-zametili-u-beregov-izrailya</t>
  </si>
  <si>
    <t>https://csn-tv.ru/storage/uploads/originals/hun4gfvfbntmfj34hxdm.jpg</t>
  </si>
  <si>
    <t>Огромное скопление медуз заметили у берегов Израиля ...</t>
  </si>
  <si>
    <t>https://encrypted-tbn0.gstatic.com/images?q=tbn:ANd9GcR-bD78D08qODzkOfZ9q0STBRtTUOoiEdDl7ylrEIp9c2hC0Rhe&amp;s</t>
  </si>
  <si>
    <t>hi-tech.mail.ru</t>
  </si>
  <si>
    <t>https://hi-tech.mail.ru/news/58865-tysyachi-meduz-zapolonili-poberezhe-izrailya/</t>
  </si>
  <si>
    <t>https://htstatic.imgsmail.ru/pic_image/d00df798e6b6ea7941a5be755a2f0640/185/165/1649989/</t>
  </si>
  <si>
    <t>Тысячи медуз заполонили побережье Израиля - Hi-Tech Mail.ru</t>
  </si>
  <si>
    <t>https://encrypted-tbn0.gstatic.com/images?q=tbn:ANd9GcQQhsDMDvE_4Rt5rBkmozyLH-PG_NzeE48Zzw&amp;usqp=CAU</t>
  </si>
  <si>
    <t>LiveJournal</t>
  </si>
  <si>
    <t>https://malamant.livejournal.com/632583.html</t>
  </si>
  <si>
    <t>https://ic.pics.livejournal.com/malamant/11784654/1564935/1564935_900.jpg</t>
  </si>
  <si>
    <t>Ура, можно смело купаться в море!</t>
  </si>
  <si>
    <t>https://encrypted-tbn0.gstatic.com/images?q=tbn:ANd9GcQ4vOP3J1hLntIg73_L9CyBi--Guv6lZDLSDW23WQTYG9u8mxau&amp;s</t>
  </si>
  <si>
    <t>commons.wikimedia.org</t>
  </si>
  <si>
    <t>https://commons.wikimedia.org/wiki/File:88663_jellyfish_on_the_shores_of_israel_PikiWiki_Israel.jpg</t>
  </si>
  <si>
    <t>https://upload.wikimedia.org/wikipedia/commons/b/b3/88663_jellyfish_on_the_shores_of_israel_PikiWiki_Israel.jpg</t>
  </si>
  <si>
    <t>File:88663 jellyfish on the shores of israel PikiWiki Israel ...</t>
  </si>
  <si>
    <t>https://encrypted-tbn0.gstatic.com/images?q=tbn:ANd9GcQLdDB3IK0v_Tfc8XAoqCsmkzIYTJZY-tE_YiORfKi-hdFiCgM&amp;s</t>
  </si>
  <si>
    <t>http://m.strana.co.il/News/?ID=130528&amp;cat=3</t>
  </si>
  <si>
    <t>http://www.strana.co.il/XXXcicuilkjvkhasjkasihdchakbchQQkjcvlkhzvhzlhasdfWWW/650x488/7292022121000.jpg</t>
  </si>
  <si>
    <t>Концентрация медуз на израильском побережье Средиземного ...</t>
  </si>
  <si>
    <t>hadera-haifa</t>
  </si>
  <si>
    <t>https://encrypted-tbn0.gstatic.com/images?q=tbn:ANd9GcTdtKOPgAQ8fRBNbOAkl6hV8F9RpkTam7eXcneM3Wdn4otHngQv&amp;s</t>
  </si>
  <si>
    <t>new.point.md</t>
  </si>
  <si>
    <t>https://new.point.md/ru/novosti/v-mire/poberezh-e-izrailia-zapolnili-tysiachi-meduz/</t>
  </si>
  <si>
    <t>https://i.simpalsmedia.com/point.md/news/600x315/709a4511033e12bf6293c250e9fd12ef.jpg</t>
  </si>
  <si>
    <t>Побережье Израиля заполнили тысячи медуз</t>
  </si>
  <si>
    <t>https://encrypted-tbn0.gstatic.com/images?q=tbn:ANd9GcSNlFGyPGFAqg8dATcdnHhsSowU15i9nPN_ALLCLHO1skM8BpJJ&amp;s</t>
  </si>
  <si>
    <t>http://m.strana.co.il/news/?ID=130588&amp;cat=3</t>
  </si>
  <si>
    <t>http://www.strana.co.il/XXXcicuilkjvkhasjkasihdchakbchQQkjcvlkhzvhzlhasdfWWW/650x488/88202292600.jpg</t>
  </si>
  <si>
    <t>Завершился «сезон медуз» на израильском побережье ...</t>
  </si>
  <si>
    <t>https://encrypted-tbn0.gstatic.com/images?q=tbn:ANd9GcS9SF8jkXWPrxjSi4K4stWWyellI1v3wDdxoThs9j5F2kmSfN8&amp;s</t>
  </si>
  <si>
    <t>https://detki.co.il/news/sezon_meduz_na_izrailskom_poberezhe_zakonchilsya.html</t>
  </si>
  <si>
    <t>https://detki.co.il/114504905_s.jpg</t>
  </si>
  <si>
    <t>Detki.co.il - Все о детях в Израиле - Сезон медуз на ...</t>
  </si>
  <si>
    <t>https://encrypted-tbn0.gstatic.com/images?q=tbn:ANd9GcRYxHgJBNs6J92E9Il2Xy6i4zvMHT2zqp4LxqrP0SxpOSrnAx4X&amp;s</t>
  </si>
  <si>
    <t>turist.delfi.ee</t>
  </si>
  <si>
    <t>https://turist.delfi.ee/statja/120047430/video-zavorazhivayushchee-zrelishche-tysyachi-meduz-zapolonili-poberezhe-izrailya</t>
  </si>
  <si>
    <t>https://api.delfi.ee/media-api-image-cropper/v1/29040960-16dc-11ed-afe0-77f5d826ac65.jpg?noup&amp;w=1200&amp;h=711</t>
  </si>
  <si>
    <t>ВИДЕО | Завораживающее зрелище: тысячи медуз заполонили ...</t>
  </si>
  <si>
    <t>18</t>
  </si>
  <si>
    <t>https://serpapi.com/searches/637a446e8ccee01a43a050f8/images/a694e05bbaa764f09b8d5f2543be562c04f8a48d2b17f31164a44c8a08d3c6a1.jpeg</t>
  </si>
  <si>
    <t>https://www.facebook.com/Meduzotnow/</t>
  </si>
  <si>
    <t>https://lookaside.fbsbx.com/lookaside/crawler/media/?media_id=491171477715746</t>
  </si>
  <si>
    <t>מדוזות דיווחים - Home | Facebook</t>
  </si>
  <si>
    <t>https://encrypted-tbn0.gstatic.com/images?q=tbn:ANd9GcS0lRikNLK1lkTp7xEP2Z-pBkIydJrXUsCojuT9E_EPS5ZOWKY&amp;s</t>
  </si>
  <si>
    <t>https://www.facebook.com/groups/1433983646837647/posts/2464956777073657/</t>
  </si>
  <si>
    <t>https://lookaside.fbsbx.com/lookaside/crawler/media/?media_id=5822611934428459</t>
  </si>
  <si>
    <t>מדוזות בעם | חוף ראשון לציון - עשרות בייבי מדוזות בגדלים של ...</t>
  </si>
  <si>
    <t>https://encrypted-tbn0.gstatic.com/images?q=tbn:ANd9GcQFa9frE9nKFhcxzEJOWbAiXgc2hdvOvAjiPeiKOWllzwBQD2s&amp;s</t>
  </si>
  <si>
    <t>https://www.arab48.com/%D9%85%D8%AD%D9%84%D9%8A%D8%A7%D8%AA/%D8%A3%D8%AE%D8%A8%D8%A7%D8%B1-%D9%85%D8%AD%D9%84%D9%8A%D8%A9/2022/07/20/%D9%82%D9%86%D8%A7%D8%AF%D9%8A%D9%84-%D8%A7%D9%84%D8%A8%D8%AD%D8%B1-%D8%AA%D8%B5%D8%A8%D8%BA-%D8%AE%D9%84%D9%8A%D8%AC-%D8%AD%D9%8A%D9%81%D8%A7-%D8%A8%D8%A7%D9%84%D8%A3%D8%A8%D9%8A%D8%B6-%D8%A7%D9%84%D9%84%D8%B3%D8%B9%D8%A9-%D9%88%D8%A7%D9%84%D9%88%D9%82%D8%A7%D9%8A%D8%A9-%D9%85%D9%86%D9%87%D8%A7</t>
  </si>
  <si>
    <t>https://data.arab48.com/data/news/2023/01/16/Croped/20230116022218.jpg</t>
  </si>
  <si>
    <t>قناديل البحر تصبغ خليج حيفا بالأبيض.. اللسعة والوقاية منها ...</t>
  </si>
  <si>
    <t>https://encrypted-tbn0.gstatic.com/images?q=tbn:ANd9GcSWA-W0XxuX-IXNufu1lZd3MkwmwKXdKEhGmA46E0U2fZG5GfAm&amp;s</t>
  </si>
  <si>
    <t>https://www.vesty.co.il/main/article/bjwjxnjjj</t>
  </si>
  <si>
    <t>https://ynet-pic1.yit.co.il/picserver5/wcm_upload/2021/12/27/Hy9qU0UsF/med1.jpg</t>
  </si>
  <si>
    <t>Полчища медуз приплыли к берегам Израиля среди зимы</t>
  </si>
  <si>
    <t>pinterest</t>
  </si>
  <si>
    <t>https://www.pinterest.es/pin/307230005812954653/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</si>
</sst>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mm/dd/yy"/>
    <numFmt numFmtId="166" formatCode="m/d/yyyy;@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2EFD9"/>
        <bgColor rgb="FFE2EFD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3" borderId="0" xfId="1" applyFont="1" applyFill="1"/>
    <xf numFmtId="0" fontId="1" fillId="3" borderId="0" xfId="1" applyFont="1" applyFill="1"/>
    <xf numFmtId="0" fontId="2" fillId="0" borderId="0" xfId="1" applyNumberFormat="1" applyFill="1" applyBorder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2" fillId="5" borderId="0" xfId="1" applyFill="1"/>
    <xf numFmtId="164" fontId="0" fillId="5" borderId="0" xfId="0" applyNumberFormat="1" applyFill="1"/>
    <xf numFmtId="0" fontId="0" fillId="3" borderId="0" xfId="0" applyFill="1"/>
    <xf numFmtId="0" fontId="2" fillId="3" borderId="0" xfId="1" applyFill="1"/>
    <xf numFmtId="164" fontId="0" fillId="3" borderId="0" xfId="0" applyNumberFormat="1" applyFill="1"/>
    <xf numFmtId="165" fontId="0" fillId="5" borderId="0" xfId="0" applyNumberFormat="1" applyFill="1"/>
    <xf numFmtId="14" fontId="0" fillId="5" borderId="0" xfId="0" applyNumberFormat="1" applyFill="1"/>
    <xf numFmtId="14" fontId="0" fillId="3" borderId="0" xfId="0" applyNumberFormat="1" applyFill="1"/>
    <xf numFmtId="0" fontId="2" fillId="0" borderId="0" xfId="1" applyNumberFormat="1" applyFill="1"/>
    <xf numFmtId="166" fontId="0" fillId="3" borderId="0" xfId="0" applyNumberFormat="1" applyFill="1"/>
    <xf numFmtId="0" fontId="0" fillId="0" borderId="1" xfId="0" applyBorder="1"/>
    <xf numFmtId="164" fontId="0" fillId="0" borderId="1" xfId="0" applyNumberFormat="1" applyBorder="1"/>
    <xf numFmtId="0" fontId="0" fillId="5" borderId="1" xfId="0" applyFill="1" applyBorder="1"/>
    <xf numFmtId="0" fontId="2" fillId="5" borderId="1" xfId="1" applyFill="1" applyBorder="1"/>
    <xf numFmtId="164" fontId="0" fillId="5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2" fillId="0" borderId="1" xfId="1" applyNumberFormat="1" applyFill="1" applyBorder="1"/>
    <xf numFmtId="0" fontId="2" fillId="3" borderId="1" xfId="1" applyFill="1" applyBorder="1"/>
    <xf numFmtId="164" fontId="0" fillId="3" borderId="1" xfId="0" applyNumberFormat="1" applyFill="1" applyBorder="1"/>
    <xf numFmtId="14" fontId="0" fillId="5" borderId="1" xfId="0" applyNumberFormat="1" applyFill="1" applyBorder="1"/>
    <xf numFmtId="1" fontId="0" fillId="5" borderId="0" xfId="0" applyNumberFormat="1" applyFill="1"/>
    <xf numFmtId="1" fontId="0" fillId="3" borderId="0" xfId="0" applyNumberFormat="1" applyFill="1"/>
    <xf numFmtId="0" fontId="4" fillId="3" borderId="0" xfId="0" applyFont="1" applyFill="1"/>
    <xf numFmtId="0" fontId="1" fillId="3" borderId="0" xfId="1" applyFont="1" applyFill="1" applyBorder="1"/>
  </cellXfs>
  <cellStyles count="2">
    <cellStyle name="Hyperlink" xfId="1" builtinId="8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net.co.il/picserver5/crop_images/2015/06/27/6134016/6134016_0_33_1280_720_0_large.jpg" TargetMode="External"/><Relationship Id="rId18" Type="http://schemas.openxmlformats.org/officeDocument/2006/relationships/hyperlink" Target="https://kanstatic.azureedge.net/download/pictures/2020/12/31/imgid=44550_A.jpeg" TargetMode="External"/><Relationship Id="rId26" Type="http://schemas.openxmlformats.org/officeDocument/2006/relationships/hyperlink" Target="https://media.gemini.media/img/large/2017/6/28/2017_6_28_1_4_47_702.jpg" TargetMode="External"/><Relationship Id="rId3" Type="http://schemas.openxmlformats.org/officeDocument/2006/relationships/hyperlink" Target="https://ashdodonline.co.il/wp-content/uploads/2017/07/IMG_5585.jpg" TargetMode="External"/><Relationship Id="rId21" Type="http://schemas.openxmlformats.org/officeDocument/2006/relationships/hyperlink" Target="https://mediaaws.almasryalyoum.com/news/verylarge/2017/06/28/677120_0.jpeg" TargetMode="External"/><Relationship Id="rId34" Type="http://schemas.openxmlformats.org/officeDocument/2006/relationships/hyperlink" Target="https://www.ynet.co.il/picserver5/crop_images/2015/06/27/6134016/6134016_0_33_1280_720_0_large.jpg" TargetMode="External"/><Relationship Id="rId7" Type="http://schemas.openxmlformats.org/officeDocument/2006/relationships/hyperlink" Target="http://ashkeloninfo.com/news/meduzy_pokidajut_izrail/2015-07-25-6690" TargetMode="External"/><Relationship Id="rId12" Type="http://schemas.openxmlformats.org/officeDocument/2006/relationships/hyperlink" Target="https://images1.ynet.co.il/PicServer5/2019/07/04/9346567/93463190420989801449no.jpg" TargetMode="External"/><Relationship Id="rId17" Type="http://schemas.openxmlformats.org/officeDocument/2006/relationships/hyperlink" Target="https://static.timesofisrael.com/ar/uploads/2022/07/WhatsApp-Image-2022-07-21-at-6.22.17-AM-1-640x400.jpeg" TargetMode="External"/><Relationship Id="rId25" Type="http://schemas.openxmlformats.org/officeDocument/2006/relationships/hyperlink" Target="https://data.arab48.com/data/news/2019/05/01/facebook_waterMark/20190501030814.png" TargetMode="External"/><Relationship Id="rId33" Type="http://schemas.openxmlformats.org/officeDocument/2006/relationships/hyperlink" Target="https://www.ynet.co.il/picserver5/crop_images/2015/06/27/6134016/6134016_0_33_1280_720_0_large.jpg" TargetMode="External"/><Relationship Id="rId2" Type="http://schemas.openxmlformats.org/officeDocument/2006/relationships/hyperlink" Target="https://storage.appwrite.io/preview/180?X-Appwrite-Appid=10&amp;token=98da7a52cadb02cb1f73935d6688624b460b81baf949fe354ddca006d8260fdf2c9494c0931cf24d58a8242de8f3e0419faa5a9fd1e2d5f719935efe1eaa03c8&amp;width=485&amp;height=273&amp;quality=80&amp;output=webp" TargetMode="External"/><Relationship Id="rId16" Type="http://schemas.openxmlformats.org/officeDocument/2006/relationships/hyperlink" Target="https://data.arab48.com/data/news/2023/01/16/Croped/20230116022218.jpg" TargetMode="External"/><Relationship Id="rId20" Type="http://schemas.openxmlformats.org/officeDocument/2006/relationships/hyperlink" Target="https://www.sadanews.ps/cached_uploads/resize/960/531/2022/05/03/626fc5fe423604310b32e168-1651561005.png.webp" TargetMode="External"/><Relationship Id="rId29" Type="http://schemas.openxmlformats.org/officeDocument/2006/relationships/hyperlink" Target="https://mediaaws.almasryalyoum.com/news/verylarge/2020/10/03/1323401_0.jpg" TargetMode="External"/><Relationship Id="rId1" Type="http://schemas.openxmlformats.org/officeDocument/2006/relationships/hyperlink" Target="https://www.israel.agrisupportonline.com/news/csv/pics/7533-2.jpg" TargetMode="External"/><Relationship Id="rId6" Type="http://schemas.openxmlformats.org/officeDocument/2006/relationships/hyperlink" Target="https://news.walla.co.il/item/3441989" TargetMode="External"/><Relationship Id="rId11" Type="http://schemas.openxmlformats.org/officeDocument/2006/relationships/hyperlink" Target="https://images1.ynet.co.il/PicServer5/2019/07/11/9358865/shutterstock_765959815.jpg" TargetMode="External"/><Relationship Id="rId24" Type="http://schemas.openxmlformats.org/officeDocument/2006/relationships/hyperlink" Target="https://vid.alarabiya.net/images/2015/02/18/525072d5-d874-43ac-89c2-bf6552544cf5/525072d5-d874-43ac-89c2-bf6552544cf5_16x9_600x338.jpg?width=335&amp;format=jpg" TargetMode="External"/><Relationship Id="rId32" Type="http://schemas.openxmlformats.org/officeDocument/2006/relationships/hyperlink" Target="https://www.ynet.co.il/picserver5/crop_images/2015/06/27/6134016/6134016_0_33_1280_720_0_large.jpg" TargetMode="External"/><Relationship Id="rId5" Type="http://schemas.openxmlformats.org/officeDocument/2006/relationships/hyperlink" Target="https://media.gettyimages.com/photos/israeli-children-inspect-jellyfishes-on-the-beach-in-the-coastal-of-picture-id103721893?s=612x612" TargetMode="External"/><Relationship Id="rId15" Type="http://schemas.openxmlformats.org/officeDocument/2006/relationships/hyperlink" Target="https://forum.awd.ru/viewtopic.php?f=356&amp;t=180881&amp;start=80" TargetMode="External"/><Relationship Id="rId23" Type="http://schemas.openxmlformats.org/officeDocument/2006/relationships/hyperlink" Target="https://mediaaws.almasryalyoum.com/news/verylarge/2019/05/11/932545_0.jpg" TargetMode="External"/><Relationship Id="rId28" Type="http://schemas.openxmlformats.org/officeDocument/2006/relationships/hyperlink" Target="https://www.palinfo.com/Uploads/Models/Media/Images/2017/7/2/2041962622.jpg" TargetMode="External"/><Relationship Id="rId10" Type="http://schemas.openxmlformats.org/officeDocument/2006/relationships/hyperlink" Target="https://www.youtube.com/watch?v=Q2QWDxUm_Wk" TargetMode="External"/><Relationship Id="rId19" Type="http://schemas.openxmlformats.org/officeDocument/2006/relationships/hyperlink" Target="https://media.aldawlanews.com/img/22/07/04/967464_W.jpg" TargetMode="External"/><Relationship Id="rId31" Type="http://schemas.openxmlformats.org/officeDocument/2006/relationships/hyperlink" Target="https://www.ynet.co.il/picserver5/crop_images/2015/06/27/6134016/6134016_0_33_1280_720_0_large.jpg" TargetMode="External"/><Relationship Id="rId4" Type="http://schemas.openxmlformats.org/officeDocument/2006/relationships/hyperlink" Target="https://www.meduzot.co.il/observation/3544" TargetMode="External"/><Relationship Id="rId9" Type="http://schemas.openxmlformats.org/officeDocument/2006/relationships/hyperlink" Target="https://www.youtube.com/watch?v=Q2QWDxUm_Wk" TargetMode="External"/><Relationship Id="rId14" Type="http://schemas.openxmlformats.org/officeDocument/2006/relationships/hyperlink" Target="https://www.ynet.co.il/picserver5/crop_images/2015/06/27/6134016/6134016_0_33_1280_720_0_large.jpg" TargetMode="External"/><Relationship Id="rId22" Type="http://schemas.openxmlformats.org/officeDocument/2006/relationships/hyperlink" Target="https://media.gemini.media/img/Medium/2017/7/1/2017_7_1_15_30_54_310.jpg" TargetMode="External"/><Relationship Id="rId27" Type="http://schemas.openxmlformats.org/officeDocument/2006/relationships/hyperlink" Target="https://cnn-arabic-images.cnn.io/cloudinary/image/upload/w_1100,h_619,c_fill,q_auto,g_center/cnnarabic/2015/08/30/images/104543.jpg" TargetMode="External"/><Relationship Id="rId30" Type="http://schemas.openxmlformats.org/officeDocument/2006/relationships/hyperlink" Target="https://www.alittihad44.com/images/news/2021.06.23.15.45.18-5f942ec2c7c6dba79a59da3d%20(1).jpg" TargetMode="External"/><Relationship Id="rId8" Type="http://schemas.openxmlformats.org/officeDocument/2006/relationships/hyperlink" Target="https://www.youtube.com/watch?v=Q2QWDxUm_W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3A04C-E47D-584E-BEC4-EA775DAC5F90}">
  <dimension ref="A1:S998"/>
  <sheetViews>
    <sheetView tabSelected="1" workbookViewId="0">
      <pane ySplit="1" topLeftCell="A2" activePane="bottomLeft" state="frozen"/>
      <selection pane="bottomLeft" activeCell="B1" sqref="B1"/>
    </sheetView>
  </sheetViews>
  <sheetFormatPr baseColWidth="10" defaultRowHeight="16" x14ac:dyDescent="0.2"/>
  <cols>
    <col min="1" max="1" width="10.83203125" style="1"/>
    <col min="2" max="2" width="36" customWidth="1"/>
    <col min="3" max="3" width="27.33203125" customWidth="1"/>
    <col min="4" max="4" width="55" customWidth="1"/>
    <col min="5" max="5" width="30" customWidth="1"/>
    <col min="6" max="10" width="17" customWidth="1"/>
    <col min="11" max="12" width="10.83203125" style="2"/>
    <col min="13" max="13" width="23" customWidth="1"/>
    <col min="14" max="14" width="44.5" customWidth="1"/>
    <col min="15" max="15" width="22" customWidth="1"/>
    <col min="16" max="16" width="8.1640625" bestFit="1" customWidth="1"/>
    <col min="17" max="17" width="12.1640625" bestFit="1" customWidth="1"/>
    <col min="18" max="18" width="22.1640625" customWidth="1"/>
    <col min="19" max="19" width="22" customWidth="1"/>
    <col min="20" max="54" width="12" bestFit="1" customWidth="1"/>
    <col min="260" max="260" width="36" customWidth="1"/>
    <col min="261" max="261" width="27.33203125" customWidth="1"/>
    <col min="262" max="262" width="30" customWidth="1"/>
    <col min="263" max="267" width="17" customWidth="1"/>
    <col min="269" max="269" width="23" customWidth="1"/>
    <col min="270" max="270" width="30.1640625" customWidth="1"/>
    <col min="271" max="271" width="12.1640625" bestFit="1" customWidth="1"/>
    <col min="272" max="272" width="8.1640625" bestFit="1" customWidth="1"/>
    <col min="273" max="273" width="12.1640625" bestFit="1" customWidth="1"/>
    <col min="274" max="274" width="7.33203125" bestFit="1" customWidth="1"/>
    <col min="275" max="310" width="12" bestFit="1" customWidth="1"/>
    <col min="516" max="516" width="36" customWidth="1"/>
    <col min="517" max="517" width="27.33203125" customWidth="1"/>
    <col min="518" max="518" width="30" customWidth="1"/>
    <col min="519" max="523" width="17" customWidth="1"/>
    <col min="525" max="525" width="23" customWidth="1"/>
    <col min="526" max="526" width="30.1640625" customWidth="1"/>
    <col min="527" max="527" width="12.1640625" bestFit="1" customWidth="1"/>
    <col min="528" max="528" width="8.1640625" bestFit="1" customWidth="1"/>
    <col min="529" max="529" width="12.1640625" bestFit="1" customWidth="1"/>
    <col min="530" max="530" width="7.33203125" bestFit="1" customWidth="1"/>
    <col min="531" max="566" width="12" bestFit="1" customWidth="1"/>
    <col min="772" max="772" width="36" customWidth="1"/>
    <col min="773" max="773" width="27.33203125" customWidth="1"/>
    <col min="774" max="774" width="30" customWidth="1"/>
    <col min="775" max="779" width="17" customWidth="1"/>
    <col min="781" max="781" width="23" customWidth="1"/>
    <col min="782" max="782" width="30.1640625" customWidth="1"/>
    <col min="783" max="783" width="12.1640625" bestFit="1" customWidth="1"/>
    <col min="784" max="784" width="8.1640625" bestFit="1" customWidth="1"/>
    <col min="785" max="785" width="12.1640625" bestFit="1" customWidth="1"/>
    <col min="786" max="786" width="7.33203125" bestFit="1" customWidth="1"/>
    <col min="787" max="822" width="12" bestFit="1" customWidth="1"/>
    <col min="1028" max="1028" width="36" customWidth="1"/>
    <col min="1029" max="1029" width="27.33203125" customWidth="1"/>
    <col min="1030" max="1030" width="30" customWidth="1"/>
    <col min="1031" max="1035" width="17" customWidth="1"/>
    <col min="1037" max="1037" width="23" customWidth="1"/>
    <col min="1038" max="1038" width="30.1640625" customWidth="1"/>
    <col min="1039" max="1039" width="12.1640625" bestFit="1" customWidth="1"/>
    <col min="1040" max="1040" width="8.1640625" bestFit="1" customWidth="1"/>
    <col min="1041" max="1041" width="12.1640625" bestFit="1" customWidth="1"/>
    <col min="1042" max="1042" width="7.33203125" bestFit="1" customWidth="1"/>
    <col min="1043" max="1078" width="12" bestFit="1" customWidth="1"/>
    <col min="1284" max="1284" width="36" customWidth="1"/>
    <col min="1285" max="1285" width="27.33203125" customWidth="1"/>
    <col min="1286" max="1286" width="30" customWidth="1"/>
    <col min="1287" max="1291" width="17" customWidth="1"/>
    <col min="1293" max="1293" width="23" customWidth="1"/>
    <col min="1294" max="1294" width="30.1640625" customWidth="1"/>
    <col min="1295" max="1295" width="12.1640625" bestFit="1" customWidth="1"/>
    <col min="1296" max="1296" width="8.1640625" bestFit="1" customWidth="1"/>
    <col min="1297" max="1297" width="12.1640625" bestFit="1" customWidth="1"/>
    <col min="1298" max="1298" width="7.33203125" bestFit="1" customWidth="1"/>
    <col min="1299" max="1334" width="12" bestFit="1" customWidth="1"/>
    <col min="1540" max="1540" width="36" customWidth="1"/>
    <col min="1541" max="1541" width="27.33203125" customWidth="1"/>
    <col min="1542" max="1542" width="30" customWidth="1"/>
    <col min="1543" max="1547" width="17" customWidth="1"/>
    <col min="1549" max="1549" width="23" customWidth="1"/>
    <col min="1550" max="1550" width="30.1640625" customWidth="1"/>
    <col min="1551" max="1551" width="12.1640625" bestFit="1" customWidth="1"/>
    <col min="1552" max="1552" width="8.1640625" bestFit="1" customWidth="1"/>
    <col min="1553" max="1553" width="12.1640625" bestFit="1" customWidth="1"/>
    <col min="1554" max="1554" width="7.33203125" bestFit="1" customWidth="1"/>
    <col min="1555" max="1590" width="12" bestFit="1" customWidth="1"/>
    <col min="1796" max="1796" width="36" customWidth="1"/>
    <col min="1797" max="1797" width="27.33203125" customWidth="1"/>
    <col min="1798" max="1798" width="30" customWidth="1"/>
    <col min="1799" max="1803" width="17" customWidth="1"/>
    <col min="1805" max="1805" width="23" customWidth="1"/>
    <col min="1806" max="1806" width="30.1640625" customWidth="1"/>
    <col min="1807" max="1807" width="12.1640625" bestFit="1" customWidth="1"/>
    <col min="1808" max="1808" width="8.1640625" bestFit="1" customWidth="1"/>
    <col min="1809" max="1809" width="12.1640625" bestFit="1" customWidth="1"/>
    <col min="1810" max="1810" width="7.33203125" bestFit="1" customWidth="1"/>
    <col min="1811" max="1846" width="12" bestFit="1" customWidth="1"/>
    <col min="2052" max="2052" width="36" customWidth="1"/>
    <col min="2053" max="2053" width="27.33203125" customWidth="1"/>
    <col min="2054" max="2054" width="30" customWidth="1"/>
    <col min="2055" max="2059" width="17" customWidth="1"/>
    <col min="2061" max="2061" width="23" customWidth="1"/>
    <col min="2062" max="2062" width="30.1640625" customWidth="1"/>
    <col min="2063" max="2063" width="12.1640625" bestFit="1" customWidth="1"/>
    <col min="2064" max="2064" width="8.1640625" bestFit="1" customWidth="1"/>
    <col min="2065" max="2065" width="12.1640625" bestFit="1" customWidth="1"/>
    <col min="2066" max="2066" width="7.33203125" bestFit="1" customWidth="1"/>
    <col min="2067" max="2102" width="12" bestFit="1" customWidth="1"/>
    <col min="2308" max="2308" width="36" customWidth="1"/>
    <col min="2309" max="2309" width="27.33203125" customWidth="1"/>
    <col min="2310" max="2310" width="30" customWidth="1"/>
    <col min="2311" max="2315" width="17" customWidth="1"/>
    <col min="2317" max="2317" width="23" customWidth="1"/>
    <col min="2318" max="2318" width="30.1640625" customWidth="1"/>
    <col min="2319" max="2319" width="12.1640625" bestFit="1" customWidth="1"/>
    <col min="2320" max="2320" width="8.1640625" bestFit="1" customWidth="1"/>
    <col min="2321" max="2321" width="12.1640625" bestFit="1" customWidth="1"/>
    <col min="2322" max="2322" width="7.33203125" bestFit="1" customWidth="1"/>
    <col min="2323" max="2358" width="12" bestFit="1" customWidth="1"/>
    <col min="2564" max="2564" width="36" customWidth="1"/>
    <col min="2565" max="2565" width="27.33203125" customWidth="1"/>
    <col min="2566" max="2566" width="30" customWidth="1"/>
    <col min="2567" max="2571" width="17" customWidth="1"/>
    <col min="2573" max="2573" width="23" customWidth="1"/>
    <col min="2574" max="2574" width="30.1640625" customWidth="1"/>
    <col min="2575" max="2575" width="12.1640625" bestFit="1" customWidth="1"/>
    <col min="2576" max="2576" width="8.1640625" bestFit="1" customWidth="1"/>
    <col min="2577" max="2577" width="12.1640625" bestFit="1" customWidth="1"/>
    <col min="2578" max="2578" width="7.33203125" bestFit="1" customWidth="1"/>
    <col min="2579" max="2614" width="12" bestFit="1" customWidth="1"/>
    <col min="2820" max="2820" width="36" customWidth="1"/>
    <col min="2821" max="2821" width="27.33203125" customWidth="1"/>
    <col min="2822" max="2822" width="30" customWidth="1"/>
    <col min="2823" max="2827" width="17" customWidth="1"/>
    <col min="2829" max="2829" width="23" customWidth="1"/>
    <col min="2830" max="2830" width="30.1640625" customWidth="1"/>
    <col min="2831" max="2831" width="12.1640625" bestFit="1" customWidth="1"/>
    <col min="2832" max="2832" width="8.1640625" bestFit="1" customWidth="1"/>
    <col min="2833" max="2833" width="12.1640625" bestFit="1" customWidth="1"/>
    <col min="2834" max="2834" width="7.33203125" bestFit="1" customWidth="1"/>
    <col min="2835" max="2870" width="12" bestFit="1" customWidth="1"/>
    <col min="3076" max="3076" width="36" customWidth="1"/>
    <col min="3077" max="3077" width="27.33203125" customWidth="1"/>
    <col min="3078" max="3078" width="30" customWidth="1"/>
    <col min="3079" max="3083" width="17" customWidth="1"/>
    <col min="3085" max="3085" width="23" customWidth="1"/>
    <col min="3086" max="3086" width="30.1640625" customWidth="1"/>
    <col min="3087" max="3087" width="12.1640625" bestFit="1" customWidth="1"/>
    <col min="3088" max="3088" width="8.1640625" bestFit="1" customWidth="1"/>
    <col min="3089" max="3089" width="12.1640625" bestFit="1" customWidth="1"/>
    <col min="3090" max="3090" width="7.33203125" bestFit="1" customWidth="1"/>
    <col min="3091" max="3126" width="12" bestFit="1" customWidth="1"/>
    <col min="3332" max="3332" width="36" customWidth="1"/>
    <col min="3333" max="3333" width="27.33203125" customWidth="1"/>
    <col min="3334" max="3334" width="30" customWidth="1"/>
    <col min="3335" max="3339" width="17" customWidth="1"/>
    <col min="3341" max="3341" width="23" customWidth="1"/>
    <col min="3342" max="3342" width="30.1640625" customWidth="1"/>
    <col min="3343" max="3343" width="12.1640625" bestFit="1" customWidth="1"/>
    <col min="3344" max="3344" width="8.1640625" bestFit="1" customWidth="1"/>
    <col min="3345" max="3345" width="12.1640625" bestFit="1" customWidth="1"/>
    <col min="3346" max="3346" width="7.33203125" bestFit="1" customWidth="1"/>
    <col min="3347" max="3382" width="12" bestFit="1" customWidth="1"/>
    <col min="3588" max="3588" width="36" customWidth="1"/>
    <col min="3589" max="3589" width="27.33203125" customWidth="1"/>
    <col min="3590" max="3590" width="30" customWidth="1"/>
    <col min="3591" max="3595" width="17" customWidth="1"/>
    <col min="3597" max="3597" width="23" customWidth="1"/>
    <col min="3598" max="3598" width="30.1640625" customWidth="1"/>
    <col min="3599" max="3599" width="12.1640625" bestFit="1" customWidth="1"/>
    <col min="3600" max="3600" width="8.1640625" bestFit="1" customWidth="1"/>
    <col min="3601" max="3601" width="12.1640625" bestFit="1" customWidth="1"/>
    <col min="3602" max="3602" width="7.33203125" bestFit="1" customWidth="1"/>
    <col min="3603" max="3638" width="12" bestFit="1" customWidth="1"/>
    <col min="3844" max="3844" width="36" customWidth="1"/>
    <col min="3845" max="3845" width="27.33203125" customWidth="1"/>
    <col min="3846" max="3846" width="30" customWidth="1"/>
    <col min="3847" max="3851" width="17" customWidth="1"/>
    <col min="3853" max="3853" width="23" customWidth="1"/>
    <col min="3854" max="3854" width="30.1640625" customWidth="1"/>
    <col min="3855" max="3855" width="12.1640625" bestFit="1" customWidth="1"/>
    <col min="3856" max="3856" width="8.1640625" bestFit="1" customWidth="1"/>
    <col min="3857" max="3857" width="12.1640625" bestFit="1" customWidth="1"/>
    <col min="3858" max="3858" width="7.33203125" bestFit="1" customWidth="1"/>
    <col min="3859" max="3894" width="12" bestFit="1" customWidth="1"/>
    <col min="4100" max="4100" width="36" customWidth="1"/>
    <col min="4101" max="4101" width="27.33203125" customWidth="1"/>
    <col min="4102" max="4102" width="30" customWidth="1"/>
    <col min="4103" max="4107" width="17" customWidth="1"/>
    <col min="4109" max="4109" width="23" customWidth="1"/>
    <col min="4110" max="4110" width="30.1640625" customWidth="1"/>
    <col min="4111" max="4111" width="12.1640625" bestFit="1" customWidth="1"/>
    <col min="4112" max="4112" width="8.1640625" bestFit="1" customWidth="1"/>
    <col min="4113" max="4113" width="12.1640625" bestFit="1" customWidth="1"/>
    <col min="4114" max="4114" width="7.33203125" bestFit="1" customWidth="1"/>
    <col min="4115" max="4150" width="12" bestFit="1" customWidth="1"/>
    <col min="4356" max="4356" width="36" customWidth="1"/>
    <col min="4357" max="4357" width="27.33203125" customWidth="1"/>
    <col min="4358" max="4358" width="30" customWidth="1"/>
    <col min="4359" max="4363" width="17" customWidth="1"/>
    <col min="4365" max="4365" width="23" customWidth="1"/>
    <col min="4366" max="4366" width="30.1640625" customWidth="1"/>
    <col min="4367" max="4367" width="12.1640625" bestFit="1" customWidth="1"/>
    <col min="4368" max="4368" width="8.1640625" bestFit="1" customWidth="1"/>
    <col min="4369" max="4369" width="12.1640625" bestFit="1" customWidth="1"/>
    <col min="4370" max="4370" width="7.33203125" bestFit="1" customWidth="1"/>
    <col min="4371" max="4406" width="12" bestFit="1" customWidth="1"/>
    <col min="4612" max="4612" width="36" customWidth="1"/>
    <col min="4613" max="4613" width="27.33203125" customWidth="1"/>
    <col min="4614" max="4614" width="30" customWidth="1"/>
    <col min="4615" max="4619" width="17" customWidth="1"/>
    <col min="4621" max="4621" width="23" customWidth="1"/>
    <col min="4622" max="4622" width="30.1640625" customWidth="1"/>
    <col min="4623" max="4623" width="12.1640625" bestFit="1" customWidth="1"/>
    <col min="4624" max="4624" width="8.1640625" bestFit="1" customWidth="1"/>
    <col min="4625" max="4625" width="12.1640625" bestFit="1" customWidth="1"/>
    <col min="4626" max="4626" width="7.33203125" bestFit="1" customWidth="1"/>
    <col min="4627" max="4662" width="12" bestFit="1" customWidth="1"/>
    <col min="4868" max="4868" width="36" customWidth="1"/>
    <col min="4869" max="4869" width="27.33203125" customWidth="1"/>
    <col min="4870" max="4870" width="30" customWidth="1"/>
    <col min="4871" max="4875" width="17" customWidth="1"/>
    <col min="4877" max="4877" width="23" customWidth="1"/>
    <col min="4878" max="4878" width="30.1640625" customWidth="1"/>
    <col min="4879" max="4879" width="12.1640625" bestFit="1" customWidth="1"/>
    <col min="4880" max="4880" width="8.1640625" bestFit="1" customWidth="1"/>
    <col min="4881" max="4881" width="12.1640625" bestFit="1" customWidth="1"/>
    <col min="4882" max="4882" width="7.33203125" bestFit="1" customWidth="1"/>
    <col min="4883" max="4918" width="12" bestFit="1" customWidth="1"/>
    <col min="5124" max="5124" width="36" customWidth="1"/>
    <col min="5125" max="5125" width="27.33203125" customWidth="1"/>
    <col min="5126" max="5126" width="30" customWidth="1"/>
    <col min="5127" max="5131" width="17" customWidth="1"/>
    <col min="5133" max="5133" width="23" customWidth="1"/>
    <col min="5134" max="5134" width="30.1640625" customWidth="1"/>
    <col min="5135" max="5135" width="12.1640625" bestFit="1" customWidth="1"/>
    <col min="5136" max="5136" width="8.1640625" bestFit="1" customWidth="1"/>
    <col min="5137" max="5137" width="12.1640625" bestFit="1" customWidth="1"/>
    <col min="5138" max="5138" width="7.33203125" bestFit="1" customWidth="1"/>
    <col min="5139" max="5174" width="12" bestFit="1" customWidth="1"/>
    <col min="5380" max="5380" width="36" customWidth="1"/>
    <col min="5381" max="5381" width="27.33203125" customWidth="1"/>
    <col min="5382" max="5382" width="30" customWidth="1"/>
    <col min="5383" max="5387" width="17" customWidth="1"/>
    <col min="5389" max="5389" width="23" customWidth="1"/>
    <col min="5390" max="5390" width="30.1640625" customWidth="1"/>
    <col min="5391" max="5391" width="12.1640625" bestFit="1" customWidth="1"/>
    <col min="5392" max="5392" width="8.1640625" bestFit="1" customWidth="1"/>
    <col min="5393" max="5393" width="12.1640625" bestFit="1" customWidth="1"/>
    <col min="5394" max="5394" width="7.33203125" bestFit="1" customWidth="1"/>
    <col min="5395" max="5430" width="12" bestFit="1" customWidth="1"/>
    <col min="5636" max="5636" width="36" customWidth="1"/>
    <col min="5637" max="5637" width="27.33203125" customWidth="1"/>
    <col min="5638" max="5638" width="30" customWidth="1"/>
    <col min="5639" max="5643" width="17" customWidth="1"/>
    <col min="5645" max="5645" width="23" customWidth="1"/>
    <col min="5646" max="5646" width="30.1640625" customWidth="1"/>
    <col min="5647" max="5647" width="12.1640625" bestFit="1" customWidth="1"/>
    <col min="5648" max="5648" width="8.1640625" bestFit="1" customWidth="1"/>
    <col min="5649" max="5649" width="12.1640625" bestFit="1" customWidth="1"/>
    <col min="5650" max="5650" width="7.33203125" bestFit="1" customWidth="1"/>
    <col min="5651" max="5686" width="12" bestFit="1" customWidth="1"/>
    <col min="5892" max="5892" width="36" customWidth="1"/>
    <col min="5893" max="5893" width="27.33203125" customWidth="1"/>
    <col min="5894" max="5894" width="30" customWidth="1"/>
    <col min="5895" max="5899" width="17" customWidth="1"/>
    <col min="5901" max="5901" width="23" customWidth="1"/>
    <col min="5902" max="5902" width="30.1640625" customWidth="1"/>
    <col min="5903" max="5903" width="12.1640625" bestFit="1" customWidth="1"/>
    <col min="5904" max="5904" width="8.1640625" bestFit="1" customWidth="1"/>
    <col min="5905" max="5905" width="12.1640625" bestFit="1" customWidth="1"/>
    <col min="5906" max="5906" width="7.33203125" bestFit="1" customWidth="1"/>
    <col min="5907" max="5942" width="12" bestFit="1" customWidth="1"/>
    <col min="6148" max="6148" width="36" customWidth="1"/>
    <col min="6149" max="6149" width="27.33203125" customWidth="1"/>
    <col min="6150" max="6150" width="30" customWidth="1"/>
    <col min="6151" max="6155" width="17" customWidth="1"/>
    <col min="6157" max="6157" width="23" customWidth="1"/>
    <col min="6158" max="6158" width="30.1640625" customWidth="1"/>
    <col min="6159" max="6159" width="12.1640625" bestFit="1" customWidth="1"/>
    <col min="6160" max="6160" width="8.1640625" bestFit="1" customWidth="1"/>
    <col min="6161" max="6161" width="12.1640625" bestFit="1" customWidth="1"/>
    <col min="6162" max="6162" width="7.33203125" bestFit="1" customWidth="1"/>
    <col min="6163" max="6198" width="12" bestFit="1" customWidth="1"/>
    <col min="6404" max="6404" width="36" customWidth="1"/>
    <col min="6405" max="6405" width="27.33203125" customWidth="1"/>
    <col min="6406" max="6406" width="30" customWidth="1"/>
    <col min="6407" max="6411" width="17" customWidth="1"/>
    <col min="6413" max="6413" width="23" customWidth="1"/>
    <col min="6414" max="6414" width="30.1640625" customWidth="1"/>
    <col min="6415" max="6415" width="12.1640625" bestFit="1" customWidth="1"/>
    <col min="6416" max="6416" width="8.1640625" bestFit="1" customWidth="1"/>
    <col min="6417" max="6417" width="12.1640625" bestFit="1" customWidth="1"/>
    <col min="6418" max="6418" width="7.33203125" bestFit="1" customWidth="1"/>
    <col min="6419" max="6454" width="12" bestFit="1" customWidth="1"/>
    <col min="6660" max="6660" width="36" customWidth="1"/>
    <col min="6661" max="6661" width="27.33203125" customWidth="1"/>
    <col min="6662" max="6662" width="30" customWidth="1"/>
    <col min="6663" max="6667" width="17" customWidth="1"/>
    <col min="6669" max="6669" width="23" customWidth="1"/>
    <col min="6670" max="6670" width="30.1640625" customWidth="1"/>
    <col min="6671" max="6671" width="12.1640625" bestFit="1" customWidth="1"/>
    <col min="6672" max="6672" width="8.1640625" bestFit="1" customWidth="1"/>
    <col min="6673" max="6673" width="12.1640625" bestFit="1" customWidth="1"/>
    <col min="6674" max="6674" width="7.33203125" bestFit="1" customWidth="1"/>
    <col min="6675" max="6710" width="12" bestFit="1" customWidth="1"/>
    <col min="6916" max="6916" width="36" customWidth="1"/>
    <col min="6917" max="6917" width="27.33203125" customWidth="1"/>
    <col min="6918" max="6918" width="30" customWidth="1"/>
    <col min="6919" max="6923" width="17" customWidth="1"/>
    <col min="6925" max="6925" width="23" customWidth="1"/>
    <col min="6926" max="6926" width="30.1640625" customWidth="1"/>
    <col min="6927" max="6927" width="12.1640625" bestFit="1" customWidth="1"/>
    <col min="6928" max="6928" width="8.1640625" bestFit="1" customWidth="1"/>
    <col min="6929" max="6929" width="12.1640625" bestFit="1" customWidth="1"/>
    <col min="6930" max="6930" width="7.33203125" bestFit="1" customWidth="1"/>
    <col min="6931" max="6966" width="12" bestFit="1" customWidth="1"/>
    <col min="7172" max="7172" width="36" customWidth="1"/>
    <col min="7173" max="7173" width="27.33203125" customWidth="1"/>
    <col min="7174" max="7174" width="30" customWidth="1"/>
    <col min="7175" max="7179" width="17" customWidth="1"/>
    <col min="7181" max="7181" width="23" customWidth="1"/>
    <col min="7182" max="7182" width="30.1640625" customWidth="1"/>
    <col min="7183" max="7183" width="12.1640625" bestFit="1" customWidth="1"/>
    <col min="7184" max="7184" width="8.1640625" bestFit="1" customWidth="1"/>
    <col min="7185" max="7185" width="12.1640625" bestFit="1" customWidth="1"/>
    <col min="7186" max="7186" width="7.33203125" bestFit="1" customWidth="1"/>
    <col min="7187" max="7222" width="12" bestFit="1" customWidth="1"/>
    <col min="7428" max="7428" width="36" customWidth="1"/>
    <col min="7429" max="7429" width="27.33203125" customWidth="1"/>
    <col min="7430" max="7430" width="30" customWidth="1"/>
    <col min="7431" max="7435" width="17" customWidth="1"/>
    <col min="7437" max="7437" width="23" customWidth="1"/>
    <col min="7438" max="7438" width="30.1640625" customWidth="1"/>
    <col min="7439" max="7439" width="12.1640625" bestFit="1" customWidth="1"/>
    <col min="7440" max="7440" width="8.1640625" bestFit="1" customWidth="1"/>
    <col min="7441" max="7441" width="12.1640625" bestFit="1" customWidth="1"/>
    <col min="7442" max="7442" width="7.33203125" bestFit="1" customWidth="1"/>
    <col min="7443" max="7478" width="12" bestFit="1" customWidth="1"/>
    <col min="7684" max="7684" width="36" customWidth="1"/>
    <col min="7685" max="7685" width="27.33203125" customWidth="1"/>
    <col min="7686" max="7686" width="30" customWidth="1"/>
    <col min="7687" max="7691" width="17" customWidth="1"/>
    <col min="7693" max="7693" width="23" customWidth="1"/>
    <col min="7694" max="7694" width="30.1640625" customWidth="1"/>
    <col min="7695" max="7695" width="12.1640625" bestFit="1" customWidth="1"/>
    <col min="7696" max="7696" width="8.1640625" bestFit="1" customWidth="1"/>
    <col min="7697" max="7697" width="12.1640625" bestFit="1" customWidth="1"/>
    <col min="7698" max="7698" width="7.33203125" bestFit="1" customWidth="1"/>
    <col min="7699" max="7734" width="12" bestFit="1" customWidth="1"/>
    <col min="7940" max="7940" width="36" customWidth="1"/>
    <col min="7941" max="7941" width="27.33203125" customWidth="1"/>
    <col min="7942" max="7942" width="30" customWidth="1"/>
    <col min="7943" max="7947" width="17" customWidth="1"/>
    <col min="7949" max="7949" width="23" customWidth="1"/>
    <col min="7950" max="7950" width="30.1640625" customWidth="1"/>
    <col min="7951" max="7951" width="12.1640625" bestFit="1" customWidth="1"/>
    <col min="7952" max="7952" width="8.1640625" bestFit="1" customWidth="1"/>
    <col min="7953" max="7953" width="12.1640625" bestFit="1" customWidth="1"/>
    <col min="7954" max="7954" width="7.33203125" bestFit="1" customWidth="1"/>
    <col min="7955" max="7990" width="12" bestFit="1" customWidth="1"/>
    <col min="8196" max="8196" width="36" customWidth="1"/>
    <col min="8197" max="8197" width="27.33203125" customWidth="1"/>
    <col min="8198" max="8198" width="30" customWidth="1"/>
    <col min="8199" max="8203" width="17" customWidth="1"/>
    <col min="8205" max="8205" width="23" customWidth="1"/>
    <col min="8206" max="8206" width="30.1640625" customWidth="1"/>
    <col min="8207" max="8207" width="12.1640625" bestFit="1" customWidth="1"/>
    <col min="8208" max="8208" width="8.1640625" bestFit="1" customWidth="1"/>
    <col min="8209" max="8209" width="12.1640625" bestFit="1" customWidth="1"/>
    <col min="8210" max="8210" width="7.33203125" bestFit="1" customWidth="1"/>
    <col min="8211" max="8246" width="12" bestFit="1" customWidth="1"/>
    <col min="8452" max="8452" width="36" customWidth="1"/>
    <col min="8453" max="8453" width="27.33203125" customWidth="1"/>
    <col min="8454" max="8454" width="30" customWidth="1"/>
    <col min="8455" max="8459" width="17" customWidth="1"/>
    <col min="8461" max="8461" width="23" customWidth="1"/>
    <col min="8462" max="8462" width="30.1640625" customWidth="1"/>
    <col min="8463" max="8463" width="12.1640625" bestFit="1" customWidth="1"/>
    <col min="8464" max="8464" width="8.1640625" bestFit="1" customWidth="1"/>
    <col min="8465" max="8465" width="12.1640625" bestFit="1" customWidth="1"/>
    <col min="8466" max="8466" width="7.33203125" bestFit="1" customWidth="1"/>
    <col min="8467" max="8502" width="12" bestFit="1" customWidth="1"/>
    <col min="8708" max="8708" width="36" customWidth="1"/>
    <col min="8709" max="8709" width="27.33203125" customWidth="1"/>
    <col min="8710" max="8710" width="30" customWidth="1"/>
    <col min="8711" max="8715" width="17" customWidth="1"/>
    <col min="8717" max="8717" width="23" customWidth="1"/>
    <col min="8718" max="8718" width="30.1640625" customWidth="1"/>
    <col min="8719" max="8719" width="12.1640625" bestFit="1" customWidth="1"/>
    <col min="8720" max="8720" width="8.1640625" bestFit="1" customWidth="1"/>
    <col min="8721" max="8721" width="12.1640625" bestFit="1" customWidth="1"/>
    <col min="8722" max="8722" width="7.33203125" bestFit="1" customWidth="1"/>
    <col min="8723" max="8758" width="12" bestFit="1" customWidth="1"/>
    <col min="8964" max="8964" width="36" customWidth="1"/>
    <col min="8965" max="8965" width="27.33203125" customWidth="1"/>
    <col min="8966" max="8966" width="30" customWidth="1"/>
    <col min="8967" max="8971" width="17" customWidth="1"/>
    <col min="8973" max="8973" width="23" customWidth="1"/>
    <col min="8974" max="8974" width="30.1640625" customWidth="1"/>
    <col min="8975" max="8975" width="12.1640625" bestFit="1" customWidth="1"/>
    <col min="8976" max="8976" width="8.1640625" bestFit="1" customWidth="1"/>
    <col min="8977" max="8977" width="12.1640625" bestFit="1" customWidth="1"/>
    <col min="8978" max="8978" width="7.33203125" bestFit="1" customWidth="1"/>
    <col min="8979" max="9014" width="12" bestFit="1" customWidth="1"/>
    <col min="9220" max="9220" width="36" customWidth="1"/>
    <col min="9221" max="9221" width="27.33203125" customWidth="1"/>
    <col min="9222" max="9222" width="30" customWidth="1"/>
    <col min="9223" max="9227" width="17" customWidth="1"/>
    <col min="9229" max="9229" width="23" customWidth="1"/>
    <col min="9230" max="9230" width="30.1640625" customWidth="1"/>
    <col min="9231" max="9231" width="12.1640625" bestFit="1" customWidth="1"/>
    <col min="9232" max="9232" width="8.1640625" bestFit="1" customWidth="1"/>
    <col min="9233" max="9233" width="12.1640625" bestFit="1" customWidth="1"/>
    <col min="9234" max="9234" width="7.33203125" bestFit="1" customWidth="1"/>
    <col min="9235" max="9270" width="12" bestFit="1" customWidth="1"/>
    <col min="9476" max="9476" width="36" customWidth="1"/>
    <col min="9477" max="9477" width="27.33203125" customWidth="1"/>
    <col min="9478" max="9478" width="30" customWidth="1"/>
    <col min="9479" max="9483" width="17" customWidth="1"/>
    <col min="9485" max="9485" width="23" customWidth="1"/>
    <col min="9486" max="9486" width="30.1640625" customWidth="1"/>
    <col min="9487" max="9487" width="12.1640625" bestFit="1" customWidth="1"/>
    <col min="9488" max="9488" width="8.1640625" bestFit="1" customWidth="1"/>
    <col min="9489" max="9489" width="12.1640625" bestFit="1" customWidth="1"/>
    <col min="9490" max="9490" width="7.33203125" bestFit="1" customWidth="1"/>
    <col min="9491" max="9526" width="12" bestFit="1" customWidth="1"/>
    <col min="9732" max="9732" width="36" customWidth="1"/>
    <col min="9733" max="9733" width="27.33203125" customWidth="1"/>
    <col min="9734" max="9734" width="30" customWidth="1"/>
    <col min="9735" max="9739" width="17" customWidth="1"/>
    <col min="9741" max="9741" width="23" customWidth="1"/>
    <col min="9742" max="9742" width="30.1640625" customWidth="1"/>
    <col min="9743" max="9743" width="12.1640625" bestFit="1" customWidth="1"/>
    <col min="9744" max="9744" width="8.1640625" bestFit="1" customWidth="1"/>
    <col min="9745" max="9745" width="12.1640625" bestFit="1" customWidth="1"/>
    <col min="9746" max="9746" width="7.33203125" bestFit="1" customWidth="1"/>
    <col min="9747" max="9782" width="12" bestFit="1" customWidth="1"/>
    <col min="9988" max="9988" width="36" customWidth="1"/>
    <col min="9989" max="9989" width="27.33203125" customWidth="1"/>
    <col min="9990" max="9990" width="30" customWidth="1"/>
    <col min="9991" max="9995" width="17" customWidth="1"/>
    <col min="9997" max="9997" width="23" customWidth="1"/>
    <col min="9998" max="9998" width="30.1640625" customWidth="1"/>
    <col min="9999" max="9999" width="12.1640625" bestFit="1" customWidth="1"/>
    <col min="10000" max="10000" width="8.1640625" bestFit="1" customWidth="1"/>
    <col min="10001" max="10001" width="12.1640625" bestFit="1" customWidth="1"/>
    <col min="10002" max="10002" width="7.33203125" bestFit="1" customWidth="1"/>
    <col min="10003" max="10038" width="12" bestFit="1" customWidth="1"/>
    <col min="10244" max="10244" width="36" customWidth="1"/>
    <col min="10245" max="10245" width="27.33203125" customWidth="1"/>
    <col min="10246" max="10246" width="30" customWidth="1"/>
    <col min="10247" max="10251" width="17" customWidth="1"/>
    <col min="10253" max="10253" width="23" customWidth="1"/>
    <col min="10254" max="10254" width="30.1640625" customWidth="1"/>
    <col min="10255" max="10255" width="12.1640625" bestFit="1" customWidth="1"/>
    <col min="10256" max="10256" width="8.1640625" bestFit="1" customWidth="1"/>
    <col min="10257" max="10257" width="12.1640625" bestFit="1" customWidth="1"/>
    <col min="10258" max="10258" width="7.33203125" bestFit="1" customWidth="1"/>
    <col min="10259" max="10294" width="12" bestFit="1" customWidth="1"/>
    <col min="10500" max="10500" width="36" customWidth="1"/>
    <col min="10501" max="10501" width="27.33203125" customWidth="1"/>
    <col min="10502" max="10502" width="30" customWidth="1"/>
    <col min="10503" max="10507" width="17" customWidth="1"/>
    <col min="10509" max="10509" width="23" customWidth="1"/>
    <col min="10510" max="10510" width="30.1640625" customWidth="1"/>
    <col min="10511" max="10511" width="12.1640625" bestFit="1" customWidth="1"/>
    <col min="10512" max="10512" width="8.1640625" bestFit="1" customWidth="1"/>
    <col min="10513" max="10513" width="12.1640625" bestFit="1" customWidth="1"/>
    <col min="10514" max="10514" width="7.33203125" bestFit="1" customWidth="1"/>
    <col min="10515" max="10550" width="12" bestFit="1" customWidth="1"/>
    <col min="10756" max="10756" width="36" customWidth="1"/>
    <col min="10757" max="10757" width="27.33203125" customWidth="1"/>
    <col min="10758" max="10758" width="30" customWidth="1"/>
    <col min="10759" max="10763" width="17" customWidth="1"/>
    <col min="10765" max="10765" width="23" customWidth="1"/>
    <col min="10766" max="10766" width="30.1640625" customWidth="1"/>
    <col min="10767" max="10767" width="12.1640625" bestFit="1" customWidth="1"/>
    <col min="10768" max="10768" width="8.1640625" bestFit="1" customWidth="1"/>
    <col min="10769" max="10769" width="12.1640625" bestFit="1" customWidth="1"/>
    <col min="10770" max="10770" width="7.33203125" bestFit="1" customWidth="1"/>
    <col min="10771" max="10806" width="12" bestFit="1" customWidth="1"/>
    <col min="11012" max="11012" width="36" customWidth="1"/>
    <col min="11013" max="11013" width="27.33203125" customWidth="1"/>
    <col min="11014" max="11014" width="30" customWidth="1"/>
    <col min="11015" max="11019" width="17" customWidth="1"/>
    <col min="11021" max="11021" width="23" customWidth="1"/>
    <col min="11022" max="11022" width="30.1640625" customWidth="1"/>
    <col min="11023" max="11023" width="12.1640625" bestFit="1" customWidth="1"/>
    <col min="11024" max="11024" width="8.1640625" bestFit="1" customWidth="1"/>
    <col min="11025" max="11025" width="12.1640625" bestFit="1" customWidth="1"/>
    <col min="11026" max="11026" width="7.33203125" bestFit="1" customWidth="1"/>
    <col min="11027" max="11062" width="12" bestFit="1" customWidth="1"/>
    <col min="11268" max="11268" width="36" customWidth="1"/>
    <col min="11269" max="11269" width="27.33203125" customWidth="1"/>
    <col min="11270" max="11270" width="30" customWidth="1"/>
    <col min="11271" max="11275" width="17" customWidth="1"/>
    <col min="11277" max="11277" width="23" customWidth="1"/>
    <col min="11278" max="11278" width="30.1640625" customWidth="1"/>
    <col min="11279" max="11279" width="12.1640625" bestFit="1" customWidth="1"/>
    <col min="11280" max="11280" width="8.1640625" bestFit="1" customWidth="1"/>
    <col min="11281" max="11281" width="12.1640625" bestFit="1" customWidth="1"/>
    <col min="11282" max="11282" width="7.33203125" bestFit="1" customWidth="1"/>
    <col min="11283" max="11318" width="12" bestFit="1" customWidth="1"/>
    <col min="11524" max="11524" width="36" customWidth="1"/>
    <col min="11525" max="11525" width="27.33203125" customWidth="1"/>
    <col min="11526" max="11526" width="30" customWidth="1"/>
    <col min="11527" max="11531" width="17" customWidth="1"/>
    <col min="11533" max="11533" width="23" customWidth="1"/>
    <col min="11534" max="11534" width="30.1640625" customWidth="1"/>
    <col min="11535" max="11535" width="12.1640625" bestFit="1" customWidth="1"/>
    <col min="11536" max="11536" width="8.1640625" bestFit="1" customWidth="1"/>
    <col min="11537" max="11537" width="12.1640625" bestFit="1" customWidth="1"/>
    <col min="11538" max="11538" width="7.33203125" bestFit="1" customWidth="1"/>
    <col min="11539" max="11574" width="12" bestFit="1" customWidth="1"/>
    <col min="11780" max="11780" width="36" customWidth="1"/>
    <col min="11781" max="11781" width="27.33203125" customWidth="1"/>
    <col min="11782" max="11782" width="30" customWidth="1"/>
    <col min="11783" max="11787" width="17" customWidth="1"/>
    <col min="11789" max="11789" width="23" customWidth="1"/>
    <col min="11790" max="11790" width="30.1640625" customWidth="1"/>
    <col min="11791" max="11791" width="12.1640625" bestFit="1" customWidth="1"/>
    <col min="11792" max="11792" width="8.1640625" bestFit="1" customWidth="1"/>
    <col min="11793" max="11793" width="12.1640625" bestFit="1" customWidth="1"/>
    <col min="11794" max="11794" width="7.33203125" bestFit="1" customWidth="1"/>
    <col min="11795" max="11830" width="12" bestFit="1" customWidth="1"/>
    <col min="12036" max="12036" width="36" customWidth="1"/>
    <col min="12037" max="12037" width="27.33203125" customWidth="1"/>
    <col min="12038" max="12038" width="30" customWidth="1"/>
    <col min="12039" max="12043" width="17" customWidth="1"/>
    <col min="12045" max="12045" width="23" customWidth="1"/>
    <col min="12046" max="12046" width="30.1640625" customWidth="1"/>
    <col min="12047" max="12047" width="12.1640625" bestFit="1" customWidth="1"/>
    <col min="12048" max="12048" width="8.1640625" bestFit="1" customWidth="1"/>
    <col min="12049" max="12049" width="12.1640625" bestFit="1" customWidth="1"/>
    <col min="12050" max="12050" width="7.33203125" bestFit="1" customWidth="1"/>
    <col min="12051" max="12086" width="12" bestFit="1" customWidth="1"/>
    <col min="12292" max="12292" width="36" customWidth="1"/>
    <col min="12293" max="12293" width="27.33203125" customWidth="1"/>
    <col min="12294" max="12294" width="30" customWidth="1"/>
    <col min="12295" max="12299" width="17" customWidth="1"/>
    <col min="12301" max="12301" width="23" customWidth="1"/>
    <col min="12302" max="12302" width="30.1640625" customWidth="1"/>
    <col min="12303" max="12303" width="12.1640625" bestFit="1" customWidth="1"/>
    <col min="12304" max="12304" width="8.1640625" bestFit="1" customWidth="1"/>
    <col min="12305" max="12305" width="12.1640625" bestFit="1" customWidth="1"/>
    <col min="12306" max="12306" width="7.33203125" bestFit="1" customWidth="1"/>
    <col min="12307" max="12342" width="12" bestFit="1" customWidth="1"/>
    <col min="12548" max="12548" width="36" customWidth="1"/>
    <col min="12549" max="12549" width="27.33203125" customWidth="1"/>
    <col min="12550" max="12550" width="30" customWidth="1"/>
    <col min="12551" max="12555" width="17" customWidth="1"/>
    <col min="12557" max="12557" width="23" customWidth="1"/>
    <col min="12558" max="12558" width="30.1640625" customWidth="1"/>
    <col min="12559" max="12559" width="12.1640625" bestFit="1" customWidth="1"/>
    <col min="12560" max="12560" width="8.1640625" bestFit="1" customWidth="1"/>
    <col min="12561" max="12561" width="12.1640625" bestFit="1" customWidth="1"/>
    <col min="12562" max="12562" width="7.33203125" bestFit="1" customWidth="1"/>
    <col min="12563" max="12598" width="12" bestFit="1" customWidth="1"/>
    <col min="12804" max="12804" width="36" customWidth="1"/>
    <col min="12805" max="12805" width="27.33203125" customWidth="1"/>
    <col min="12806" max="12806" width="30" customWidth="1"/>
    <col min="12807" max="12811" width="17" customWidth="1"/>
    <col min="12813" max="12813" width="23" customWidth="1"/>
    <col min="12814" max="12814" width="30.1640625" customWidth="1"/>
    <col min="12815" max="12815" width="12.1640625" bestFit="1" customWidth="1"/>
    <col min="12816" max="12816" width="8.1640625" bestFit="1" customWidth="1"/>
    <col min="12817" max="12817" width="12.1640625" bestFit="1" customWidth="1"/>
    <col min="12818" max="12818" width="7.33203125" bestFit="1" customWidth="1"/>
    <col min="12819" max="12854" width="12" bestFit="1" customWidth="1"/>
    <col min="13060" max="13060" width="36" customWidth="1"/>
    <col min="13061" max="13061" width="27.33203125" customWidth="1"/>
    <col min="13062" max="13062" width="30" customWidth="1"/>
    <col min="13063" max="13067" width="17" customWidth="1"/>
    <col min="13069" max="13069" width="23" customWidth="1"/>
    <col min="13070" max="13070" width="30.1640625" customWidth="1"/>
    <col min="13071" max="13071" width="12.1640625" bestFit="1" customWidth="1"/>
    <col min="13072" max="13072" width="8.1640625" bestFit="1" customWidth="1"/>
    <col min="13073" max="13073" width="12.1640625" bestFit="1" customWidth="1"/>
    <col min="13074" max="13074" width="7.33203125" bestFit="1" customWidth="1"/>
    <col min="13075" max="13110" width="12" bestFit="1" customWidth="1"/>
    <col min="13316" max="13316" width="36" customWidth="1"/>
    <col min="13317" max="13317" width="27.33203125" customWidth="1"/>
    <col min="13318" max="13318" width="30" customWidth="1"/>
    <col min="13319" max="13323" width="17" customWidth="1"/>
    <col min="13325" max="13325" width="23" customWidth="1"/>
    <col min="13326" max="13326" width="30.1640625" customWidth="1"/>
    <col min="13327" max="13327" width="12.1640625" bestFit="1" customWidth="1"/>
    <col min="13328" max="13328" width="8.1640625" bestFit="1" customWidth="1"/>
    <col min="13329" max="13329" width="12.1640625" bestFit="1" customWidth="1"/>
    <col min="13330" max="13330" width="7.33203125" bestFit="1" customWidth="1"/>
    <col min="13331" max="13366" width="12" bestFit="1" customWidth="1"/>
    <col min="13572" max="13572" width="36" customWidth="1"/>
    <col min="13573" max="13573" width="27.33203125" customWidth="1"/>
    <col min="13574" max="13574" width="30" customWidth="1"/>
    <col min="13575" max="13579" width="17" customWidth="1"/>
    <col min="13581" max="13581" width="23" customWidth="1"/>
    <col min="13582" max="13582" width="30.1640625" customWidth="1"/>
    <col min="13583" max="13583" width="12.1640625" bestFit="1" customWidth="1"/>
    <col min="13584" max="13584" width="8.1640625" bestFit="1" customWidth="1"/>
    <col min="13585" max="13585" width="12.1640625" bestFit="1" customWidth="1"/>
    <col min="13586" max="13586" width="7.33203125" bestFit="1" customWidth="1"/>
    <col min="13587" max="13622" width="12" bestFit="1" customWidth="1"/>
    <col min="13828" max="13828" width="36" customWidth="1"/>
    <col min="13829" max="13829" width="27.33203125" customWidth="1"/>
    <col min="13830" max="13830" width="30" customWidth="1"/>
    <col min="13831" max="13835" width="17" customWidth="1"/>
    <col min="13837" max="13837" width="23" customWidth="1"/>
    <col min="13838" max="13838" width="30.1640625" customWidth="1"/>
    <col min="13839" max="13839" width="12.1640625" bestFit="1" customWidth="1"/>
    <col min="13840" max="13840" width="8.1640625" bestFit="1" customWidth="1"/>
    <col min="13841" max="13841" width="12.1640625" bestFit="1" customWidth="1"/>
    <col min="13842" max="13842" width="7.33203125" bestFit="1" customWidth="1"/>
    <col min="13843" max="13878" width="12" bestFit="1" customWidth="1"/>
    <col min="14084" max="14084" width="36" customWidth="1"/>
    <col min="14085" max="14085" width="27.33203125" customWidth="1"/>
    <col min="14086" max="14086" width="30" customWidth="1"/>
    <col min="14087" max="14091" width="17" customWidth="1"/>
    <col min="14093" max="14093" width="23" customWidth="1"/>
    <col min="14094" max="14094" width="30.1640625" customWidth="1"/>
    <col min="14095" max="14095" width="12.1640625" bestFit="1" customWidth="1"/>
    <col min="14096" max="14096" width="8.1640625" bestFit="1" customWidth="1"/>
    <col min="14097" max="14097" width="12.1640625" bestFit="1" customWidth="1"/>
    <col min="14098" max="14098" width="7.33203125" bestFit="1" customWidth="1"/>
    <col min="14099" max="14134" width="12" bestFit="1" customWidth="1"/>
    <col min="14340" max="14340" width="36" customWidth="1"/>
    <col min="14341" max="14341" width="27.33203125" customWidth="1"/>
    <col min="14342" max="14342" width="30" customWidth="1"/>
    <col min="14343" max="14347" width="17" customWidth="1"/>
    <col min="14349" max="14349" width="23" customWidth="1"/>
    <col min="14350" max="14350" width="30.1640625" customWidth="1"/>
    <col min="14351" max="14351" width="12.1640625" bestFit="1" customWidth="1"/>
    <col min="14352" max="14352" width="8.1640625" bestFit="1" customWidth="1"/>
    <col min="14353" max="14353" width="12.1640625" bestFit="1" customWidth="1"/>
    <col min="14354" max="14354" width="7.33203125" bestFit="1" customWidth="1"/>
    <col min="14355" max="14390" width="12" bestFit="1" customWidth="1"/>
    <col min="14596" max="14596" width="36" customWidth="1"/>
    <col min="14597" max="14597" width="27.33203125" customWidth="1"/>
    <col min="14598" max="14598" width="30" customWidth="1"/>
    <col min="14599" max="14603" width="17" customWidth="1"/>
    <col min="14605" max="14605" width="23" customWidth="1"/>
    <col min="14606" max="14606" width="30.1640625" customWidth="1"/>
    <col min="14607" max="14607" width="12.1640625" bestFit="1" customWidth="1"/>
    <col min="14608" max="14608" width="8.1640625" bestFit="1" customWidth="1"/>
    <col min="14609" max="14609" width="12.1640625" bestFit="1" customWidth="1"/>
    <col min="14610" max="14610" width="7.33203125" bestFit="1" customWidth="1"/>
    <col min="14611" max="14646" width="12" bestFit="1" customWidth="1"/>
    <col min="14852" max="14852" width="36" customWidth="1"/>
    <col min="14853" max="14853" width="27.33203125" customWidth="1"/>
    <col min="14854" max="14854" width="30" customWidth="1"/>
    <col min="14855" max="14859" width="17" customWidth="1"/>
    <col min="14861" max="14861" width="23" customWidth="1"/>
    <col min="14862" max="14862" width="30.1640625" customWidth="1"/>
    <col min="14863" max="14863" width="12.1640625" bestFit="1" customWidth="1"/>
    <col min="14864" max="14864" width="8.1640625" bestFit="1" customWidth="1"/>
    <col min="14865" max="14865" width="12.1640625" bestFit="1" customWidth="1"/>
    <col min="14866" max="14866" width="7.33203125" bestFit="1" customWidth="1"/>
    <col min="14867" max="14902" width="12" bestFit="1" customWidth="1"/>
    <col min="15108" max="15108" width="36" customWidth="1"/>
    <col min="15109" max="15109" width="27.33203125" customWidth="1"/>
    <col min="15110" max="15110" width="30" customWidth="1"/>
    <col min="15111" max="15115" width="17" customWidth="1"/>
    <col min="15117" max="15117" width="23" customWidth="1"/>
    <col min="15118" max="15118" width="30.1640625" customWidth="1"/>
    <col min="15119" max="15119" width="12.1640625" bestFit="1" customWidth="1"/>
    <col min="15120" max="15120" width="8.1640625" bestFit="1" customWidth="1"/>
    <col min="15121" max="15121" width="12.1640625" bestFit="1" customWidth="1"/>
    <col min="15122" max="15122" width="7.33203125" bestFit="1" customWidth="1"/>
    <col min="15123" max="15158" width="12" bestFit="1" customWidth="1"/>
    <col min="15364" max="15364" width="36" customWidth="1"/>
    <col min="15365" max="15365" width="27.33203125" customWidth="1"/>
    <col min="15366" max="15366" width="30" customWidth="1"/>
    <col min="15367" max="15371" width="17" customWidth="1"/>
    <col min="15373" max="15373" width="23" customWidth="1"/>
    <col min="15374" max="15374" width="30.1640625" customWidth="1"/>
    <col min="15375" max="15375" width="12.1640625" bestFit="1" customWidth="1"/>
    <col min="15376" max="15376" width="8.1640625" bestFit="1" customWidth="1"/>
    <col min="15377" max="15377" width="12.1640625" bestFit="1" customWidth="1"/>
    <col min="15378" max="15378" width="7.33203125" bestFit="1" customWidth="1"/>
    <col min="15379" max="15414" width="12" bestFit="1" customWidth="1"/>
    <col min="15620" max="15620" width="36" customWidth="1"/>
    <col min="15621" max="15621" width="27.33203125" customWidth="1"/>
    <col min="15622" max="15622" width="30" customWidth="1"/>
    <col min="15623" max="15627" width="17" customWidth="1"/>
    <col min="15629" max="15629" width="23" customWidth="1"/>
    <col min="15630" max="15630" width="30.1640625" customWidth="1"/>
    <col min="15631" max="15631" width="12.1640625" bestFit="1" customWidth="1"/>
    <col min="15632" max="15632" width="8.1640625" bestFit="1" customWidth="1"/>
    <col min="15633" max="15633" width="12.1640625" bestFit="1" customWidth="1"/>
    <col min="15634" max="15634" width="7.33203125" bestFit="1" customWidth="1"/>
    <col min="15635" max="15670" width="12" bestFit="1" customWidth="1"/>
    <col min="15876" max="15876" width="36" customWidth="1"/>
    <col min="15877" max="15877" width="27.33203125" customWidth="1"/>
    <col min="15878" max="15878" width="30" customWidth="1"/>
    <col min="15879" max="15883" width="17" customWidth="1"/>
    <col min="15885" max="15885" width="23" customWidth="1"/>
    <col min="15886" max="15886" width="30.1640625" customWidth="1"/>
    <col min="15887" max="15887" width="12.1640625" bestFit="1" customWidth="1"/>
    <col min="15888" max="15888" width="8.1640625" bestFit="1" customWidth="1"/>
    <col min="15889" max="15889" width="12.1640625" bestFit="1" customWidth="1"/>
    <col min="15890" max="15890" width="7.33203125" bestFit="1" customWidth="1"/>
    <col min="15891" max="15926" width="12" bestFit="1" customWidth="1"/>
    <col min="16132" max="16132" width="36" customWidth="1"/>
    <col min="16133" max="16133" width="27.33203125" customWidth="1"/>
    <col min="16134" max="16134" width="30" customWidth="1"/>
    <col min="16135" max="16139" width="17" customWidth="1"/>
    <col min="16141" max="16141" width="23" customWidth="1"/>
    <col min="16142" max="16142" width="30.1640625" customWidth="1"/>
    <col min="16143" max="16143" width="12.1640625" bestFit="1" customWidth="1"/>
    <col min="16144" max="16144" width="8.1640625" bestFit="1" customWidth="1"/>
    <col min="16145" max="16145" width="12.1640625" bestFit="1" customWidth="1"/>
    <col min="16146" max="16146" width="7.33203125" bestFit="1" customWidth="1"/>
    <col min="16147" max="16182" width="12" bestFit="1" customWidth="1"/>
  </cols>
  <sheetData>
    <row r="1" spans="1:1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s="3" t="s">
        <v>15</v>
      </c>
      <c r="R1" t="s">
        <v>16</v>
      </c>
      <c r="S1" t="s">
        <v>17</v>
      </c>
    </row>
    <row r="2" spans="1:19" x14ac:dyDescent="0.2">
      <c r="B2" t="s">
        <v>18</v>
      </c>
      <c r="C2" t="s">
        <v>19</v>
      </c>
      <c r="D2" t="s">
        <v>20</v>
      </c>
      <c r="E2" s="4" t="s">
        <v>21</v>
      </c>
      <c r="F2" t="s">
        <v>22</v>
      </c>
      <c r="G2">
        <v>31.681438420965801</v>
      </c>
      <c r="H2">
        <v>34.554694789741902</v>
      </c>
      <c r="I2">
        <f t="shared" ref="I2:I65" si="0">YEAR(K2)</f>
        <v>2008</v>
      </c>
      <c r="J2">
        <f t="shared" ref="J2:J65" si="1">WEEKNUM(K2)</f>
        <v>29</v>
      </c>
      <c r="K2" s="2">
        <v>39645</v>
      </c>
      <c r="L2" s="2" t="s">
        <v>23</v>
      </c>
      <c r="M2" t="s">
        <v>24</v>
      </c>
      <c r="N2" t="s">
        <v>25</v>
      </c>
      <c r="P2">
        <v>1</v>
      </c>
      <c r="R2">
        <f>COUNTIFS($J$2:$J$997,J2,$I$2:$I$997,I2)</f>
        <v>1</v>
      </c>
      <c r="S2">
        <f>COUNTIFS($J$2:$J$997,J2,$I$2:$I$997,I2,$E$2:$E$997,E2)</f>
        <v>1</v>
      </c>
    </row>
    <row r="3" spans="1:19" x14ac:dyDescent="0.2">
      <c r="B3" t="s">
        <v>26</v>
      </c>
      <c r="C3" t="s">
        <v>27</v>
      </c>
      <c r="D3" t="s">
        <v>28</v>
      </c>
      <c r="E3" s="4" t="s">
        <v>29</v>
      </c>
      <c r="F3" t="s">
        <v>30</v>
      </c>
      <c r="G3">
        <v>32.8371203553017</v>
      </c>
      <c r="H3">
        <v>34.9792189455856</v>
      </c>
      <c r="I3">
        <f t="shared" si="0"/>
        <v>2009</v>
      </c>
      <c r="J3">
        <f t="shared" si="1"/>
        <v>13</v>
      </c>
      <c r="K3" s="2">
        <v>39895</v>
      </c>
      <c r="L3" s="2" t="s">
        <v>23</v>
      </c>
      <c r="M3" t="s">
        <v>31</v>
      </c>
      <c r="N3" t="s">
        <v>32</v>
      </c>
      <c r="P3">
        <v>1</v>
      </c>
      <c r="R3">
        <f t="shared" ref="R3:R66" si="2">COUNTIFS($J$2:$J$997,J3,$I$2:$I$997,I3)</f>
        <v>1</v>
      </c>
      <c r="S3">
        <f t="shared" ref="S3:S66" si="3">COUNTIFS($J$2:$J$997,J3,$I$2:$I$997,I3,$E$2:$E$997,E3)</f>
        <v>1</v>
      </c>
    </row>
    <row r="4" spans="1:19" x14ac:dyDescent="0.2">
      <c r="A4" t="s">
        <v>33</v>
      </c>
      <c r="B4" t="s">
        <v>34</v>
      </c>
      <c r="C4" t="s">
        <v>35</v>
      </c>
      <c r="D4" t="s">
        <v>36</v>
      </c>
      <c r="I4">
        <f t="shared" si="0"/>
        <v>2009</v>
      </c>
      <c r="J4">
        <f t="shared" si="1"/>
        <v>24</v>
      </c>
      <c r="K4" s="2">
        <v>39973</v>
      </c>
      <c r="L4" s="2" t="s">
        <v>23</v>
      </c>
      <c r="M4" t="s">
        <v>37</v>
      </c>
      <c r="N4" t="s">
        <v>38</v>
      </c>
      <c r="P4">
        <v>1</v>
      </c>
      <c r="R4">
        <f t="shared" si="2"/>
        <v>1</v>
      </c>
      <c r="S4">
        <f t="shared" si="3"/>
        <v>0</v>
      </c>
    </row>
    <row r="5" spans="1:19" x14ac:dyDescent="0.2">
      <c r="A5">
        <v>425</v>
      </c>
      <c r="B5" t="s">
        <v>39</v>
      </c>
      <c r="C5" t="s">
        <v>40</v>
      </c>
      <c r="D5" t="s">
        <v>41</v>
      </c>
      <c r="E5" s="4" t="s">
        <v>21</v>
      </c>
      <c r="F5" t="s">
        <v>22</v>
      </c>
      <c r="G5">
        <v>31.681438420965801</v>
      </c>
      <c r="H5">
        <v>34.554694789741902</v>
      </c>
      <c r="I5">
        <f t="shared" si="0"/>
        <v>2010</v>
      </c>
      <c r="J5">
        <f t="shared" si="1"/>
        <v>26</v>
      </c>
      <c r="K5" s="2">
        <v>40352</v>
      </c>
      <c r="L5" s="2" t="s">
        <v>23</v>
      </c>
      <c r="M5" t="s">
        <v>42</v>
      </c>
      <c r="N5" t="s">
        <v>43</v>
      </c>
      <c r="P5">
        <v>1</v>
      </c>
      <c r="R5">
        <f t="shared" si="2"/>
        <v>5</v>
      </c>
      <c r="S5">
        <f t="shared" si="3"/>
        <v>1</v>
      </c>
    </row>
    <row r="6" spans="1:19" x14ac:dyDescent="0.2">
      <c r="B6" t="s">
        <v>44</v>
      </c>
      <c r="C6" t="s">
        <v>45</v>
      </c>
      <c r="D6" t="s">
        <v>46</v>
      </c>
      <c r="E6" s="5" t="s">
        <v>47</v>
      </c>
      <c r="F6" t="s">
        <v>48</v>
      </c>
      <c r="G6">
        <v>32.305869740247999</v>
      </c>
      <c r="H6">
        <v>34.842875660039503</v>
      </c>
      <c r="I6">
        <f t="shared" si="0"/>
        <v>2010</v>
      </c>
      <c r="J6">
        <f t="shared" si="1"/>
        <v>26</v>
      </c>
      <c r="K6" s="2">
        <v>40352</v>
      </c>
      <c r="L6" s="2" t="s">
        <v>23</v>
      </c>
      <c r="M6" s="6" t="s">
        <v>49</v>
      </c>
      <c r="N6" t="s">
        <v>50</v>
      </c>
      <c r="P6">
        <v>1</v>
      </c>
      <c r="R6">
        <f t="shared" si="2"/>
        <v>5</v>
      </c>
      <c r="S6">
        <f t="shared" si="3"/>
        <v>1</v>
      </c>
    </row>
    <row r="7" spans="1:19" x14ac:dyDescent="0.2">
      <c r="A7"/>
      <c r="B7" t="s">
        <v>51</v>
      </c>
      <c r="C7" t="s">
        <v>52</v>
      </c>
      <c r="D7" t="s">
        <v>53</v>
      </c>
      <c r="I7">
        <f t="shared" si="0"/>
        <v>2010</v>
      </c>
      <c r="J7">
        <f t="shared" si="1"/>
        <v>26</v>
      </c>
      <c r="K7" s="2">
        <v>40355</v>
      </c>
      <c r="L7" s="2" t="s">
        <v>23</v>
      </c>
      <c r="M7" t="s">
        <v>54</v>
      </c>
      <c r="N7" t="s">
        <v>55</v>
      </c>
      <c r="P7">
        <v>1</v>
      </c>
      <c r="R7">
        <f t="shared" si="2"/>
        <v>5</v>
      </c>
      <c r="S7">
        <f t="shared" si="3"/>
        <v>0</v>
      </c>
    </row>
    <row r="8" spans="1:19" x14ac:dyDescent="0.2">
      <c r="A8"/>
      <c r="B8" s="7" t="s">
        <v>56</v>
      </c>
      <c r="C8" s="7" t="s">
        <v>52</v>
      </c>
      <c r="D8" s="7" t="s">
        <v>57</v>
      </c>
      <c r="E8" s="7"/>
      <c r="F8" s="7"/>
      <c r="I8">
        <f t="shared" si="0"/>
        <v>2010</v>
      </c>
      <c r="J8">
        <f t="shared" si="1"/>
        <v>26</v>
      </c>
      <c r="K8" s="8">
        <v>40355</v>
      </c>
      <c r="L8" s="2" t="s">
        <v>23</v>
      </c>
      <c r="M8" s="7" t="s">
        <v>58</v>
      </c>
      <c r="N8" s="7" t="s">
        <v>55</v>
      </c>
      <c r="P8">
        <v>1</v>
      </c>
      <c r="R8">
        <f t="shared" si="2"/>
        <v>5</v>
      </c>
      <c r="S8">
        <f t="shared" si="3"/>
        <v>0</v>
      </c>
    </row>
    <row r="9" spans="1:19" x14ac:dyDescent="0.2">
      <c r="A9" s="9"/>
      <c r="B9" s="9"/>
      <c r="C9" s="9" t="s">
        <v>59</v>
      </c>
      <c r="D9" s="10" t="s">
        <v>60</v>
      </c>
      <c r="E9" s="10"/>
      <c r="F9" s="9"/>
      <c r="G9" s="9"/>
      <c r="H9" s="9"/>
      <c r="I9">
        <f t="shared" si="0"/>
        <v>2010</v>
      </c>
      <c r="J9">
        <f t="shared" si="1"/>
        <v>26</v>
      </c>
      <c r="K9" s="11">
        <v>40355</v>
      </c>
      <c r="L9" s="2" t="s">
        <v>23</v>
      </c>
      <c r="M9" s="9"/>
      <c r="N9" s="9"/>
      <c r="P9">
        <v>1</v>
      </c>
      <c r="R9">
        <f t="shared" si="2"/>
        <v>5</v>
      </c>
      <c r="S9">
        <f t="shared" si="3"/>
        <v>0</v>
      </c>
    </row>
    <row r="10" spans="1:19" x14ac:dyDescent="0.2">
      <c r="B10" t="s">
        <v>61</v>
      </c>
      <c r="C10" t="s">
        <v>62</v>
      </c>
      <c r="D10" t="s">
        <v>63</v>
      </c>
      <c r="E10" s="4" t="s">
        <v>21</v>
      </c>
      <c r="F10" t="s">
        <v>64</v>
      </c>
      <c r="G10">
        <v>31.8169667122236</v>
      </c>
      <c r="H10">
        <v>34.639611775767101</v>
      </c>
      <c r="I10">
        <f t="shared" si="0"/>
        <v>2010</v>
      </c>
      <c r="J10">
        <f t="shared" si="1"/>
        <v>28</v>
      </c>
      <c r="K10" s="2">
        <v>40364</v>
      </c>
      <c r="L10" s="2" t="s">
        <v>23</v>
      </c>
      <c r="M10" t="s">
        <v>65</v>
      </c>
      <c r="N10" t="s">
        <v>66</v>
      </c>
      <c r="P10">
        <v>1</v>
      </c>
      <c r="R10">
        <f t="shared" si="2"/>
        <v>2</v>
      </c>
      <c r="S10">
        <f t="shared" si="3"/>
        <v>2</v>
      </c>
    </row>
    <row r="11" spans="1:19" x14ac:dyDescent="0.2">
      <c r="A11">
        <v>309</v>
      </c>
      <c r="B11" t="s">
        <v>61</v>
      </c>
      <c r="C11" t="s">
        <v>62</v>
      </c>
      <c r="D11" t="s">
        <v>63</v>
      </c>
      <c r="E11" s="4" t="s">
        <v>21</v>
      </c>
      <c r="F11" t="s">
        <v>22</v>
      </c>
      <c r="G11">
        <v>31.681438420965801</v>
      </c>
      <c r="H11">
        <v>34.554694789741902</v>
      </c>
      <c r="I11">
        <f t="shared" si="0"/>
        <v>2010</v>
      </c>
      <c r="J11">
        <f t="shared" si="1"/>
        <v>28</v>
      </c>
      <c r="K11" s="2">
        <v>40364</v>
      </c>
      <c r="L11" s="2" t="s">
        <v>23</v>
      </c>
      <c r="M11" t="s">
        <v>65</v>
      </c>
      <c r="N11" t="s">
        <v>66</v>
      </c>
      <c r="P11">
        <v>1</v>
      </c>
      <c r="R11">
        <f t="shared" si="2"/>
        <v>2</v>
      </c>
      <c r="S11">
        <f t="shared" si="3"/>
        <v>2</v>
      </c>
    </row>
    <row r="12" spans="1:19" x14ac:dyDescent="0.2">
      <c r="A12" s="1">
        <v>85</v>
      </c>
      <c r="B12" t="s">
        <v>67</v>
      </c>
      <c r="C12" t="s">
        <v>68</v>
      </c>
      <c r="D12" t="s">
        <v>69</v>
      </c>
      <c r="E12" s="4" t="s">
        <v>21</v>
      </c>
      <c r="F12" t="s">
        <v>70</v>
      </c>
      <c r="G12">
        <v>32.002493003827801</v>
      </c>
      <c r="H12">
        <v>34.731694234364099</v>
      </c>
      <c r="I12">
        <f t="shared" si="0"/>
        <v>2010</v>
      </c>
      <c r="J12">
        <f t="shared" si="1"/>
        <v>29</v>
      </c>
      <c r="K12" s="2">
        <v>40370</v>
      </c>
      <c r="L12" s="2" t="s">
        <v>23</v>
      </c>
      <c r="M12" t="s">
        <v>71</v>
      </c>
      <c r="N12" t="s">
        <v>72</v>
      </c>
      <c r="P12">
        <v>1</v>
      </c>
      <c r="R12">
        <f t="shared" si="2"/>
        <v>7</v>
      </c>
      <c r="S12">
        <f t="shared" si="3"/>
        <v>3</v>
      </c>
    </row>
    <row r="13" spans="1:19" x14ac:dyDescent="0.2">
      <c r="A13" s="1">
        <v>85</v>
      </c>
      <c r="B13" t="s">
        <v>67</v>
      </c>
      <c r="C13" t="s">
        <v>68</v>
      </c>
      <c r="D13" t="s">
        <v>69</v>
      </c>
      <c r="E13" s="5" t="s">
        <v>73</v>
      </c>
      <c r="F13" t="s">
        <v>74</v>
      </c>
      <c r="G13">
        <v>32.093438590230903</v>
      </c>
      <c r="H13">
        <v>34.767717357132298</v>
      </c>
      <c r="I13">
        <f t="shared" si="0"/>
        <v>2010</v>
      </c>
      <c r="J13">
        <f t="shared" si="1"/>
        <v>29</v>
      </c>
      <c r="K13" s="2">
        <v>40370</v>
      </c>
      <c r="L13" s="2" t="s">
        <v>23</v>
      </c>
      <c r="M13" t="s">
        <v>71</v>
      </c>
      <c r="N13" t="s">
        <v>72</v>
      </c>
      <c r="P13">
        <v>1</v>
      </c>
      <c r="R13">
        <f t="shared" si="2"/>
        <v>7</v>
      </c>
      <c r="S13">
        <f t="shared" si="3"/>
        <v>1</v>
      </c>
    </row>
    <row r="14" spans="1:19" x14ac:dyDescent="0.2">
      <c r="A14" s="1">
        <v>85</v>
      </c>
      <c r="B14" t="s">
        <v>67</v>
      </c>
      <c r="C14" t="s">
        <v>68</v>
      </c>
      <c r="D14" t="s">
        <v>69</v>
      </c>
      <c r="E14" s="4" t="s">
        <v>21</v>
      </c>
      <c r="F14" t="s">
        <v>64</v>
      </c>
      <c r="G14">
        <v>31.8169667122236</v>
      </c>
      <c r="H14">
        <v>34.639611775767101</v>
      </c>
      <c r="I14">
        <f t="shared" si="0"/>
        <v>2010</v>
      </c>
      <c r="J14">
        <f t="shared" si="1"/>
        <v>29</v>
      </c>
      <c r="K14" s="2">
        <v>40370</v>
      </c>
      <c r="L14" s="2" t="s">
        <v>23</v>
      </c>
      <c r="M14" t="s">
        <v>71</v>
      </c>
      <c r="N14" t="s">
        <v>72</v>
      </c>
      <c r="P14">
        <v>1</v>
      </c>
      <c r="R14">
        <f t="shared" si="2"/>
        <v>7</v>
      </c>
      <c r="S14">
        <f t="shared" si="3"/>
        <v>3</v>
      </c>
    </row>
    <row r="15" spans="1:19" x14ac:dyDescent="0.2">
      <c r="A15" s="1">
        <v>85</v>
      </c>
      <c r="B15" t="s">
        <v>67</v>
      </c>
      <c r="C15" t="s">
        <v>68</v>
      </c>
      <c r="D15" t="s">
        <v>69</v>
      </c>
      <c r="E15" s="4" t="s">
        <v>21</v>
      </c>
      <c r="F15" t="s">
        <v>22</v>
      </c>
      <c r="G15">
        <v>31.681438420965801</v>
      </c>
      <c r="H15">
        <v>34.554694789741902</v>
      </c>
      <c r="I15">
        <f t="shared" si="0"/>
        <v>2010</v>
      </c>
      <c r="J15">
        <f t="shared" si="1"/>
        <v>29</v>
      </c>
      <c r="K15" s="2">
        <v>40370</v>
      </c>
      <c r="L15" s="2" t="s">
        <v>23</v>
      </c>
      <c r="M15" t="s">
        <v>71</v>
      </c>
      <c r="N15" t="s">
        <v>72</v>
      </c>
      <c r="P15">
        <v>1</v>
      </c>
      <c r="R15">
        <f t="shared" si="2"/>
        <v>7</v>
      </c>
      <c r="S15">
        <f t="shared" si="3"/>
        <v>3</v>
      </c>
    </row>
    <row r="16" spans="1:19" x14ac:dyDescent="0.2">
      <c r="A16" s="1">
        <v>85</v>
      </c>
      <c r="B16" t="s">
        <v>67</v>
      </c>
      <c r="C16" t="s">
        <v>68</v>
      </c>
      <c r="D16" t="s">
        <v>69</v>
      </c>
      <c r="E16" s="5" t="s">
        <v>47</v>
      </c>
      <c r="F16" t="s">
        <v>75</v>
      </c>
      <c r="G16">
        <v>32.439273327223297</v>
      </c>
      <c r="H16">
        <v>34.878068554773698</v>
      </c>
      <c r="I16">
        <f t="shared" si="0"/>
        <v>2010</v>
      </c>
      <c r="J16">
        <f t="shared" si="1"/>
        <v>29</v>
      </c>
      <c r="K16" s="2">
        <v>40370</v>
      </c>
      <c r="L16" s="2" t="s">
        <v>23</v>
      </c>
      <c r="M16" t="s">
        <v>71</v>
      </c>
      <c r="N16" t="s">
        <v>72</v>
      </c>
      <c r="P16">
        <v>1</v>
      </c>
      <c r="R16">
        <f t="shared" si="2"/>
        <v>7</v>
      </c>
      <c r="S16">
        <f t="shared" si="3"/>
        <v>1</v>
      </c>
    </row>
    <row r="17" spans="1:19" x14ac:dyDescent="0.2">
      <c r="A17">
        <v>305</v>
      </c>
      <c r="B17" t="s">
        <v>76</v>
      </c>
      <c r="C17" t="s">
        <v>40</v>
      </c>
      <c r="D17" t="s">
        <v>77</v>
      </c>
      <c r="E17" s="4" t="s">
        <v>29</v>
      </c>
      <c r="F17" t="s">
        <v>78</v>
      </c>
      <c r="G17">
        <v>32.849166010823502</v>
      </c>
      <c r="H17">
        <v>35.061617587657501</v>
      </c>
      <c r="I17">
        <f t="shared" si="0"/>
        <v>2010</v>
      </c>
      <c r="J17">
        <f t="shared" si="1"/>
        <v>29</v>
      </c>
      <c r="K17" s="2">
        <v>40370</v>
      </c>
      <c r="L17" s="2" t="s">
        <v>23</v>
      </c>
      <c r="M17" t="s">
        <v>79</v>
      </c>
      <c r="N17" t="s">
        <v>80</v>
      </c>
      <c r="P17">
        <v>1</v>
      </c>
      <c r="R17">
        <f t="shared" si="2"/>
        <v>7</v>
      </c>
      <c r="S17">
        <f t="shared" si="3"/>
        <v>2</v>
      </c>
    </row>
    <row r="18" spans="1:19" x14ac:dyDescent="0.2">
      <c r="A18" s="9">
        <v>324</v>
      </c>
      <c r="B18" s="9" t="s">
        <v>76</v>
      </c>
      <c r="C18" s="9" t="s">
        <v>40</v>
      </c>
      <c r="D18" s="10" t="s">
        <v>77</v>
      </c>
      <c r="E18" s="4" t="s">
        <v>29</v>
      </c>
      <c r="F18" s="9" t="s">
        <v>81</v>
      </c>
      <c r="G18" s="9"/>
      <c r="H18" s="9"/>
      <c r="I18">
        <f t="shared" si="0"/>
        <v>2010</v>
      </c>
      <c r="J18">
        <f t="shared" si="1"/>
        <v>29</v>
      </c>
      <c r="K18" s="11">
        <v>40370</v>
      </c>
      <c r="L18" s="2" t="s">
        <v>23</v>
      </c>
      <c r="M18" s="9" t="s">
        <v>79</v>
      </c>
      <c r="N18" s="9" t="s">
        <v>80</v>
      </c>
      <c r="P18">
        <v>1</v>
      </c>
      <c r="R18">
        <f t="shared" si="2"/>
        <v>7</v>
      </c>
      <c r="S18">
        <f t="shared" si="3"/>
        <v>2</v>
      </c>
    </row>
    <row r="19" spans="1:19" x14ac:dyDescent="0.2">
      <c r="A19" s="1">
        <v>205</v>
      </c>
      <c r="B19" t="s">
        <v>82</v>
      </c>
      <c r="C19" t="s">
        <v>40</v>
      </c>
      <c r="D19" t="s">
        <v>83</v>
      </c>
      <c r="E19" s="4" t="s">
        <v>29</v>
      </c>
      <c r="F19" t="s">
        <v>78</v>
      </c>
      <c r="G19">
        <v>32.849166010823502</v>
      </c>
      <c r="H19">
        <v>35.061617587657501</v>
      </c>
      <c r="I19">
        <f t="shared" si="0"/>
        <v>2010</v>
      </c>
      <c r="J19">
        <f t="shared" si="1"/>
        <v>30</v>
      </c>
      <c r="K19" s="2">
        <v>40378</v>
      </c>
      <c r="L19" s="2" t="s">
        <v>23</v>
      </c>
      <c r="M19" t="s">
        <v>84</v>
      </c>
      <c r="N19" t="s">
        <v>85</v>
      </c>
      <c r="P19">
        <v>1</v>
      </c>
      <c r="R19">
        <f t="shared" si="2"/>
        <v>1</v>
      </c>
      <c r="S19">
        <f t="shared" si="3"/>
        <v>1</v>
      </c>
    </row>
    <row r="20" spans="1:19" x14ac:dyDescent="0.2">
      <c r="A20" s="12">
        <v>248</v>
      </c>
      <c r="B20" s="12" t="s">
        <v>86</v>
      </c>
      <c r="C20" s="12" t="s">
        <v>87</v>
      </c>
      <c r="D20" s="13" t="s">
        <v>88</v>
      </c>
      <c r="E20" s="4" t="s">
        <v>21</v>
      </c>
      <c r="F20" s="12" t="s">
        <v>89</v>
      </c>
      <c r="G20" s="12"/>
      <c r="H20" s="12"/>
      <c r="I20">
        <f t="shared" si="0"/>
        <v>2011</v>
      </c>
      <c r="J20">
        <f t="shared" si="1"/>
        <v>1</v>
      </c>
      <c r="K20" s="14">
        <v>40544</v>
      </c>
      <c r="L20" s="2" t="s">
        <v>23</v>
      </c>
      <c r="M20" s="12" t="s">
        <v>90</v>
      </c>
      <c r="N20" s="12" t="s">
        <v>91</v>
      </c>
      <c r="P20">
        <v>1</v>
      </c>
      <c r="R20">
        <f t="shared" si="2"/>
        <v>1</v>
      </c>
      <c r="S20">
        <f t="shared" si="3"/>
        <v>1</v>
      </c>
    </row>
    <row r="21" spans="1:19" x14ac:dyDescent="0.2">
      <c r="A21" s="12">
        <v>308</v>
      </c>
      <c r="B21" s="12" t="s">
        <v>92</v>
      </c>
      <c r="C21" s="12" t="s">
        <v>93</v>
      </c>
      <c r="D21" s="13" t="s">
        <v>94</v>
      </c>
      <c r="E21" s="13"/>
      <c r="F21" s="12" t="s">
        <v>75</v>
      </c>
      <c r="H21" s="12"/>
      <c r="I21">
        <f t="shared" si="0"/>
        <v>2011</v>
      </c>
      <c r="J21">
        <f t="shared" si="1"/>
        <v>24</v>
      </c>
      <c r="K21" s="14">
        <v>40701</v>
      </c>
      <c r="L21" s="2" t="s">
        <v>23</v>
      </c>
      <c r="M21" s="12" t="s">
        <v>95</v>
      </c>
      <c r="N21" s="12" t="s">
        <v>96</v>
      </c>
      <c r="P21">
        <v>1</v>
      </c>
      <c r="R21">
        <f t="shared" si="2"/>
        <v>1</v>
      </c>
      <c r="S21">
        <f t="shared" si="3"/>
        <v>0</v>
      </c>
    </row>
    <row r="22" spans="1:19" x14ac:dyDescent="0.2">
      <c r="A22" s="12">
        <v>144</v>
      </c>
      <c r="B22" s="12" t="s">
        <v>97</v>
      </c>
      <c r="C22" s="12" t="s">
        <v>98</v>
      </c>
      <c r="D22" s="13" t="s">
        <v>99</v>
      </c>
      <c r="E22" s="5" t="s">
        <v>100</v>
      </c>
      <c r="F22" s="12" t="s">
        <v>101</v>
      </c>
      <c r="G22" s="12"/>
      <c r="H22" s="12"/>
      <c r="I22">
        <f t="shared" si="0"/>
        <v>2011</v>
      </c>
      <c r="J22">
        <f t="shared" si="1"/>
        <v>25</v>
      </c>
      <c r="K22" s="14">
        <v>40711</v>
      </c>
      <c r="L22" s="2" t="s">
        <v>23</v>
      </c>
      <c r="M22" s="12" t="s">
        <v>102</v>
      </c>
      <c r="N22" s="12" t="s">
        <v>103</v>
      </c>
      <c r="P22">
        <v>1</v>
      </c>
      <c r="R22">
        <f t="shared" si="2"/>
        <v>35</v>
      </c>
      <c r="S22">
        <f t="shared" si="3"/>
        <v>7</v>
      </c>
    </row>
    <row r="23" spans="1:19" x14ac:dyDescent="0.2">
      <c r="A23" s="12">
        <v>144</v>
      </c>
      <c r="B23" s="12" t="s">
        <v>97</v>
      </c>
      <c r="C23" s="12" t="s">
        <v>98</v>
      </c>
      <c r="D23" s="13" t="s">
        <v>99</v>
      </c>
      <c r="E23" s="4" t="s">
        <v>21</v>
      </c>
      <c r="F23" s="12" t="s">
        <v>101</v>
      </c>
      <c r="G23" s="12"/>
      <c r="H23" s="12"/>
      <c r="I23">
        <f t="shared" si="0"/>
        <v>2011</v>
      </c>
      <c r="J23">
        <f t="shared" si="1"/>
        <v>25</v>
      </c>
      <c r="K23" s="14">
        <v>40711</v>
      </c>
      <c r="L23" s="2" t="s">
        <v>23</v>
      </c>
      <c r="M23" s="12" t="s">
        <v>102</v>
      </c>
      <c r="N23" s="12" t="s">
        <v>103</v>
      </c>
      <c r="P23">
        <v>1</v>
      </c>
      <c r="R23">
        <f t="shared" si="2"/>
        <v>35</v>
      </c>
      <c r="S23">
        <f t="shared" si="3"/>
        <v>7</v>
      </c>
    </row>
    <row r="24" spans="1:19" x14ac:dyDescent="0.2">
      <c r="A24" s="12">
        <v>144</v>
      </c>
      <c r="B24" s="12" t="s">
        <v>97</v>
      </c>
      <c r="C24" s="12" t="s">
        <v>98</v>
      </c>
      <c r="D24" s="13" t="s">
        <v>99</v>
      </c>
      <c r="E24" s="5" t="s">
        <v>47</v>
      </c>
      <c r="F24" s="12" t="s">
        <v>101</v>
      </c>
      <c r="G24" s="12"/>
      <c r="H24" s="12"/>
      <c r="I24">
        <f t="shared" si="0"/>
        <v>2011</v>
      </c>
      <c r="J24">
        <f t="shared" si="1"/>
        <v>25</v>
      </c>
      <c r="K24" s="14">
        <v>40711</v>
      </c>
      <c r="L24" s="2" t="s">
        <v>23</v>
      </c>
      <c r="M24" s="12" t="s">
        <v>102</v>
      </c>
      <c r="N24" s="12" t="s">
        <v>103</v>
      </c>
      <c r="P24">
        <v>1</v>
      </c>
      <c r="R24">
        <f t="shared" si="2"/>
        <v>35</v>
      </c>
      <c r="S24">
        <f t="shared" si="3"/>
        <v>7</v>
      </c>
    </row>
    <row r="25" spans="1:19" x14ac:dyDescent="0.2">
      <c r="A25" s="12">
        <v>144</v>
      </c>
      <c r="B25" s="12" t="s">
        <v>97</v>
      </c>
      <c r="C25" s="12" t="s">
        <v>98</v>
      </c>
      <c r="D25" s="13" t="s">
        <v>99</v>
      </c>
      <c r="E25" s="5" t="s">
        <v>73</v>
      </c>
      <c r="F25" s="12" t="s">
        <v>101</v>
      </c>
      <c r="G25" s="12"/>
      <c r="H25" s="12"/>
      <c r="I25">
        <f t="shared" si="0"/>
        <v>2011</v>
      </c>
      <c r="J25">
        <f t="shared" si="1"/>
        <v>25</v>
      </c>
      <c r="K25" s="14">
        <v>40711</v>
      </c>
      <c r="L25" s="2" t="s">
        <v>23</v>
      </c>
      <c r="M25" s="12" t="s">
        <v>102</v>
      </c>
      <c r="N25" s="12" t="s">
        <v>103</v>
      </c>
      <c r="P25">
        <v>1</v>
      </c>
      <c r="R25">
        <f t="shared" si="2"/>
        <v>35</v>
      </c>
      <c r="S25">
        <f t="shared" si="3"/>
        <v>7</v>
      </c>
    </row>
    <row r="26" spans="1:19" x14ac:dyDescent="0.2">
      <c r="A26" s="12">
        <v>105</v>
      </c>
      <c r="B26" s="12" t="s">
        <v>104</v>
      </c>
      <c r="C26" s="12" t="s">
        <v>105</v>
      </c>
      <c r="D26" s="13" t="s">
        <v>106</v>
      </c>
      <c r="E26" s="13"/>
      <c r="F26" s="12"/>
      <c r="G26" s="12"/>
      <c r="H26" s="12"/>
      <c r="I26">
        <f t="shared" si="0"/>
        <v>2011</v>
      </c>
      <c r="J26">
        <f t="shared" si="1"/>
        <v>25</v>
      </c>
      <c r="K26" s="14">
        <v>40711</v>
      </c>
      <c r="L26" s="2" t="s">
        <v>23</v>
      </c>
      <c r="M26" s="12" t="s">
        <v>107</v>
      </c>
      <c r="N26" s="12" t="s">
        <v>108</v>
      </c>
      <c r="P26">
        <v>1</v>
      </c>
      <c r="R26">
        <f t="shared" si="2"/>
        <v>35</v>
      </c>
      <c r="S26">
        <f t="shared" si="3"/>
        <v>0</v>
      </c>
    </row>
    <row r="27" spans="1:19" x14ac:dyDescent="0.2">
      <c r="A27" s="12">
        <v>159</v>
      </c>
      <c r="B27" s="12" t="s">
        <v>109</v>
      </c>
      <c r="C27" s="12" t="s">
        <v>110</v>
      </c>
      <c r="D27" s="13" t="s">
        <v>111</v>
      </c>
      <c r="E27" s="4" t="s">
        <v>29</v>
      </c>
      <c r="F27" s="12" t="s">
        <v>112</v>
      </c>
      <c r="G27" s="12"/>
      <c r="H27" s="12"/>
      <c r="I27">
        <f t="shared" si="0"/>
        <v>2011</v>
      </c>
      <c r="J27">
        <f t="shared" si="1"/>
        <v>25</v>
      </c>
      <c r="K27" s="14">
        <v>40711</v>
      </c>
      <c r="L27" s="2" t="s">
        <v>23</v>
      </c>
      <c r="M27" s="12" t="s">
        <v>113</v>
      </c>
      <c r="N27" s="12" t="s">
        <v>114</v>
      </c>
      <c r="P27">
        <v>1</v>
      </c>
      <c r="R27">
        <f t="shared" si="2"/>
        <v>35</v>
      </c>
      <c r="S27">
        <f t="shared" si="3"/>
        <v>5</v>
      </c>
    </row>
    <row r="28" spans="1:19" x14ac:dyDescent="0.2">
      <c r="A28" s="12">
        <v>159</v>
      </c>
      <c r="B28" s="12" t="s">
        <v>109</v>
      </c>
      <c r="C28" s="12" t="s">
        <v>110</v>
      </c>
      <c r="D28" s="13" t="s">
        <v>111</v>
      </c>
      <c r="E28" s="4" t="s">
        <v>115</v>
      </c>
      <c r="F28" s="12" t="s">
        <v>112</v>
      </c>
      <c r="G28" s="12"/>
      <c r="H28" s="12"/>
      <c r="I28">
        <f t="shared" si="0"/>
        <v>2011</v>
      </c>
      <c r="J28">
        <f t="shared" si="1"/>
        <v>25</v>
      </c>
      <c r="K28" s="14">
        <v>40711</v>
      </c>
      <c r="L28" s="2" t="s">
        <v>23</v>
      </c>
      <c r="M28" s="12" t="s">
        <v>113</v>
      </c>
      <c r="N28" s="12" t="s">
        <v>114</v>
      </c>
      <c r="P28">
        <v>1</v>
      </c>
      <c r="R28">
        <f t="shared" si="2"/>
        <v>35</v>
      </c>
      <c r="S28">
        <f t="shared" si="3"/>
        <v>1</v>
      </c>
    </row>
    <row r="29" spans="1:19" x14ac:dyDescent="0.2">
      <c r="A29" s="12"/>
      <c r="B29" s="12"/>
      <c r="C29" s="12" t="s">
        <v>116</v>
      </c>
      <c r="D29" s="13" t="s">
        <v>117</v>
      </c>
      <c r="E29" s="5" t="s">
        <v>100</v>
      </c>
      <c r="F29" s="5" t="s">
        <v>100</v>
      </c>
      <c r="G29" s="12"/>
      <c r="H29" s="12"/>
      <c r="I29">
        <f t="shared" si="0"/>
        <v>2011</v>
      </c>
      <c r="J29">
        <f t="shared" si="1"/>
        <v>25</v>
      </c>
      <c r="K29" s="14">
        <v>40711</v>
      </c>
      <c r="L29" s="2" t="s">
        <v>23</v>
      </c>
      <c r="M29" s="12"/>
      <c r="N29" s="12"/>
      <c r="P29">
        <v>1</v>
      </c>
      <c r="R29">
        <f t="shared" si="2"/>
        <v>35</v>
      </c>
      <c r="S29">
        <f t="shared" si="3"/>
        <v>7</v>
      </c>
    </row>
    <row r="30" spans="1:19" x14ac:dyDescent="0.2">
      <c r="A30" s="12"/>
      <c r="B30" s="12"/>
      <c r="C30" s="12" t="s">
        <v>116</v>
      </c>
      <c r="D30" s="13" t="s">
        <v>117</v>
      </c>
      <c r="E30" s="4" t="s">
        <v>21</v>
      </c>
      <c r="F30" s="4" t="s">
        <v>21</v>
      </c>
      <c r="G30" s="12"/>
      <c r="H30" s="12"/>
      <c r="I30">
        <f t="shared" si="0"/>
        <v>2011</v>
      </c>
      <c r="J30">
        <f t="shared" si="1"/>
        <v>25</v>
      </c>
      <c r="K30" s="14">
        <v>40711</v>
      </c>
      <c r="L30" s="2" t="s">
        <v>23</v>
      </c>
      <c r="M30" s="12"/>
      <c r="N30" s="12"/>
      <c r="P30">
        <v>1</v>
      </c>
      <c r="R30">
        <f t="shared" si="2"/>
        <v>35</v>
      </c>
      <c r="S30">
        <f t="shared" si="3"/>
        <v>7</v>
      </c>
    </row>
    <row r="31" spans="1:19" x14ac:dyDescent="0.2">
      <c r="A31" s="12"/>
      <c r="B31" s="12"/>
      <c r="C31" s="12" t="s">
        <v>116</v>
      </c>
      <c r="D31" s="13" t="s">
        <v>117</v>
      </c>
      <c r="E31" s="5" t="s">
        <v>47</v>
      </c>
      <c r="F31" s="5" t="s">
        <v>47</v>
      </c>
      <c r="G31" s="12"/>
      <c r="H31" s="12"/>
      <c r="I31">
        <f t="shared" si="0"/>
        <v>2011</v>
      </c>
      <c r="J31">
        <f t="shared" si="1"/>
        <v>25</v>
      </c>
      <c r="K31" s="14">
        <v>40711</v>
      </c>
      <c r="L31" s="2" t="s">
        <v>23</v>
      </c>
      <c r="M31" s="12"/>
      <c r="N31" s="12"/>
      <c r="P31">
        <v>1</v>
      </c>
      <c r="R31">
        <f t="shared" si="2"/>
        <v>35</v>
      </c>
      <c r="S31">
        <f t="shared" si="3"/>
        <v>7</v>
      </c>
    </row>
    <row r="32" spans="1:19" x14ac:dyDescent="0.2">
      <c r="A32" s="12"/>
      <c r="B32" s="12"/>
      <c r="C32" s="12" t="s">
        <v>116</v>
      </c>
      <c r="D32" s="13" t="s">
        <v>117</v>
      </c>
      <c r="E32" s="5" t="s">
        <v>73</v>
      </c>
      <c r="F32" s="5" t="s">
        <v>73</v>
      </c>
      <c r="G32" s="12"/>
      <c r="H32" s="12"/>
      <c r="I32">
        <f t="shared" si="0"/>
        <v>2011</v>
      </c>
      <c r="J32">
        <f t="shared" si="1"/>
        <v>25</v>
      </c>
      <c r="K32" s="14">
        <v>40711</v>
      </c>
      <c r="L32" s="2" t="s">
        <v>23</v>
      </c>
      <c r="M32" s="12"/>
      <c r="N32" s="12"/>
      <c r="P32">
        <v>1</v>
      </c>
      <c r="R32">
        <f t="shared" si="2"/>
        <v>35</v>
      </c>
      <c r="S32">
        <f t="shared" si="3"/>
        <v>7</v>
      </c>
    </row>
    <row r="33" spans="1:19" x14ac:dyDescent="0.2">
      <c r="A33" s="9"/>
      <c r="B33" s="9"/>
      <c r="C33" s="9" t="s">
        <v>118</v>
      </c>
      <c r="D33" s="10" t="s">
        <v>119</v>
      </c>
      <c r="E33" s="5" t="s">
        <v>100</v>
      </c>
      <c r="F33" s="5" t="s">
        <v>100</v>
      </c>
      <c r="G33" s="9"/>
      <c r="H33" s="9"/>
      <c r="I33">
        <f t="shared" si="0"/>
        <v>2011</v>
      </c>
      <c r="J33">
        <f t="shared" si="1"/>
        <v>25</v>
      </c>
      <c r="K33" s="11">
        <v>40711</v>
      </c>
      <c r="L33" s="2" t="s">
        <v>23</v>
      </c>
      <c r="M33" s="9"/>
      <c r="N33" s="9"/>
      <c r="P33">
        <v>1</v>
      </c>
      <c r="R33">
        <f t="shared" si="2"/>
        <v>35</v>
      </c>
      <c r="S33">
        <f t="shared" si="3"/>
        <v>7</v>
      </c>
    </row>
    <row r="34" spans="1:19" x14ac:dyDescent="0.2">
      <c r="A34" s="9"/>
      <c r="B34" s="9"/>
      <c r="C34" s="9" t="s">
        <v>118</v>
      </c>
      <c r="D34" s="10" t="s">
        <v>119</v>
      </c>
      <c r="E34" s="4" t="s">
        <v>21</v>
      </c>
      <c r="F34" s="4" t="s">
        <v>21</v>
      </c>
      <c r="G34" s="9"/>
      <c r="H34" s="9"/>
      <c r="I34">
        <f t="shared" si="0"/>
        <v>2011</v>
      </c>
      <c r="J34">
        <f t="shared" si="1"/>
        <v>25</v>
      </c>
      <c r="K34" s="11">
        <v>40711</v>
      </c>
      <c r="L34" s="2" t="s">
        <v>23</v>
      </c>
      <c r="M34" s="9"/>
      <c r="N34" s="9"/>
      <c r="P34">
        <v>1</v>
      </c>
      <c r="R34">
        <f t="shared" si="2"/>
        <v>35</v>
      </c>
      <c r="S34">
        <f t="shared" si="3"/>
        <v>7</v>
      </c>
    </row>
    <row r="35" spans="1:19" x14ac:dyDescent="0.2">
      <c r="A35" s="9"/>
      <c r="B35" s="9"/>
      <c r="C35" s="9" t="s">
        <v>118</v>
      </c>
      <c r="D35" s="10" t="s">
        <v>119</v>
      </c>
      <c r="E35" s="5" t="s">
        <v>47</v>
      </c>
      <c r="F35" s="5" t="s">
        <v>47</v>
      </c>
      <c r="G35" s="9"/>
      <c r="H35" s="9"/>
      <c r="I35">
        <f t="shared" si="0"/>
        <v>2011</v>
      </c>
      <c r="J35">
        <f t="shared" si="1"/>
        <v>25</v>
      </c>
      <c r="K35" s="11">
        <v>40711</v>
      </c>
      <c r="L35" s="2" t="s">
        <v>23</v>
      </c>
      <c r="M35" s="9"/>
      <c r="N35" s="9"/>
      <c r="P35">
        <v>1</v>
      </c>
      <c r="R35">
        <f t="shared" si="2"/>
        <v>35</v>
      </c>
      <c r="S35">
        <f t="shared" si="3"/>
        <v>7</v>
      </c>
    </row>
    <row r="36" spans="1:19" x14ac:dyDescent="0.2">
      <c r="A36" s="9"/>
      <c r="B36" s="9"/>
      <c r="C36" s="9" t="s">
        <v>118</v>
      </c>
      <c r="D36" s="10" t="s">
        <v>119</v>
      </c>
      <c r="E36" s="5" t="s">
        <v>73</v>
      </c>
      <c r="F36" s="5" t="s">
        <v>73</v>
      </c>
      <c r="G36" s="9"/>
      <c r="H36" s="9"/>
      <c r="I36">
        <f t="shared" si="0"/>
        <v>2011</v>
      </c>
      <c r="J36">
        <f t="shared" si="1"/>
        <v>25</v>
      </c>
      <c r="K36" s="11">
        <v>40711</v>
      </c>
      <c r="L36" s="2" t="s">
        <v>23</v>
      </c>
      <c r="M36" s="9"/>
      <c r="N36" s="9"/>
      <c r="P36">
        <v>1</v>
      </c>
      <c r="R36">
        <f t="shared" si="2"/>
        <v>35</v>
      </c>
      <c r="S36">
        <f t="shared" si="3"/>
        <v>7</v>
      </c>
    </row>
    <row r="37" spans="1:19" x14ac:dyDescent="0.2">
      <c r="A37" s="9">
        <v>166</v>
      </c>
      <c r="B37" s="9" t="s">
        <v>120</v>
      </c>
      <c r="C37" s="9" t="s">
        <v>121</v>
      </c>
      <c r="D37" s="10" t="s">
        <v>122</v>
      </c>
      <c r="E37" s="5" t="s">
        <v>100</v>
      </c>
      <c r="F37" s="5" t="s">
        <v>100</v>
      </c>
      <c r="G37" s="9"/>
      <c r="H37" s="9"/>
      <c r="I37">
        <f t="shared" si="0"/>
        <v>2011</v>
      </c>
      <c r="J37">
        <f t="shared" si="1"/>
        <v>25</v>
      </c>
      <c r="K37" s="11">
        <v>40711</v>
      </c>
      <c r="L37" s="2" t="s">
        <v>23</v>
      </c>
      <c r="M37" s="9" t="s">
        <v>123</v>
      </c>
      <c r="N37" s="9" t="s">
        <v>124</v>
      </c>
      <c r="P37">
        <v>1</v>
      </c>
      <c r="R37">
        <f t="shared" si="2"/>
        <v>35</v>
      </c>
      <c r="S37">
        <f t="shared" si="3"/>
        <v>7</v>
      </c>
    </row>
    <row r="38" spans="1:19" x14ac:dyDescent="0.2">
      <c r="A38" s="9">
        <v>166</v>
      </c>
      <c r="B38" s="9" t="s">
        <v>120</v>
      </c>
      <c r="C38" s="9" t="s">
        <v>121</v>
      </c>
      <c r="D38" s="10" t="s">
        <v>122</v>
      </c>
      <c r="E38" s="4" t="s">
        <v>21</v>
      </c>
      <c r="F38" s="4" t="s">
        <v>21</v>
      </c>
      <c r="G38" s="9"/>
      <c r="H38" s="9"/>
      <c r="I38">
        <f t="shared" si="0"/>
        <v>2011</v>
      </c>
      <c r="J38">
        <f t="shared" si="1"/>
        <v>25</v>
      </c>
      <c r="K38" s="11">
        <v>40711</v>
      </c>
      <c r="L38" s="2" t="s">
        <v>23</v>
      </c>
      <c r="M38" s="9" t="s">
        <v>123</v>
      </c>
      <c r="N38" s="9" t="s">
        <v>124</v>
      </c>
      <c r="P38">
        <v>1</v>
      </c>
      <c r="R38">
        <f t="shared" si="2"/>
        <v>35</v>
      </c>
      <c r="S38">
        <f t="shared" si="3"/>
        <v>7</v>
      </c>
    </row>
    <row r="39" spans="1:19" x14ac:dyDescent="0.2">
      <c r="A39" s="9">
        <v>166</v>
      </c>
      <c r="B39" s="9" t="s">
        <v>120</v>
      </c>
      <c r="C39" s="9" t="s">
        <v>121</v>
      </c>
      <c r="D39" s="10" t="s">
        <v>122</v>
      </c>
      <c r="E39" s="5" t="s">
        <v>47</v>
      </c>
      <c r="F39" s="5" t="s">
        <v>47</v>
      </c>
      <c r="G39" s="9"/>
      <c r="H39" s="9"/>
      <c r="I39">
        <f t="shared" si="0"/>
        <v>2011</v>
      </c>
      <c r="J39">
        <f t="shared" si="1"/>
        <v>25</v>
      </c>
      <c r="K39" s="11">
        <v>40711</v>
      </c>
      <c r="L39" s="2" t="s">
        <v>23</v>
      </c>
      <c r="M39" s="9" t="s">
        <v>123</v>
      </c>
      <c r="N39" s="9" t="s">
        <v>124</v>
      </c>
      <c r="P39">
        <v>1</v>
      </c>
      <c r="R39">
        <f t="shared" si="2"/>
        <v>35</v>
      </c>
      <c r="S39">
        <f t="shared" si="3"/>
        <v>7</v>
      </c>
    </row>
    <row r="40" spans="1:19" x14ac:dyDescent="0.2">
      <c r="A40" s="9">
        <v>166</v>
      </c>
      <c r="B40" s="9" t="s">
        <v>120</v>
      </c>
      <c r="C40" s="9" t="s">
        <v>121</v>
      </c>
      <c r="D40" s="10" t="s">
        <v>122</v>
      </c>
      <c r="E40" s="5" t="s">
        <v>73</v>
      </c>
      <c r="F40" s="5" t="s">
        <v>73</v>
      </c>
      <c r="G40" s="9"/>
      <c r="H40" s="9"/>
      <c r="I40">
        <f t="shared" si="0"/>
        <v>2011</v>
      </c>
      <c r="J40">
        <f t="shared" si="1"/>
        <v>25</v>
      </c>
      <c r="K40" s="11">
        <v>40711</v>
      </c>
      <c r="L40" s="2" t="s">
        <v>23</v>
      </c>
      <c r="M40" s="9" t="s">
        <v>123</v>
      </c>
      <c r="N40" s="9" t="s">
        <v>124</v>
      </c>
      <c r="P40">
        <v>1</v>
      </c>
      <c r="R40">
        <f t="shared" si="2"/>
        <v>35</v>
      </c>
      <c r="S40">
        <f t="shared" si="3"/>
        <v>7</v>
      </c>
    </row>
    <row r="41" spans="1:19" x14ac:dyDescent="0.2">
      <c r="A41" s="12">
        <v>140</v>
      </c>
      <c r="B41" s="12" t="s">
        <v>125</v>
      </c>
      <c r="C41" s="12" t="s">
        <v>126</v>
      </c>
      <c r="D41" s="13" t="s">
        <v>127</v>
      </c>
      <c r="E41" s="5" t="s">
        <v>100</v>
      </c>
      <c r="F41" s="5" t="s">
        <v>100</v>
      </c>
      <c r="G41" s="12"/>
      <c r="H41" s="12"/>
      <c r="I41">
        <f t="shared" si="0"/>
        <v>2011</v>
      </c>
      <c r="J41">
        <f t="shared" si="1"/>
        <v>25</v>
      </c>
      <c r="K41" s="14">
        <v>40711</v>
      </c>
      <c r="L41" s="2" t="s">
        <v>23</v>
      </c>
      <c r="M41" s="12" t="s">
        <v>128</v>
      </c>
      <c r="N41" s="12" t="s">
        <v>129</v>
      </c>
      <c r="P41">
        <v>1</v>
      </c>
      <c r="R41">
        <f t="shared" si="2"/>
        <v>35</v>
      </c>
      <c r="S41">
        <f t="shared" si="3"/>
        <v>7</v>
      </c>
    </row>
    <row r="42" spans="1:19" x14ac:dyDescent="0.2">
      <c r="A42" s="12">
        <v>140</v>
      </c>
      <c r="B42" s="12" t="s">
        <v>125</v>
      </c>
      <c r="C42" s="12" t="s">
        <v>126</v>
      </c>
      <c r="D42" s="13" t="s">
        <v>127</v>
      </c>
      <c r="E42" s="4" t="s">
        <v>21</v>
      </c>
      <c r="F42" s="4" t="s">
        <v>21</v>
      </c>
      <c r="G42" s="12"/>
      <c r="H42" s="12"/>
      <c r="I42">
        <f t="shared" si="0"/>
        <v>2011</v>
      </c>
      <c r="J42">
        <f t="shared" si="1"/>
        <v>25</v>
      </c>
      <c r="K42" s="14">
        <v>40711</v>
      </c>
      <c r="L42" s="2" t="s">
        <v>23</v>
      </c>
      <c r="M42" s="12" t="s">
        <v>128</v>
      </c>
      <c r="N42" s="12" t="s">
        <v>129</v>
      </c>
      <c r="P42">
        <v>1</v>
      </c>
      <c r="R42">
        <f t="shared" si="2"/>
        <v>35</v>
      </c>
      <c r="S42">
        <f t="shared" si="3"/>
        <v>7</v>
      </c>
    </row>
    <row r="43" spans="1:19" x14ac:dyDescent="0.2">
      <c r="A43" s="12">
        <v>140</v>
      </c>
      <c r="B43" s="12" t="s">
        <v>125</v>
      </c>
      <c r="C43" s="12" t="s">
        <v>126</v>
      </c>
      <c r="D43" s="13" t="s">
        <v>127</v>
      </c>
      <c r="E43" s="5" t="s">
        <v>47</v>
      </c>
      <c r="F43" s="5" t="s">
        <v>47</v>
      </c>
      <c r="G43" s="12"/>
      <c r="H43" s="12"/>
      <c r="I43">
        <f t="shared" si="0"/>
        <v>2011</v>
      </c>
      <c r="J43">
        <f t="shared" si="1"/>
        <v>25</v>
      </c>
      <c r="K43" s="14">
        <v>40711</v>
      </c>
      <c r="L43" s="2" t="s">
        <v>23</v>
      </c>
      <c r="M43" s="12" t="s">
        <v>128</v>
      </c>
      <c r="N43" s="12" t="s">
        <v>129</v>
      </c>
      <c r="P43">
        <v>1</v>
      </c>
      <c r="R43">
        <f t="shared" si="2"/>
        <v>35</v>
      </c>
      <c r="S43">
        <f t="shared" si="3"/>
        <v>7</v>
      </c>
    </row>
    <row r="44" spans="1:19" x14ac:dyDescent="0.2">
      <c r="A44" s="12">
        <v>140</v>
      </c>
      <c r="B44" s="12" t="s">
        <v>125</v>
      </c>
      <c r="C44" s="12" t="s">
        <v>126</v>
      </c>
      <c r="D44" s="13" t="s">
        <v>127</v>
      </c>
      <c r="E44" s="5" t="s">
        <v>73</v>
      </c>
      <c r="F44" s="5" t="s">
        <v>73</v>
      </c>
      <c r="G44" s="12"/>
      <c r="H44" s="12"/>
      <c r="I44">
        <f t="shared" si="0"/>
        <v>2011</v>
      </c>
      <c r="J44">
        <f t="shared" si="1"/>
        <v>25</v>
      </c>
      <c r="K44" s="14">
        <v>40711</v>
      </c>
      <c r="L44" s="2" t="s">
        <v>23</v>
      </c>
      <c r="M44" s="12" t="s">
        <v>128</v>
      </c>
      <c r="N44" s="12" t="s">
        <v>129</v>
      </c>
      <c r="P44">
        <v>1</v>
      </c>
      <c r="R44">
        <f t="shared" si="2"/>
        <v>35</v>
      </c>
      <c r="S44">
        <f t="shared" si="3"/>
        <v>7</v>
      </c>
    </row>
    <row r="45" spans="1:19" x14ac:dyDescent="0.2">
      <c r="A45" s="12"/>
      <c r="B45" s="12"/>
      <c r="C45" s="12" t="s">
        <v>116</v>
      </c>
      <c r="D45" s="13" t="s">
        <v>117</v>
      </c>
      <c r="E45" s="4" t="s">
        <v>29</v>
      </c>
      <c r="F45" s="4" t="s">
        <v>29</v>
      </c>
      <c r="G45" s="12"/>
      <c r="H45" s="12"/>
      <c r="I45">
        <f t="shared" si="0"/>
        <v>2011</v>
      </c>
      <c r="J45">
        <f t="shared" si="1"/>
        <v>25</v>
      </c>
      <c r="K45" s="14">
        <v>40711</v>
      </c>
      <c r="L45" s="2" t="s">
        <v>23</v>
      </c>
      <c r="M45" s="12"/>
      <c r="N45" s="12"/>
      <c r="P45">
        <v>1</v>
      </c>
      <c r="R45">
        <f t="shared" si="2"/>
        <v>35</v>
      </c>
      <c r="S45">
        <f t="shared" si="3"/>
        <v>5</v>
      </c>
    </row>
    <row r="46" spans="1:19" x14ac:dyDescent="0.2">
      <c r="A46" s="9"/>
      <c r="B46" s="9"/>
      <c r="C46" s="9" t="s">
        <v>118</v>
      </c>
      <c r="D46" s="10" t="s">
        <v>119</v>
      </c>
      <c r="E46" s="4" t="s">
        <v>29</v>
      </c>
      <c r="F46" s="4" t="s">
        <v>29</v>
      </c>
      <c r="G46" s="9"/>
      <c r="H46" s="9"/>
      <c r="I46">
        <f t="shared" si="0"/>
        <v>2011</v>
      </c>
      <c r="J46">
        <f t="shared" si="1"/>
        <v>25</v>
      </c>
      <c r="K46" s="11">
        <v>40711</v>
      </c>
      <c r="L46" s="2" t="s">
        <v>23</v>
      </c>
      <c r="M46" s="9"/>
      <c r="N46" s="9"/>
      <c r="P46">
        <v>1</v>
      </c>
      <c r="R46">
        <f t="shared" si="2"/>
        <v>35</v>
      </c>
      <c r="S46">
        <f t="shared" si="3"/>
        <v>5</v>
      </c>
    </row>
    <row r="47" spans="1:19" x14ac:dyDescent="0.2">
      <c r="A47" s="9">
        <v>166</v>
      </c>
      <c r="B47" s="9" t="s">
        <v>120</v>
      </c>
      <c r="C47" s="9" t="s">
        <v>121</v>
      </c>
      <c r="D47" s="10" t="s">
        <v>122</v>
      </c>
      <c r="E47" s="4" t="s">
        <v>29</v>
      </c>
      <c r="F47" s="4" t="s">
        <v>29</v>
      </c>
      <c r="G47" s="9"/>
      <c r="H47" s="9"/>
      <c r="I47">
        <f t="shared" si="0"/>
        <v>2011</v>
      </c>
      <c r="J47">
        <f t="shared" si="1"/>
        <v>25</v>
      </c>
      <c r="K47" s="11">
        <v>40711</v>
      </c>
      <c r="L47" s="2" t="s">
        <v>23</v>
      </c>
      <c r="M47" s="9" t="s">
        <v>123</v>
      </c>
      <c r="N47" s="9" t="s">
        <v>124</v>
      </c>
      <c r="P47">
        <v>1</v>
      </c>
      <c r="R47">
        <f t="shared" si="2"/>
        <v>35</v>
      </c>
      <c r="S47">
        <f t="shared" si="3"/>
        <v>5</v>
      </c>
    </row>
    <row r="48" spans="1:19" x14ac:dyDescent="0.2">
      <c r="A48" s="12">
        <v>140</v>
      </c>
      <c r="B48" s="12" t="s">
        <v>125</v>
      </c>
      <c r="C48" s="12" t="s">
        <v>126</v>
      </c>
      <c r="D48" s="13" t="s">
        <v>127</v>
      </c>
      <c r="E48" s="4" t="s">
        <v>29</v>
      </c>
      <c r="F48" s="4" t="s">
        <v>29</v>
      </c>
      <c r="G48" s="12"/>
      <c r="H48" s="12"/>
      <c r="I48">
        <f t="shared" si="0"/>
        <v>2011</v>
      </c>
      <c r="J48">
        <f t="shared" si="1"/>
        <v>25</v>
      </c>
      <c r="K48" s="14">
        <v>40711</v>
      </c>
      <c r="L48" s="2" t="s">
        <v>23</v>
      </c>
      <c r="M48" s="12" t="s">
        <v>128</v>
      </c>
      <c r="N48" s="12" t="s">
        <v>129</v>
      </c>
      <c r="P48">
        <v>1</v>
      </c>
      <c r="R48">
        <f t="shared" si="2"/>
        <v>35</v>
      </c>
      <c r="S48">
        <f t="shared" si="3"/>
        <v>5</v>
      </c>
    </row>
    <row r="49" spans="1:19" x14ac:dyDescent="0.2">
      <c r="A49" s="12">
        <v>211</v>
      </c>
      <c r="B49" s="12" t="s">
        <v>130</v>
      </c>
      <c r="C49" s="12" t="s">
        <v>131</v>
      </c>
      <c r="D49" s="13" t="s">
        <v>132</v>
      </c>
      <c r="E49" s="4" t="s">
        <v>21</v>
      </c>
      <c r="F49" s="12" t="s">
        <v>101</v>
      </c>
      <c r="G49" s="12"/>
      <c r="H49" s="12"/>
      <c r="I49">
        <f t="shared" si="0"/>
        <v>2011</v>
      </c>
      <c r="J49">
        <f t="shared" si="1"/>
        <v>25</v>
      </c>
      <c r="K49" s="14">
        <v>40711</v>
      </c>
      <c r="L49" s="2" t="s">
        <v>23</v>
      </c>
      <c r="M49" s="12" t="s">
        <v>133</v>
      </c>
      <c r="N49" s="12" t="s">
        <v>134</v>
      </c>
      <c r="P49">
        <v>1</v>
      </c>
      <c r="R49">
        <f t="shared" si="2"/>
        <v>35</v>
      </c>
      <c r="S49">
        <f t="shared" si="3"/>
        <v>7</v>
      </c>
    </row>
    <row r="50" spans="1:19" x14ac:dyDescent="0.2">
      <c r="A50" s="12"/>
      <c r="B50" s="12"/>
      <c r="C50" s="12" t="s">
        <v>135</v>
      </c>
      <c r="D50" s="13" t="s">
        <v>136</v>
      </c>
      <c r="E50" s="4" t="s">
        <v>21</v>
      </c>
      <c r="F50" s="12" t="s">
        <v>101</v>
      </c>
      <c r="G50" s="12"/>
      <c r="H50" s="12"/>
      <c r="I50">
        <f t="shared" si="0"/>
        <v>2011</v>
      </c>
      <c r="J50">
        <f t="shared" si="1"/>
        <v>25</v>
      </c>
      <c r="K50" s="14">
        <v>40711</v>
      </c>
      <c r="L50" s="2" t="s">
        <v>23</v>
      </c>
      <c r="M50" s="12"/>
      <c r="N50" s="12"/>
      <c r="P50">
        <v>1</v>
      </c>
      <c r="R50">
        <f t="shared" si="2"/>
        <v>35</v>
      </c>
      <c r="S50">
        <f t="shared" si="3"/>
        <v>7</v>
      </c>
    </row>
    <row r="51" spans="1:19" x14ac:dyDescent="0.2">
      <c r="A51" s="12">
        <v>211</v>
      </c>
      <c r="B51" s="12" t="s">
        <v>130</v>
      </c>
      <c r="C51" s="12" t="s">
        <v>131</v>
      </c>
      <c r="D51" s="13" t="s">
        <v>132</v>
      </c>
      <c r="E51" s="5" t="s">
        <v>47</v>
      </c>
      <c r="F51" s="12" t="s">
        <v>101</v>
      </c>
      <c r="G51" s="12"/>
      <c r="H51" s="12"/>
      <c r="I51">
        <f t="shared" si="0"/>
        <v>2011</v>
      </c>
      <c r="J51">
        <f t="shared" si="1"/>
        <v>25</v>
      </c>
      <c r="K51" s="14">
        <v>40711</v>
      </c>
      <c r="L51" s="2" t="s">
        <v>23</v>
      </c>
      <c r="M51" s="12" t="s">
        <v>133</v>
      </c>
      <c r="N51" s="12" t="s">
        <v>134</v>
      </c>
      <c r="P51">
        <v>1</v>
      </c>
      <c r="R51">
        <f t="shared" si="2"/>
        <v>35</v>
      </c>
      <c r="S51">
        <f t="shared" si="3"/>
        <v>7</v>
      </c>
    </row>
    <row r="52" spans="1:19" x14ac:dyDescent="0.2">
      <c r="A52" s="12"/>
      <c r="B52" s="12"/>
      <c r="C52" s="12" t="s">
        <v>135</v>
      </c>
      <c r="D52" s="13" t="s">
        <v>136</v>
      </c>
      <c r="E52" s="5" t="s">
        <v>47</v>
      </c>
      <c r="F52" s="12" t="s">
        <v>101</v>
      </c>
      <c r="G52" s="12"/>
      <c r="H52" s="12"/>
      <c r="I52">
        <f t="shared" si="0"/>
        <v>2011</v>
      </c>
      <c r="J52">
        <f t="shared" si="1"/>
        <v>25</v>
      </c>
      <c r="K52" s="14">
        <v>40711</v>
      </c>
      <c r="L52" s="2" t="s">
        <v>23</v>
      </c>
      <c r="M52" s="12"/>
      <c r="N52" s="12"/>
      <c r="P52">
        <v>1</v>
      </c>
      <c r="R52">
        <f t="shared" si="2"/>
        <v>35</v>
      </c>
      <c r="S52">
        <f t="shared" si="3"/>
        <v>7</v>
      </c>
    </row>
    <row r="53" spans="1:19" x14ac:dyDescent="0.2">
      <c r="A53" s="12">
        <v>211</v>
      </c>
      <c r="B53" s="12" t="s">
        <v>130</v>
      </c>
      <c r="C53" s="12" t="s">
        <v>131</v>
      </c>
      <c r="D53" s="13" t="s">
        <v>132</v>
      </c>
      <c r="E53" s="5" t="s">
        <v>100</v>
      </c>
      <c r="F53" s="12" t="s">
        <v>101</v>
      </c>
      <c r="G53" s="12"/>
      <c r="H53" s="12"/>
      <c r="I53">
        <f t="shared" si="0"/>
        <v>2011</v>
      </c>
      <c r="J53">
        <f t="shared" si="1"/>
        <v>25</v>
      </c>
      <c r="K53" s="14">
        <v>40711</v>
      </c>
      <c r="L53" s="2" t="s">
        <v>23</v>
      </c>
      <c r="M53" s="12" t="s">
        <v>133</v>
      </c>
      <c r="N53" s="12" t="s">
        <v>134</v>
      </c>
      <c r="P53">
        <v>1</v>
      </c>
      <c r="R53">
        <f t="shared" si="2"/>
        <v>35</v>
      </c>
      <c r="S53">
        <f t="shared" si="3"/>
        <v>7</v>
      </c>
    </row>
    <row r="54" spans="1:19" x14ac:dyDescent="0.2">
      <c r="A54" s="12"/>
      <c r="B54" s="12"/>
      <c r="C54" s="12" t="s">
        <v>135</v>
      </c>
      <c r="D54" s="13" t="s">
        <v>136</v>
      </c>
      <c r="E54" s="5" t="s">
        <v>100</v>
      </c>
      <c r="F54" s="12" t="s">
        <v>101</v>
      </c>
      <c r="G54" s="12"/>
      <c r="H54" s="12"/>
      <c r="I54">
        <f t="shared" si="0"/>
        <v>2011</v>
      </c>
      <c r="J54">
        <f t="shared" si="1"/>
        <v>25</v>
      </c>
      <c r="K54" s="14">
        <v>40711</v>
      </c>
      <c r="L54" s="2" t="s">
        <v>23</v>
      </c>
      <c r="M54" s="12"/>
      <c r="N54" s="12"/>
      <c r="P54">
        <v>1</v>
      </c>
      <c r="R54">
        <f t="shared" si="2"/>
        <v>35</v>
      </c>
      <c r="S54">
        <f t="shared" si="3"/>
        <v>7</v>
      </c>
    </row>
    <row r="55" spans="1:19" x14ac:dyDescent="0.2">
      <c r="A55" s="12">
        <v>211</v>
      </c>
      <c r="B55" s="12" t="s">
        <v>130</v>
      </c>
      <c r="C55" s="12" t="s">
        <v>131</v>
      </c>
      <c r="D55" s="13" t="s">
        <v>132</v>
      </c>
      <c r="E55" s="5" t="s">
        <v>73</v>
      </c>
      <c r="F55" s="12" t="s">
        <v>101</v>
      </c>
      <c r="G55" s="12"/>
      <c r="H55" s="12"/>
      <c r="I55">
        <f t="shared" si="0"/>
        <v>2011</v>
      </c>
      <c r="J55">
        <f t="shared" si="1"/>
        <v>25</v>
      </c>
      <c r="K55" s="14">
        <v>40711</v>
      </c>
      <c r="L55" s="2" t="s">
        <v>23</v>
      </c>
      <c r="M55" s="12" t="s">
        <v>133</v>
      </c>
      <c r="N55" s="12" t="s">
        <v>134</v>
      </c>
      <c r="P55">
        <v>1</v>
      </c>
      <c r="R55">
        <f t="shared" si="2"/>
        <v>35</v>
      </c>
      <c r="S55">
        <f t="shared" si="3"/>
        <v>7</v>
      </c>
    </row>
    <row r="56" spans="1:19" x14ac:dyDescent="0.2">
      <c r="A56" s="12"/>
      <c r="B56" s="12"/>
      <c r="C56" s="12" t="s">
        <v>135</v>
      </c>
      <c r="D56" s="13" t="s">
        <v>136</v>
      </c>
      <c r="E56" s="5" t="s">
        <v>73</v>
      </c>
      <c r="F56" s="12" t="s">
        <v>101</v>
      </c>
      <c r="G56" s="12"/>
      <c r="H56" s="12"/>
      <c r="I56">
        <f t="shared" si="0"/>
        <v>2011</v>
      </c>
      <c r="J56">
        <f t="shared" si="1"/>
        <v>25</v>
      </c>
      <c r="K56" s="14">
        <v>40711</v>
      </c>
      <c r="L56" s="2" t="s">
        <v>23</v>
      </c>
      <c r="M56" s="12"/>
      <c r="N56" s="12"/>
      <c r="P56">
        <v>1</v>
      </c>
      <c r="R56">
        <f t="shared" si="2"/>
        <v>35</v>
      </c>
      <c r="S56">
        <f t="shared" si="3"/>
        <v>7</v>
      </c>
    </row>
    <row r="57" spans="1:19" x14ac:dyDescent="0.2">
      <c r="A57" s="9">
        <v>188</v>
      </c>
      <c r="B57" s="9" t="s">
        <v>137</v>
      </c>
      <c r="C57" s="9" t="s">
        <v>138</v>
      </c>
      <c r="D57" s="10" t="s">
        <v>139</v>
      </c>
      <c r="E57" s="5" t="s">
        <v>73</v>
      </c>
      <c r="F57" s="9" t="s">
        <v>140</v>
      </c>
      <c r="G57" s="9"/>
      <c r="H57" s="9"/>
      <c r="I57">
        <f t="shared" si="0"/>
        <v>2011</v>
      </c>
      <c r="J57">
        <f t="shared" si="1"/>
        <v>26</v>
      </c>
      <c r="K57" s="11">
        <v>40713</v>
      </c>
      <c r="L57" s="2" t="s">
        <v>23</v>
      </c>
      <c r="M57" s="9" t="s">
        <v>141</v>
      </c>
      <c r="N57" s="9" t="s">
        <v>142</v>
      </c>
      <c r="P57">
        <v>1</v>
      </c>
      <c r="R57">
        <f t="shared" si="2"/>
        <v>6</v>
      </c>
      <c r="S57">
        <f t="shared" si="3"/>
        <v>1</v>
      </c>
    </row>
    <row r="58" spans="1:19" x14ac:dyDescent="0.2">
      <c r="A58" s="9">
        <v>188</v>
      </c>
      <c r="B58" s="9" t="s">
        <v>137</v>
      </c>
      <c r="C58" s="9" t="s">
        <v>138</v>
      </c>
      <c r="D58" s="10" t="s">
        <v>139</v>
      </c>
      <c r="E58" s="4" t="s">
        <v>29</v>
      </c>
      <c r="F58" s="9" t="s">
        <v>140</v>
      </c>
      <c r="G58" s="9"/>
      <c r="H58" s="9"/>
      <c r="I58">
        <f t="shared" si="0"/>
        <v>2011</v>
      </c>
      <c r="J58">
        <f t="shared" si="1"/>
        <v>26</v>
      </c>
      <c r="K58" s="11">
        <v>40713</v>
      </c>
      <c r="L58" s="2" t="s">
        <v>23</v>
      </c>
      <c r="M58" s="9" t="s">
        <v>141</v>
      </c>
      <c r="N58" s="9" t="s">
        <v>142</v>
      </c>
      <c r="P58">
        <v>1</v>
      </c>
      <c r="R58">
        <f t="shared" si="2"/>
        <v>6</v>
      </c>
      <c r="S58">
        <f t="shared" si="3"/>
        <v>2</v>
      </c>
    </row>
    <row r="59" spans="1:19" x14ac:dyDescent="0.2">
      <c r="A59" s="12">
        <v>189</v>
      </c>
      <c r="B59" s="12" t="s">
        <v>143</v>
      </c>
      <c r="C59" s="12" t="s">
        <v>144</v>
      </c>
      <c r="D59" s="13" t="s">
        <v>145</v>
      </c>
      <c r="E59" s="13"/>
      <c r="F59" s="12"/>
      <c r="G59" s="12"/>
      <c r="H59" s="12"/>
      <c r="I59">
        <f t="shared" si="0"/>
        <v>2011</v>
      </c>
      <c r="J59">
        <f t="shared" si="1"/>
        <v>26</v>
      </c>
      <c r="K59" s="14">
        <v>40715</v>
      </c>
      <c r="L59" s="2" t="s">
        <v>23</v>
      </c>
      <c r="M59" s="12" t="s">
        <v>146</v>
      </c>
      <c r="N59" s="12" t="s">
        <v>147</v>
      </c>
      <c r="P59">
        <v>1</v>
      </c>
      <c r="R59">
        <f t="shared" si="2"/>
        <v>6</v>
      </c>
      <c r="S59">
        <f t="shared" si="3"/>
        <v>0</v>
      </c>
    </row>
    <row r="60" spans="1:19" x14ac:dyDescent="0.2">
      <c r="A60">
        <v>90</v>
      </c>
      <c r="B60" t="s">
        <v>148</v>
      </c>
      <c r="C60" t="s">
        <v>68</v>
      </c>
      <c r="D60" t="s">
        <v>149</v>
      </c>
      <c r="E60" s="4" t="s">
        <v>29</v>
      </c>
      <c r="F60" t="s">
        <v>150</v>
      </c>
      <c r="G60">
        <v>33.045236837092403</v>
      </c>
      <c r="H60">
        <v>35.1004249845763</v>
      </c>
      <c r="I60">
        <f t="shared" si="0"/>
        <v>2011</v>
      </c>
      <c r="J60">
        <f t="shared" si="1"/>
        <v>26</v>
      </c>
      <c r="K60" s="2">
        <v>40717</v>
      </c>
      <c r="L60" s="2" t="s">
        <v>23</v>
      </c>
      <c r="M60" t="s">
        <v>151</v>
      </c>
      <c r="N60" t="s">
        <v>152</v>
      </c>
      <c r="P60">
        <v>1</v>
      </c>
      <c r="R60">
        <f t="shared" si="2"/>
        <v>6</v>
      </c>
      <c r="S60">
        <f t="shared" si="3"/>
        <v>2</v>
      </c>
    </row>
    <row r="61" spans="1:19" x14ac:dyDescent="0.2">
      <c r="A61">
        <v>90</v>
      </c>
      <c r="B61" t="s">
        <v>148</v>
      </c>
      <c r="C61" t="s">
        <v>68</v>
      </c>
      <c r="D61" t="s">
        <v>149</v>
      </c>
      <c r="E61" s="4" t="s">
        <v>21</v>
      </c>
      <c r="F61" t="s">
        <v>22</v>
      </c>
      <c r="G61">
        <v>31.681438420965801</v>
      </c>
      <c r="H61">
        <v>34.554694789741902</v>
      </c>
      <c r="I61">
        <f t="shared" si="0"/>
        <v>2011</v>
      </c>
      <c r="J61">
        <f t="shared" si="1"/>
        <v>26</v>
      </c>
      <c r="K61" s="2">
        <v>40717</v>
      </c>
      <c r="L61" s="2" t="s">
        <v>23</v>
      </c>
      <c r="M61" t="s">
        <v>151</v>
      </c>
      <c r="N61" t="s">
        <v>152</v>
      </c>
      <c r="P61">
        <v>1</v>
      </c>
      <c r="R61">
        <f t="shared" si="2"/>
        <v>6</v>
      </c>
      <c r="S61">
        <f t="shared" si="3"/>
        <v>1</v>
      </c>
    </row>
    <row r="62" spans="1:19" x14ac:dyDescent="0.2">
      <c r="A62" s="12">
        <v>148</v>
      </c>
      <c r="B62" s="12" t="s">
        <v>153</v>
      </c>
      <c r="C62" s="12" t="s">
        <v>154</v>
      </c>
      <c r="D62" s="13" t="s">
        <v>155</v>
      </c>
      <c r="E62" s="5" t="s">
        <v>47</v>
      </c>
      <c r="F62" s="12" t="s">
        <v>75</v>
      </c>
      <c r="G62">
        <v>32.439273327223297</v>
      </c>
      <c r="H62">
        <v>34.878068554773698</v>
      </c>
      <c r="I62">
        <f t="shared" si="0"/>
        <v>2011</v>
      </c>
      <c r="J62">
        <f t="shared" si="1"/>
        <v>26</v>
      </c>
      <c r="K62" s="14">
        <v>40719</v>
      </c>
      <c r="L62" s="2" t="s">
        <v>23</v>
      </c>
      <c r="M62" s="12" t="s">
        <v>156</v>
      </c>
      <c r="N62" s="12" t="s">
        <v>157</v>
      </c>
      <c r="P62">
        <v>1</v>
      </c>
      <c r="R62">
        <f t="shared" si="2"/>
        <v>6</v>
      </c>
      <c r="S62">
        <f t="shared" si="3"/>
        <v>1</v>
      </c>
    </row>
    <row r="63" spans="1:19" x14ac:dyDescent="0.2">
      <c r="A63" t="s">
        <v>158</v>
      </c>
      <c r="B63" t="s">
        <v>159</v>
      </c>
      <c r="C63" t="s">
        <v>19</v>
      </c>
      <c r="D63" t="s">
        <v>160</v>
      </c>
      <c r="I63">
        <f t="shared" si="0"/>
        <v>2011</v>
      </c>
      <c r="J63">
        <f t="shared" si="1"/>
        <v>27</v>
      </c>
      <c r="K63" s="2">
        <v>40723</v>
      </c>
      <c r="L63" s="2" t="s">
        <v>23</v>
      </c>
      <c r="M63" t="s">
        <v>161</v>
      </c>
      <c r="N63" t="s">
        <v>162</v>
      </c>
      <c r="P63">
        <v>1</v>
      </c>
      <c r="R63">
        <f t="shared" si="2"/>
        <v>7</v>
      </c>
      <c r="S63">
        <f t="shared" si="3"/>
        <v>0</v>
      </c>
    </row>
    <row r="64" spans="1:19" x14ac:dyDescent="0.2">
      <c r="A64">
        <v>208</v>
      </c>
      <c r="B64" t="s">
        <v>163</v>
      </c>
      <c r="C64" t="s">
        <v>164</v>
      </c>
      <c r="D64" t="s">
        <v>165</v>
      </c>
      <c r="E64" s="4" t="s">
        <v>21</v>
      </c>
      <c r="F64" t="s">
        <v>70</v>
      </c>
      <c r="G64">
        <v>32.002493003827801</v>
      </c>
      <c r="H64">
        <v>34.731694234364099</v>
      </c>
      <c r="I64">
        <f t="shared" si="0"/>
        <v>2011</v>
      </c>
      <c r="J64">
        <f t="shared" si="1"/>
        <v>27</v>
      </c>
      <c r="K64" s="2">
        <v>40725</v>
      </c>
      <c r="L64" s="2" t="s">
        <v>23</v>
      </c>
      <c r="M64" t="s">
        <v>166</v>
      </c>
      <c r="N64" t="s">
        <v>167</v>
      </c>
      <c r="P64">
        <v>1</v>
      </c>
      <c r="R64">
        <f t="shared" si="2"/>
        <v>7</v>
      </c>
      <c r="S64">
        <f t="shared" si="3"/>
        <v>5</v>
      </c>
    </row>
    <row r="65" spans="1:19" x14ac:dyDescent="0.2">
      <c r="A65">
        <v>208</v>
      </c>
      <c r="B65" t="s">
        <v>163</v>
      </c>
      <c r="C65" t="s">
        <v>164</v>
      </c>
      <c r="D65" t="s">
        <v>165</v>
      </c>
      <c r="E65" s="4" t="s">
        <v>21</v>
      </c>
      <c r="F65" t="s">
        <v>64</v>
      </c>
      <c r="G65">
        <v>31.8169667122236</v>
      </c>
      <c r="H65">
        <v>34.639611775767101</v>
      </c>
      <c r="I65">
        <f t="shared" si="0"/>
        <v>2011</v>
      </c>
      <c r="J65">
        <f t="shared" si="1"/>
        <v>27</v>
      </c>
      <c r="K65" s="2">
        <v>40725</v>
      </c>
      <c r="L65" s="2" t="s">
        <v>23</v>
      </c>
      <c r="M65" t="s">
        <v>166</v>
      </c>
      <c r="N65" t="s">
        <v>167</v>
      </c>
      <c r="P65">
        <v>1</v>
      </c>
      <c r="R65">
        <f t="shared" si="2"/>
        <v>7</v>
      </c>
      <c r="S65">
        <f t="shared" si="3"/>
        <v>5</v>
      </c>
    </row>
    <row r="66" spans="1:19" x14ac:dyDescent="0.2">
      <c r="A66">
        <v>208</v>
      </c>
      <c r="B66" t="s">
        <v>163</v>
      </c>
      <c r="C66" t="s">
        <v>164</v>
      </c>
      <c r="D66" t="s">
        <v>165</v>
      </c>
      <c r="E66" s="4" t="s">
        <v>21</v>
      </c>
      <c r="F66" t="s">
        <v>22</v>
      </c>
      <c r="G66">
        <v>31.681438420965801</v>
      </c>
      <c r="H66">
        <v>34.554694789741902</v>
      </c>
      <c r="I66">
        <f t="shared" ref="I66:I129" si="4">YEAR(K66)</f>
        <v>2011</v>
      </c>
      <c r="J66">
        <f t="shared" ref="J66:J129" si="5">WEEKNUM(K66)</f>
        <v>27</v>
      </c>
      <c r="K66" s="2">
        <v>40725</v>
      </c>
      <c r="L66" s="2" t="s">
        <v>23</v>
      </c>
      <c r="M66" t="s">
        <v>166</v>
      </c>
      <c r="N66" t="s">
        <v>167</v>
      </c>
      <c r="P66">
        <v>1</v>
      </c>
      <c r="R66">
        <f t="shared" si="2"/>
        <v>7</v>
      </c>
      <c r="S66">
        <f t="shared" si="3"/>
        <v>5</v>
      </c>
    </row>
    <row r="67" spans="1:19" x14ac:dyDescent="0.2">
      <c r="A67">
        <v>208</v>
      </c>
      <c r="B67" t="s">
        <v>163</v>
      </c>
      <c r="C67" t="s">
        <v>164</v>
      </c>
      <c r="D67" t="s">
        <v>165</v>
      </c>
      <c r="E67" s="4" t="s">
        <v>21</v>
      </c>
      <c r="F67" t="s">
        <v>168</v>
      </c>
      <c r="G67">
        <v>32.002493003827801</v>
      </c>
      <c r="H67">
        <v>34.731694234364099</v>
      </c>
      <c r="I67">
        <f t="shared" si="4"/>
        <v>2011</v>
      </c>
      <c r="J67">
        <f t="shared" si="5"/>
        <v>27</v>
      </c>
      <c r="K67" s="2">
        <v>40725</v>
      </c>
      <c r="L67" s="2" t="s">
        <v>23</v>
      </c>
      <c r="M67" t="s">
        <v>166</v>
      </c>
      <c r="N67" t="s">
        <v>167</v>
      </c>
      <c r="P67">
        <v>1</v>
      </c>
      <c r="R67">
        <f t="shared" ref="R67:R130" si="6">COUNTIFS($J$2:$J$997,J67,$I$2:$I$997,I67)</f>
        <v>7</v>
      </c>
      <c r="S67">
        <f t="shared" ref="S67:S130" si="7">COUNTIFS($J$2:$J$997,J67,$I$2:$I$997,I67,$E$2:$E$997,E67)</f>
        <v>5</v>
      </c>
    </row>
    <row r="68" spans="1:19" x14ac:dyDescent="0.2">
      <c r="A68">
        <v>215</v>
      </c>
      <c r="B68" t="s">
        <v>169</v>
      </c>
      <c r="C68" t="s">
        <v>170</v>
      </c>
      <c r="D68" t="s">
        <v>171</v>
      </c>
      <c r="F68" t="s">
        <v>30</v>
      </c>
      <c r="G68">
        <v>32.8371203553017</v>
      </c>
      <c r="H68">
        <v>34.9792189455856</v>
      </c>
      <c r="I68">
        <f t="shared" si="4"/>
        <v>2011</v>
      </c>
      <c r="J68">
        <f t="shared" si="5"/>
        <v>27</v>
      </c>
      <c r="K68" s="2">
        <v>40726</v>
      </c>
      <c r="L68" s="2" t="s">
        <v>23</v>
      </c>
      <c r="M68" t="s">
        <v>172</v>
      </c>
      <c r="N68" t="s">
        <v>173</v>
      </c>
      <c r="P68">
        <v>1</v>
      </c>
      <c r="R68">
        <f t="shared" si="6"/>
        <v>7</v>
      </c>
      <c r="S68">
        <f t="shared" si="7"/>
        <v>0</v>
      </c>
    </row>
    <row r="69" spans="1:19" x14ac:dyDescent="0.2">
      <c r="A69" s="12">
        <v>358</v>
      </c>
      <c r="B69" s="12" t="s">
        <v>174</v>
      </c>
      <c r="C69" s="12" t="s">
        <v>175</v>
      </c>
      <c r="D69" s="13" t="s">
        <v>176</v>
      </c>
      <c r="E69" s="4" t="s">
        <v>21</v>
      </c>
      <c r="F69" s="12" t="s">
        <v>89</v>
      </c>
      <c r="G69" s="12"/>
      <c r="H69" s="12"/>
      <c r="I69">
        <f t="shared" si="4"/>
        <v>2011</v>
      </c>
      <c r="J69">
        <f t="shared" si="5"/>
        <v>27</v>
      </c>
      <c r="K69" s="14">
        <v>40726</v>
      </c>
      <c r="L69" s="2" t="s">
        <v>23</v>
      </c>
      <c r="M69" s="12" t="s">
        <v>177</v>
      </c>
      <c r="N69" s="12" t="s">
        <v>178</v>
      </c>
      <c r="P69">
        <v>1</v>
      </c>
      <c r="R69">
        <f t="shared" si="6"/>
        <v>7</v>
      </c>
      <c r="S69">
        <f t="shared" si="7"/>
        <v>5</v>
      </c>
    </row>
    <row r="70" spans="1:19" x14ac:dyDescent="0.2">
      <c r="B70" t="s">
        <v>179</v>
      </c>
      <c r="C70" t="s">
        <v>180</v>
      </c>
      <c r="D70" t="s">
        <v>181</v>
      </c>
      <c r="E70" s="5" t="s">
        <v>47</v>
      </c>
      <c r="F70" t="s">
        <v>75</v>
      </c>
      <c r="G70">
        <v>32.439273327223297</v>
      </c>
      <c r="H70">
        <v>34.878068554773698</v>
      </c>
      <c r="I70">
        <f t="shared" si="4"/>
        <v>2011</v>
      </c>
      <c r="J70">
        <f t="shared" si="5"/>
        <v>28</v>
      </c>
      <c r="K70" s="2">
        <v>40728</v>
      </c>
      <c r="L70" s="2" t="s">
        <v>23</v>
      </c>
      <c r="M70" t="s">
        <v>182</v>
      </c>
      <c r="N70" t="s">
        <v>183</v>
      </c>
      <c r="P70">
        <v>1</v>
      </c>
      <c r="R70">
        <f t="shared" si="6"/>
        <v>29</v>
      </c>
      <c r="S70">
        <f t="shared" si="7"/>
        <v>19</v>
      </c>
    </row>
    <row r="71" spans="1:19" x14ac:dyDescent="0.2">
      <c r="A71">
        <v>453</v>
      </c>
      <c r="B71" t="s">
        <v>184</v>
      </c>
      <c r="C71" t="s">
        <v>185</v>
      </c>
      <c r="D71" t="s">
        <v>186</v>
      </c>
      <c r="E71" s="5" t="s">
        <v>47</v>
      </c>
      <c r="F71" t="s">
        <v>75</v>
      </c>
      <c r="G71">
        <v>32.439273327223297</v>
      </c>
      <c r="H71">
        <v>34.878068554773698</v>
      </c>
      <c r="I71">
        <f t="shared" si="4"/>
        <v>2011</v>
      </c>
      <c r="J71">
        <f t="shared" si="5"/>
        <v>28</v>
      </c>
      <c r="K71" s="2">
        <v>40729</v>
      </c>
      <c r="L71" s="2" t="s">
        <v>23</v>
      </c>
      <c r="M71" t="s">
        <v>187</v>
      </c>
      <c r="N71" t="s">
        <v>188</v>
      </c>
      <c r="P71">
        <v>1</v>
      </c>
      <c r="R71">
        <f t="shared" si="6"/>
        <v>29</v>
      </c>
      <c r="S71">
        <f t="shared" si="7"/>
        <v>19</v>
      </c>
    </row>
    <row r="72" spans="1:19" x14ac:dyDescent="0.2">
      <c r="A72" s="1">
        <v>453</v>
      </c>
      <c r="B72" t="s">
        <v>189</v>
      </c>
      <c r="C72" t="s">
        <v>190</v>
      </c>
      <c r="D72" t="s">
        <v>191</v>
      </c>
      <c r="E72" s="5" t="s">
        <v>47</v>
      </c>
      <c r="F72" t="s">
        <v>75</v>
      </c>
      <c r="G72">
        <v>32.439273327223297</v>
      </c>
      <c r="H72">
        <v>34.878068554773698</v>
      </c>
      <c r="I72">
        <f t="shared" si="4"/>
        <v>2011</v>
      </c>
      <c r="J72">
        <f t="shared" si="5"/>
        <v>28</v>
      </c>
      <c r="K72" s="2">
        <v>40729</v>
      </c>
      <c r="L72" s="2" t="s">
        <v>23</v>
      </c>
      <c r="M72" t="s">
        <v>192</v>
      </c>
      <c r="N72" t="s">
        <v>193</v>
      </c>
      <c r="P72">
        <v>1</v>
      </c>
      <c r="R72">
        <f t="shared" si="6"/>
        <v>29</v>
      </c>
      <c r="S72">
        <f t="shared" si="7"/>
        <v>19</v>
      </c>
    </row>
    <row r="73" spans="1:19" x14ac:dyDescent="0.2">
      <c r="A73" s="1">
        <v>459</v>
      </c>
      <c r="B73" t="s">
        <v>194</v>
      </c>
      <c r="C73" t="s">
        <v>195</v>
      </c>
      <c r="D73" t="s">
        <v>196</v>
      </c>
      <c r="E73" s="5" t="s">
        <v>47</v>
      </c>
      <c r="F73" t="s">
        <v>75</v>
      </c>
      <c r="G73">
        <v>32.439273327223297</v>
      </c>
      <c r="H73">
        <v>34.878068554773698</v>
      </c>
      <c r="I73">
        <f t="shared" si="4"/>
        <v>2011</v>
      </c>
      <c r="J73">
        <f t="shared" si="5"/>
        <v>28</v>
      </c>
      <c r="K73" s="2">
        <v>40729</v>
      </c>
      <c r="L73" s="2" t="s">
        <v>23</v>
      </c>
      <c r="M73" t="s">
        <v>197</v>
      </c>
      <c r="N73" t="s">
        <v>198</v>
      </c>
      <c r="P73">
        <v>1</v>
      </c>
      <c r="R73">
        <f t="shared" si="6"/>
        <v>29</v>
      </c>
      <c r="S73">
        <f t="shared" si="7"/>
        <v>19</v>
      </c>
    </row>
    <row r="74" spans="1:19" x14ac:dyDescent="0.2">
      <c r="B74" t="s">
        <v>199</v>
      </c>
      <c r="C74" t="s">
        <v>200</v>
      </c>
      <c r="D74" t="s">
        <v>201</v>
      </c>
      <c r="E74" s="5" t="s">
        <v>47</v>
      </c>
      <c r="F74" t="s">
        <v>75</v>
      </c>
      <c r="G74">
        <v>32.439273327223297</v>
      </c>
      <c r="H74">
        <v>34.878068554773698</v>
      </c>
      <c r="I74">
        <f t="shared" si="4"/>
        <v>2011</v>
      </c>
      <c r="J74">
        <f t="shared" si="5"/>
        <v>28</v>
      </c>
      <c r="K74" s="2">
        <v>40729</v>
      </c>
      <c r="L74" s="2" t="s">
        <v>23</v>
      </c>
      <c r="M74" t="s">
        <v>202</v>
      </c>
      <c r="N74" t="s">
        <v>203</v>
      </c>
      <c r="P74">
        <v>1</v>
      </c>
      <c r="R74">
        <f t="shared" si="6"/>
        <v>29</v>
      </c>
      <c r="S74">
        <f t="shared" si="7"/>
        <v>19</v>
      </c>
    </row>
    <row r="75" spans="1:19" x14ac:dyDescent="0.2">
      <c r="B75" t="s">
        <v>204</v>
      </c>
      <c r="C75" t="s">
        <v>195</v>
      </c>
      <c r="D75" t="s">
        <v>196</v>
      </c>
      <c r="E75" s="5" t="s">
        <v>47</v>
      </c>
      <c r="F75" t="s">
        <v>75</v>
      </c>
      <c r="G75">
        <v>32.439273327223297</v>
      </c>
      <c r="H75">
        <v>34.878068554773698</v>
      </c>
      <c r="I75">
        <f t="shared" si="4"/>
        <v>2011</v>
      </c>
      <c r="J75">
        <f t="shared" si="5"/>
        <v>28</v>
      </c>
      <c r="K75" s="2">
        <v>40729</v>
      </c>
      <c r="L75" s="2" t="s">
        <v>23</v>
      </c>
      <c r="M75" t="s">
        <v>205</v>
      </c>
      <c r="N75" t="s">
        <v>198</v>
      </c>
      <c r="P75">
        <v>1</v>
      </c>
      <c r="R75">
        <f t="shared" si="6"/>
        <v>29</v>
      </c>
      <c r="S75">
        <f t="shared" si="7"/>
        <v>19</v>
      </c>
    </row>
    <row r="76" spans="1:19" x14ac:dyDescent="0.2">
      <c r="B76" t="s">
        <v>206</v>
      </c>
      <c r="C76" t="s">
        <v>207</v>
      </c>
      <c r="D76" t="s">
        <v>208</v>
      </c>
      <c r="E76" s="5" t="s">
        <v>47</v>
      </c>
      <c r="F76" t="s">
        <v>75</v>
      </c>
      <c r="G76">
        <v>32.439273327223297</v>
      </c>
      <c r="H76">
        <v>34.878068554773698</v>
      </c>
      <c r="I76">
        <f t="shared" si="4"/>
        <v>2011</v>
      </c>
      <c r="J76">
        <f t="shared" si="5"/>
        <v>28</v>
      </c>
      <c r="K76" s="2">
        <v>40729</v>
      </c>
      <c r="L76" s="2" t="s">
        <v>23</v>
      </c>
      <c r="M76" t="s">
        <v>209</v>
      </c>
      <c r="N76" t="s">
        <v>210</v>
      </c>
      <c r="P76">
        <v>1</v>
      </c>
      <c r="R76">
        <f t="shared" si="6"/>
        <v>29</v>
      </c>
      <c r="S76">
        <f t="shared" si="7"/>
        <v>19</v>
      </c>
    </row>
    <row r="77" spans="1:19" x14ac:dyDescent="0.2">
      <c r="B77" t="s">
        <v>211</v>
      </c>
      <c r="C77" t="s">
        <v>195</v>
      </c>
      <c r="D77" t="s">
        <v>212</v>
      </c>
      <c r="E77" s="5" t="s">
        <v>47</v>
      </c>
      <c r="F77" t="s">
        <v>75</v>
      </c>
      <c r="G77">
        <v>32.439273327223297</v>
      </c>
      <c r="H77">
        <v>34.878068554773698</v>
      </c>
      <c r="I77">
        <f t="shared" si="4"/>
        <v>2011</v>
      </c>
      <c r="J77">
        <f t="shared" si="5"/>
        <v>28</v>
      </c>
      <c r="K77" s="2">
        <v>40729</v>
      </c>
      <c r="L77" s="2" t="s">
        <v>23</v>
      </c>
      <c r="M77" t="s">
        <v>213</v>
      </c>
      <c r="N77" t="s">
        <v>198</v>
      </c>
      <c r="P77">
        <v>1</v>
      </c>
      <c r="R77">
        <f t="shared" si="6"/>
        <v>29</v>
      </c>
      <c r="S77">
        <f t="shared" si="7"/>
        <v>19</v>
      </c>
    </row>
    <row r="78" spans="1:19" x14ac:dyDescent="0.2">
      <c r="B78" t="s">
        <v>214</v>
      </c>
      <c r="C78" t="s">
        <v>195</v>
      </c>
      <c r="D78" t="s">
        <v>212</v>
      </c>
      <c r="E78" s="5" t="s">
        <v>47</v>
      </c>
      <c r="F78" t="s">
        <v>75</v>
      </c>
      <c r="G78">
        <v>32.439273327223297</v>
      </c>
      <c r="H78">
        <v>34.878068554773698</v>
      </c>
      <c r="I78">
        <f t="shared" si="4"/>
        <v>2011</v>
      </c>
      <c r="J78">
        <f t="shared" si="5"/>
        <v>28</v>
      </c>
      <c r="K78" s="2">
        <v>40729</v>
      </c>
      <c r="L78" s="2" t="s">
        <v>23</v>
      </c>
      <c r="M78" t="s">
        <v>215</v>
      </c>
      <c r="N78" t="s">
        <v>198</v>
      </c>
      <c r="P78">
        <v>1</v>
      </c>
      <c r="R78">
        <f t="shared" si="6"/>
        <v>29</v>
      </c>
      <c r="S78">
        <f t="shared" si="7"/>
        <v>19</v>
      </c>
    </row>
    <row r="79" spans="1:19" x14ac:dyDescent="0.2">
      <c r="B79" t="s">
        <v>216</v>
      </c>
      <c r="C79" t="s">
        <v>195</v>
      </c>
      <c r="D79" t="s">
        <v>196</v>
      </c>
      <c r="E79" s="5" t="s">
        <v>47</v>
      </c>
      <c r="F79" t="s">
        <v>75</v>
      </c>
      <c r="G79">
        <v>32.439273327223297</v>
      </c>
      <c r="H79">
        <v>34.878068554773698</v>
      </c>
      <c r="I79">
        <f t="shared" si="4"/>
        <v>2011</v>
      </c>
      <c r="J79">
        <f t="shared" si="5"/>
        <v>28</v>
      </c>
      <c r="K79" s="2">
        <v>40729</v>
      </c>
      <c r="L79" s="2" t="s">
        <v>23</v>
      </c>
      <c r="M79" t="s">
        <v>217</v>
      </c>
      <c r="N79" t="s">
        <v>198</v>
      </c>
      <c r="P79">
        <v>1</v>
      </c>
      <c r="R79">
        <f t="shared" si="6"/>
        <v>29</v>
      </c>
      <c r="S79">
        <f t="shared" si="7"/>
        <v>19</v>
      </c>
    </row>
    <row r="80" spans="1:19" x14ac:dyDescent="0.2">
      <c r="A80" s="12">
        <v>234</v>
      </c>
      <c r="B80" s="12" t="s">
        <v>218</v>
      </c>
      <c r="C80" s="12" t="s">
        <v>131</v>
      </c>
      <c r="D80" s="13" t="s">
        <v>219</v>
      </c>
      <c r="E80" s="5" t="s">
        <v>47</v>
      </c>
      <c r="F80" s="12" t="s">
        <v>75</v>
      </c>
      <c r="G80">
        <v>32.439273327223297</v>
      </c>
      <c r="H80">
        <v>34.878068554773698</v>
      </c>
      <c r="I80">
        <f t="shared" si="4"/>
        <v>2011</v>
      </c>
      <c r="J80">
        <f t="shared" si="5"/>
        <v>28</v>
      </c>
      <c r="K80" s="14">
        <v>40729</v>
      </c>
      <c r="L80" s="2" t="s">
        <v>23</v>
      </c>
      <c r="M80" s="12" t="s">
        <v>220</v>
      </c>
      <c r="N80" s="12" t="s">
        <v>221</v>
      </c>
      <c r="P80">
        <v>1</v>
      </c>
      <c r="R80">
        <f t="shared" si="6"/>
        <v>29</v>
      </c>
      <c r="S80">
        <f t="shared" si="7"/>
        <v>19</v>
      </c>
    </row>
    <row r="81" spans="1:19" x14ac:dyDescent="0.2">
      <c r="A81" s="12">
        <v>463</v>
      </c>
      <c r="B81" s="12" t="s">
        <v>222</v>
      </c>
      <c r="C81" s="12" t="s">
        <v>223</v>
      </c>
      <c r="D81" s="13" t="s">
        <v>224</v>
      </c>
      <c r="E81" s="5" t="s">
        <v>47</v>
      </c>
      <c r="F81" s="12" t="s">
        <v>75</v>
      </c>
      <c r="G81">
        <v>32.439273327223297</v>
      </c>
      <c r="H81">
        <v>34.878068554773698</v>
      </c>
      <c r="I81">
        <f t="shared" si="4"/>
        <v>2011</v>
      </c>
      <c r="J81">
        <f t="shared" si="5"/>
        <v>28</v>
      </c>
      <c r="K81" s="14">
        <v>40730</v>
      </c>
      <c r="L81" s="2" t="s">
        <v>23</v>
      </c>
      <c r="M81" s="12" t="s">
        <v>225</v>
      </c>
      <c r="N81" s="12" t="s">
        <v>226</v>
      </c>
      <c r="P81">
        <v>1</v>
      </c>
      <c r="R81">
        <f t="shared" si="6"/>
        <v>29</v>
      </c>
      <c r="S81">
        <f t="shared" si="7"/>
        <v>19</v>
      </c>
    </row>
    <row r="82" spans="1:19" x14ac:dyDescent="0.2">
      <c r="A82" s="9"/>
      <c r="B82" s="9"/>
      <c r="C82" s="9" t="s">
        <v>227</v>
      </c>
      <c r="D82" s="10" t="s">
        <v>228</v>
      </c>
      <c r="E82" s="5" t="s">
        <v>47</v>
      </c>
      <c r="F82" s="9" t="s">
        <v>75</v>
      </c>
      <c r="G82">
        <v>32.439273327223297</v>
      </c>
      <c r="H82">
        <v>34.878068554773698</v>
      </c>
      <c r="I82">
        <f t="shared" si="4"/>
        <v>2011</v>
      </c>
      <c r="J82">
        <f t="shared" si="5"/>
        <v>28</v>
      </c>
      <c r="K82" s="11">
        <v>40730</v>
      </c>
      <c r="L82" s="2" t="s">
        <v>23</v>
      </c>
      <c r="M82" s="9"/>
      <c r="N82" s="9"/>
      <c r="P82">
        <v>1</v>
      </c>
      <c r="R82">
        <f t="shared" si="6"/>
        <v>29</v>
      </c>
      <c r="S82">
        <f t="shared" si="7"/>
        <v>19</v>
      </c>
    </row>
    <row r="83" spans="1:19" x14ac:dyDescent="0.2">
      <c r="A83" s="12"/>
      <c r="B83" s="12"/>
      <c r="C83" s="12" t="s">
        <v>229</v>
      </c>
      <c r="D83" s="13" t="s">
        <v>230</v>
      </c>
      <c r="E83" s="5" t="s">
        <v>47</v>
      </c>
      <c r="F83" s="12" t="s">
        <v>75</v>
      </c>
      <c r="G83">
        <v>32.439273327223297</v>
      </c>
      <c r="H83">
        <v>34.878068554773698</v>
      </c>
      <c r="I83">
        <f t="shared" si="4"/>
        <v>2011</v>
      </c>
      <c r="J83">
        <f t="shared" si="5"/>
        <v>28</v>
      </c>
      <c r="K83" s="14">
        <v>40730</v>
      </c>
      <c r="L83" s="2" t="s">
        <v>23</v>
      </c>
      <c r="M83" s="12"/>
      <c r="N83" s="12"/>
      <c r="P83">
        <v>1</v>
      </c>
      <c r="R83">
        <f t="shared" si="6"/>
        <v>29</v>
      </c>
      <c r="S83">
        <f t="shared" si="7"/>
        <v>19</v>
      </c>
    </row>
    <row r="84" spans="1:19" x14ac:dyDescent="0.2">
      <c r="A84" s="9">
        <v>67</v>
      </c>
      <c r="B84" s="9" t="s">
        <v>231</v>
      </c>
      <c r="C84" s="9" t="s">
        <v>232</v>
      </c>
      <c r="D84" s="10" t="s">
        <v>233</v>
      </c>
      <c r="E84" s="5" t="s">
        <v>47</v>
      </c>
      <c r="F84" s="9" t="s">
        <v>75</v>
      </c>
      <c r="G84">
        <v>32.439273327223297</v>
      </c>
      <c r="H84">
        <v>34.878068554773698</v>
      </c>
      <c r="I84">
        <f t="shared" si="4"/>
        <v>2011</v>
      </c>
      <c r="J84">
        <f t="shared" si="5"/>
        <v>28</v>
      </c>
      <c r="K84" s="11">
        <v>40730</v>
      </c>
      <c r="L84" s="2" t="s">
        <v>23</v>
      </c>
      <c r="M84" s="9" t="s">
        <v>234</v>
      </c>
      <c r="N84" s="9" t="s">
        <v>235</v>
      </c>
      <c r="P84">
        <v>1</v>
      </c>
      <c r="R84">
        <f t="shared" si="6"/>
        <v>29</v>
      </c>
      <c r="S84">
        <f t="shared" si="7"/>
        <v>19</v>
      </c>
    </row>
    <row r="85" spans="1:19" x14ac:dyDescent="0.2">
      <c r="A85">
        <v>25</v>
      </c>
      <c r="B85" t="s">
        <v>236</v>
      </c>
      <c r="C85" t="s">
        <v>237</v>
      </c>
      <c r="D85" t="s">
        <v>238</v>
      </c>
      <c r="E85" s="4" t="s">
        <v>21</v>
      </c>
      <c r="F85" t="s">
        <v>70</v>
      </c>
      <c r="G85">
        <v>32.002493003827801</v>
      </c>
      <c r="H85">
        <v>34.731694234364099</v>
      </c>
      <c r="I85">
        <f t="shared" si="4"/>
        <v>2011</v>
      </c>
      <c r="J85">
        <f t="shared" si="5"/>
        <v>28</v>
      </c>
      <c r="K85" s="2">
        <v>40731</v>
      </c>
      <c r="L85" s="2" t="s">
        <v>23</v>
      </c>
      <c r="M85" t="s">
        <v>239</v>
      </c>
      <c r="N85" t="s">
        <v>240</v>
      </c>
      <c r="P85">
        <v>1</v>
      </c>
      <c r="R85">
        <f t="shared" si="6"/>
        <v>29</v>
      </c>
      <c r="S85">
        <f t="shared" si="7"/>
        <v>4</v>
      </c>
    </row>
    <row r="86" spans="1:19" x14ac:dyDescent="0.2">
      <c r="A86">
        <v>25</v>
      </c>
      <c r="B86" t="s">
        <v>236</v>
      </c>
      <c r="C86" t="s">
        <v>237</v>
      </c>
      <c r="D86" t="s">
        <v>238</v>
      </c>
      <c r="F86" t="s">
        <v>241</v>
      </c>
      <c r="G86">
        <v>32.919146191970597</v>
      </c>
      <c r="H86">
        <v>35.079648455010798</v>
      </c>
      <c r="I86">
        <f t="shared" si="4"/>
        <v>2011</v>
      </c>
      <c r="J86">
        <f t="shared" si="5"/>
        <v>28</v>
      </c>
      <c r="K86" s="2">
        <v>40731</v>
      </c>
      <c r="L86" s="2" t="s">
        <v>23</v>
      </c>
      <c r="M86" t="s">
        <v>239</v>
      </c>
      <c r="N86" t="s">
        <v>240</v>
      </c>
      <c r="P86">
        <v>1</v>
      </c>
      <c r="R86">
        <f t="shared" si="6"/>
        <v>29</v>
      </c>
      <c r="S86">
        <f t="shared" si="7"/>
        <v>0</v>
      </c>
    </row>
    <row r="87" spans="1:19" x14ac:dyDescent="0.2">
      <c r="A87">
        <v>25</v>
      </c>
      <c r="B87" t="s">
        <v>236</v>
      </c>
      <c r="C87" t="s">
        <v>237</v>
      </c>
      <c r="D87" t="s">
        <v>238</v>
      </c>
      <c r="E87" s="4" t="s">
        <v>21</v>
      </c>
      <c r="F87" t="s">
        <v>64</v>
      </c>
      <c r="G87">
        <v>31.8169667122236</v>
      </c>
      <c r="H87">
        <v>34.639611775767101</v>
      </c>
      <c r="I87">
        <f t="shared" si="4"/>
        <v>2011</v>
      </c>
      <c r="J87">
        <f t="shared" si="5"/>
        <v>28</v>
      </c>
      <c r="K87" s="2">
        <v>40731</v>
      </c>
      <c r="L87" s="2" t="s">
        <v>23</v>
      </c>
      <c r="M87" t="s">
        <v>239</v>
      </c>
      <c r="N87" t="s">
        <v>240</v>
      </c>
      <c r="P87">
        <v>1</v>
      </c>
      <c r="R87">
        <f t="shared" si="6"/>
        <v>29</v>
      </c>
      <c r="S87">
        <f t="shared" si="7"/>
        <v>4</v>
      </c>
    </row>
    <row r="88" spans="1:19" x14ac:dyDescent="0.2">
      <c r="A88">
        <v>25</v>
      </c>
      <c r="B88" t="s">
        <v>236</v>
      </c>
      <c r="C88" t="s">
        <v>237</v>
      </c>
      <c r="D88" t="s">
        <v>238</v>
      </c>
      <c r="E88" s="4" t="s">
        <v>21</v>
      </c>
      <c r="F88" t="s">
        <v>22</v>
      </c>
      <c r="G88">
        <v>31.681438420965801</v>
      </c>
      <c r="H88">
        <v>34.554694789741902</v>
      </c>
      <c r="I88">
        <f t="shared" si="4"/>
        <v>2011</v>
      </c>
      <c r="J88">
        <f t="shared" si="5"/>
        <v>28</v>
      </c>
      <c r="K88" s="2">
        <v>40731</v>
      </c>
      <c r="L88" s="2" t="s">
        <v>23</v>
      </c>
      <c r="M88" t="s">
        <v>239</v>
      </c>
      <c r="N88" t="s">
        <v>240</v>
      </c>
      <c r="P88">
        <v>1</v>
      </c>
      <c r="R88">
        <f t="shared" si="6"/>
        <v>29</v>
      </c>
      <c r="S88">
        <f t="shared" si="7"/>
        <v>4</v>
      </c>
    </row>
    <row r="89" spans="1:19" x14ac:dyDescent="0.2">
      <c r="A89">
        <v>25</v>
      </c>
      <c r="B89" t="s">
        <v>236</v>
      </c>
      <c r="C89" t="s">
        <v>237</v>
      </c>
      <c r="D89" t="s">
        <v>238</v>
      </c>
      <c r="F89" t="s">
        <v>242</v>
      </c>
      <c r="G89">
        <v>32.023220011216303</v>
      </c>
      <c r="H89">
        <v>34.738647655010197</v>
      </c>
      <c r="I89">
        <f t="shared" si="4"/>
        <v>2011</v>
      </c>
      <c r="J89">
        <f t="shared" si="5"/>
        <v>28</v>
      </c>
      <c r="K89" s="2">
        <v>40731</v>
      </c>
      <c r="L89" s="2" t="s">
        <v>23</v>
      </c>
      <c r="M89" t="s">
        <v>239</v>
      </c>
      <c r="N89" t="s">
        <v>240</v>
      </c>
      <c r="P89">
        <v>1</v>
      </c>
      <c r="R89">
        <f t="shared" si="6"/>
        <v>29</v>
      </c>
      <c r="S89">
        <f t="shared" si="7"/>
        <v>0</v>
      </c>
    </row>
    <row r="90" spans="1:19" x14ac:dyDescent="0.2">
      <c r="A90">
        <v>25</v>
      </c>
      <c r="B90" t="s">
        <v>236</v>
      </c>
      <c r="C90" t="s">
        <v>237</v>
      </c>
      <c r="D90" t="s">
        <v>238</v>
      </c>
      <c r="E90" s="5" t="s">
        <v>47</v>
      </c>
      <c r="F90" t="s">
        <v>75</v>
      </c>
      <c r="G90">
        <v>32.439273327223297</v>
      </c>
      <c r="H90">
        <v>34.878068554773698</v>
      </c>
      <c r="I90">
        <f t="shared" si="4"/>
        <v>2011</v>
      </c>
      <c r="J90">
        <f t="shared" si="5"/>
        <v>28</v>
      </c>
      <c r="K90" s="2">
        <v>40731</v>
      </c>
      <c r="L90" s="2" t="s">
        <v>23</v>
      </c>
      <c r="M90" t="s">
        <v>239</v>
      </c>
      <c r="N90" t="s">
        <v>240</v>
      </c>
      <c r="P90">
        <v>1</v>
      </c>
      <c r="R90">
        <f t="shared" si="6"/>
        <v>29</v>
      </c>
      <c r="S90">
        <f t="shared" si="7"/>
        <v>19</v>
      </c>
    </row>
    <row r="91" spans="1:19" x14ac:dyDescent="0.2">
      <c r="A91">
        <v>25</v>
      </c>
      <c r="B91" t="s">
        <v>236</v>
      </c>
      <c r="C91" t="s">
        <v>237</v>
      </c>
      <c r="D91" t="s">
        <v>238</v>
      </c>
      <c r="F91" t="s">
        <v>30</v>
      </c>
      <c r="G91">
        <v>32.8371203553017</v>
      </c>
      <c r="H91">
        <v>34.9792189455856</v>
      </c>
      <c r="I91">
        <f t="shared" si="4"/>
        <v>2011</v>
      </c>
      <c r="J91">
        <f t="shared" si="5"/>
        <v>28</v>
      </c>
      <c r="K91" s="2">
        <v>40731</v>
      </c>
      <c r="L91" s="2" t="s">
        <v>23</v>
      </c>
      <c r="M91" t="s">
        <v>239</v>
      </c>
      <c r="N91" t="s">
        <v>240</v>
      </c>
      <c r="P91">
        <v>1</v>
      </c>
      <c r="R91">
        <f t="shared" si="6"/>
        <v>29</v>
      </c>
      <c r="S91">
        <f t="shared" si="7"/>
        <v>0</v>
      </c>
    </row>
    <row r="92" spans="1:19" x14ac:dyDescent="0.2">
      <c r="A92">
        <v>25</v>
      </c>
      <c r="B92" t="s">
        <v>236</v>
      </c>
      <c r="C92" t="s">
        <v>237</v>
      </c>
      <c r="D92" t="s">
        <v>238</v>
      </c>
      <c r="E92" s="5" t="s">
        <v>47</v>
      </c>
      <c r="F92" t="s">
        <v>243</v>
      </c>
      <c r="G92">
        <v>32.177466819907004</v>
      </c>
      <c r="H92">
        <v>34.801354466376203</v>
      </c>
      <c r="I92">
        <f t="shared" si="4"/>
        <v>2011</v>
      </c>
      <c r="J92">
        <f t="shared" si="5"/>
        <v>28</v>
      </c>
      <c r="K92" s="2">
        <v>40731</v>
      </c>
      <c r="L92" s="2" t="s">
        <v>23</v>
      </c>
      <c r="M92" t="s">
        <v>239</v>
      </c>
      <c r="N92" t="s">
        <v>240</v>
      </c>
      <c r="P92">
        <v>1</v>
      </c>
      <c r="R92">
        <f t="shared" si="6"/>
        <v>29</v>
      </c>
      <c r="S92">
        <f t="shared" si="7"/>
        <v>19</v>
      </c>
    </row>
    <row r="93" spans="1:19" x14ac:dyDescent="0.2">
      <c r="A93">
        <v>25</v>
      </c>
      <c r="B93" t="s">
        <v>236</v>
      </c>
      <c r="C93" t="s">
        <v>237</v>
      </c>
      <c r="D93" t="s">
        <v>238</v>
      </c>
      <c r="F93" t="s">
        <v>48</v>
      </c>
      <c r="G93">
        <v>32.305869740247999</v>
      </c>
      <c r="H93">
        <v>34.842875660039503</v>
      </c>
      <c r="I93">
        <f t="shared" si="4"/>
        <v>2011</v>
      </c>
      <c r="J93">
        <f t="shared" si="5"/>
        <v>28</v>
      </c>
      <c r="K93" s="2">
        <v>40731</v>
      </c>
      <c r="L93" s="2" t="s">
        <v>23</v>
      </c>
      <c r="M93" t="s">
        <v>239</v>
      </c>
      <c r="N93" t="s">
        <v>240</v>
      </c>
      <c r="P93">
        <v>1</v>
      </c>
      <c r="R93">
        <f t="shared" si="6"/>
        <v>29</v>
      </c>
      <c r="S93">
        <f t="shared" si="7"/>
        <v>0</v>
      </c>
    </row>
    <row r="94" spans="1:19" x14ac:dyDescent="0.2">
      <c r="A94">
        <v>25</v>
      </c>
      <c r="B94" t="s">
        <v>236</v>
      </c>
      <c r="C94" t="s">
        <v>237</v>
      </c>
      <c r="D94" t="s">
        <v>238</v>
      </c>
      <c r="E94" s="5" t="s">
        <v>73</v>
      </c>
      <c r="F94" t="s">
        <v>74</v>
      </c>
      <c r="G94">
        <v>32.093438590230903</v>
      </c>
      <c r="H94">
        <v>34.767717357132298</v>
      </c>
      <c r="I94">
        <f t="shared" si="4"/>
        <v>2011</v>
      </c>
      <c r="J94">
        <f t="shared" si="5"/>
        <v>28</v>
      </c>
      <c r="K94" s="2">
        <v>40731</v>
      </c>
      <c r="L94" s="2" t="s">
        <v>23</v>
      </c>
      <c r="M94" t="s">
        <v>239</v>
      </c>
      <c r="N94" t="s">
        <v>240</v>
      </c>
      <c r="P94">
        <v>1</v>
      </c>
      <c r="R94">
        <f t="shared" si="6"/>
        <v>29</v>
      </c>
      <c r="S94">
        <f t="shared" si="7"/>
        <v>1</v>
      </c>
    </row>
    <row r="95" spans="1:19" x14ac:dyDescent="0.2">
      <c r="A95" s="12">
        <v>274</v>
      </c>
      <c r="B95" s="12" t="s">
        <v>244</v>
      </c>
      <c r="C95" s="12" t="s">
        <v>245</v>
      </c>
      <c r="D95" s="13" t="s">
        <v>246</v>
      </c>
      <c r="E95" s="5" t="s">
        <v>47</v>
      </c>
      <c r="F95" s="12" t="s">
        <v>75</v>
      </c>
      <c r="G95" s="12"/>
      <c r="H95" s="12"/>
      <c r="I95">
        <f t="shared" si="4"/>
        <v>2011</v>
      </c>
      <c r="J95">
        <f t="shared" si="5"/>
        <v>28</v>
      </c>
      <c r="K95" s="14">
        <v>40732</v>
      </c>
      <c r="L95" s="2" t="s">
        <v>23</v>
      </c>
      <c r="M95" s="12" t="s">
        <v>247</v>
      </c>
      <c r="N95" s="12" t="s">
        <v>248</v>
      </c>
      <c r="P95">
        <v>1</v>
      </c>
      <c r="R95">
        <f t="shared" si="6"/>
        <v>29</v>
      </c>
      <c r="S95">
        <f t="shared" si="7"/>
        <v>19</v>
      </c>
    </row>
    <row r="96" spans="1:19" x14ac:dyDescent="0.2">
      <c r="A96" s="9"/>
      <c r="B96" s="9"/>
      <c r="C96" s="9" t="s">
        <v>249</v>
      </c>
      <c r="D96" s="10" t="s">
        <v>250</v>
      </c>
      <c r="E96" s="4" t="s">
        <v>21</v>
      </c>
      <c r="F96" s="9" t="s">
        <v>22</v>
      </c>
      <c r="G96" s="9"/>
      <c r="H96" s="9"/>
      <c r="I96">
        <f t="shared" si="4"/>
        <v>2011</v>
      </c>
      <c r="J96">
        <f t="shared" si="5"/>
        <v>28</v>
      </c>
      <c r="K96" s="15">
        <v>40732</v>
      </c>
      <c r="L96" s="2" t="s">
        <v>23</v>
      </c>
      <c r="M96" s="9"/>
      <c r="N96" s="9"/>
      <c r="P96">
        <v>1</v>
      </c>
      <c r="R96">
        <f t="shared" si="6"/>
        <v>29</v>
      </c>
      <c r="S96">
        <f t="shared" si="7"/>
        <v>4</v>
      </c>
    </row>
    <row r="97" spans="1:19" x14ac:dyDescent="0.2">
      <c r="A97" s="9">
        <v>191</v>
      </c>
      <c r="B97" s="9" t="s">
        <v>251</v>
      </c>
      <c r="C97" s="9" t="s">
        <v>252</v>
      </c>
      <c r="D97" s="9" t="s">
        <v>253</v>
      </c>
      <c r="E97" s="9"/>
      <c r="F97" s="9"/>
      <c r="I97">
        <f t="shared" si="4"/>
        <v>2011</v>
      </c>
      <c r="J97">
        <f t="shared" si="5"/>
        <v>28</v>
      </c>
      <c r="K97" s="16">
        <v>40732</v>
      </c>
      <c r="L97" s="2" t="s">
        <v>23</v>
      </c>
      <c r="M97" s="9" t="s">
        <v>254</v>
      </c>
      <c r="N97" s="9" t="s">
        <v>255</v>
      </c>
      <c r="P97">
        <v>1</v>
      </c>
      <c r="R97">
        <f t="shared" si="6"/>
        <v>29</v>
      </c>
      <c r="S97">
        <f t="shared" si="7"/>
        <v>0</v>
      </c>
    </row>
    <row r="98" spans="1:19" x14ac:dyDescent="0.2">
      <c r="A98" s="9">
        <v>397</v>
      </c>
      <c r="B98" s="9" t="s">
        <v>256</v>
      </c>
      <c r="C98" s="9" t="s">
        <v>257</v>
      </c>
      <c r="D98" s="9" t="s">
        <v>258</v>
      </c>
      <c r="E98" s="5" t="s">
        <v>47</v>
      </c>
      <c r="F98" s="9" t="s">
        <v>75</v>
      </c>
      <c r="I98">
        <f t="shared" si="4"/>
        <v>2011</v>
      </c>
      <c r="J98">
        <f t="shared" si="5"/>
        <v>28</v>
      </c>
      <c r="K98" s="16">
        <v>40732</v>
      </c>
      <c r="L98" s="2" t="s">
        <v>23</v>
      </c>
      <c r="M98" s="9" t="s">
        <v>259</v>
      </c>
      <c r="N98" s="9" t="s">
        <v>260</v>
      </c>
      <c r="P98">
        <v>1</v>
      </c>
      <c r="R98">
        <f t="shared" si="6"/>
        <v>29</v>
      </c>
      <c r="S98">
        <f t="shared" si="7"/>
        <v>19</v>
      </c>
    </row>
    <row r="99" spans="1:19" x14ac:dyDescent="0.2">
      <c r="B99" t="s">
        <v>261</v>
      </c>
      <c r="C99" t="s">
        <v>262</v>
      </c>
      <c r="D99" t="s">
        <v>263</v>
      </c>
      <c r="E99" s="5" t="s">
        <v>47</v>
      </c>
      <c r="F99" t="s">
        <v>75</v>
      </c>
      <c r="G99">
        <v>32.439273327223297</v>
      </c>
      <c r="H99">
        <v>34.878068554773698</v>
      </c>
      <c r="I99">
        <f t="shared" si="4"/>
        <v>2011</v>
      </c>
      <c r="J99">
        <f t="shared" si="5"/>
        <v>29</v>
      </c>
      <c r="K99" s="2">
        <v>40734</v>
      </c>
      <c r="L99" s="2" t="s">
        <v>23</v>
      </c>
      <c r="M99" t="s">
        <v>264</v>
      </c>
      <c r="N99" t="s">
        <v>265</v>
      </c>
      <c r="P99">
        <v>1</v>
      </c>
      <c r="R99">
        <f t="shared" si="6"/>
        <v>2</v>
      </c>
      <c r="S99">
        <f t="shared" si="7"/>
        <v>2</v>
      </c>
    </row>
    <row r="100" spans="1:19" x14ac:dyDescent="0.2">
      <c r="B100" t="s">
        <v>266</v>
      </c>
      <c r="C100" t="s">
        <v>267</v>
      </c>
      <c r="D100" t="s">
        <v>268</v>
      </c>
      <c r="E100" s="5" t="s">
        <v>47</v>
      </c>
      <c r="F100" t="s">
        <v>75</v>
      </c>
      <c r="G100">
        <v>32.439273327223297</v>
      </c>
      <c r="H100">
        <v>34.878068554773698</v>
      </c>
      <c r="I100">
        <f t="shared" si="4"/>
        <v>2011</v>
      </c>
      <c r="J100">
        <f t="shared" si="5"/>
        <v>29</v>
      </c>
      <c r="K100" s="2">
        <v>40736</v>
      </c>
      <c r="L100" s="2" t="s">
        <v>23</v>
      </c>
      <c r="M100" t="s">
        <v>269</v>
      </c>
      <c r="N100" t="s">
        <v>270</v>
      </c>
      <c r="P100">
        <v>1</v>
      </c>
      <c r="R100">
        <f t="shared" si="6"/>
        <v>2</v>
      </c>
      <c r="S100">
        <f t="shared" si="7"/>
        <v>2</v>
      </c>
    </row>
    <row r="101" spans="1:19" x14ac:dyDescent="0.2">
      <c r="A101" s="1">
        <v>417</v>
      </c>
      <c r="B101" t="s">
        <v>271</v>
      </c>
      <c r="C101" t="s">
        <v>272</v>
      </c>
      <c r="D101" t="s">
        <v>273</v>
      </c>
      <c r="F101" t="s">
        <v>30</v>
      </c>
      <c r="G101">
        <v>32.8371203553017</v>
      </c>
      <c r="H101">
        <v>34.9792189455856</v>
      </c>
      <c r="I101">
        <f t="shared" si="4"/>
        <v>2011</v>
      </c>
      <c r="J101">
        <f t="shared" si="5"/>
        <v>30</v>
      </c>
      <c r="K101" s="2">
        <v>40741</v>
      </c>
      <c r="L101" s="2" t="s">
        <v>23</v>
      </c>
      <c r="M101" t="s">
        <v>274</v>
      </c>
      <c r="N101" t="s">
        <v>275</v>
      </c>
      <c r="P101">
        <v>1</v>
      </c>
      <c r="R101">
        <f t="shared" si="6"/>
        <v>2</v>
      </c>
      <c r="S101">
        <f t="shared" si="7"/>
        <v>0</v>
      </c>
    </row>
    <row r="102" spans="1:19" x14ac:dyDescent="0.2">
      <c r="A102" s="12">
        <v>35</v>
      </c>
      <c r="B102" s="12" t="s">
        <v>276</v>
      </c>
      <c r="C102" s="12" t="s">
        <v>277</v>
      </c>
      <c r="D102" s="12" t="s">
        <v>278</v>
      </c>
      <c r="E102" s="5" t="s">
        <v>47</v>
      </c>
      <c r="F102" s="12" t="s">
        <v>75</v>
      </c>
      <c r="I102">
        <f t="shared" si="4"/>
        <v>2011</v>
      </c>
      <c r="J102">
        <f t="shared" si="5"/>
        <v>30</v>
      </c>
      <c r="K102" s="17">
        <v>40742</v>
      </c>
      <c r="L102" s="2" t="s">
        <v>23</v>
      </c>
      <c r="M102" s="12" t="s">
        <v>279</v>
      </c>
      <c r="N102" s="12" t="s">
        <v>280</v>
      </c>
      <c r="P102">
        <v>1</v>
      </c>
      <c r="R102">
        <f t="shared" si="6"/>
        <v>2</v>
      </c>
      <c r="S102">
        <f t="shared" si="7"/>
        <v>1</v>
      </c>
    </row>
    <row r="103" spans="1:19" x14ac:dyDescent="0.2">
      <c r="B103" t="s">
        <v>281</v>
      </c>
      <c r="C103" t="s">
        <v>282</v>
      </c>
      <c r="D103" t="s">
        <v>283</v>
      </c>
      <c r="E103" s="5" t="s">
        <v>47</v>
      </c>
      <c r="F103" t="s">
        <v>75</v>
      </c>
      <c r="G103">
        <v>32.439273327223297</v>
      </c>
      <c r="H103">
        <v>34.878068554773698</v>
      </c>
      <c r="I103">
        <f t="shared" si="4"/>
        <v>2011</v>
      </c>
      <c r="J103">
        <f t="shared" si="5"/>
        <v>31</v>
      </c>
      <c r="K103" s="2">
        <v>40748</v>
      </c>
      <c r="L103" s="2" t="s">
        <v>23</v>
      </c>
      <c r="M103" t="s">
        <v>284</v>
      </c>
      <c r="N103" t="s">
        <v>285</v>
      </c>
      <c r="P103">
        <v>1</v>
      </c>
      <c r="R103">
        <f t="shared" si="6"/>
        <v>3</v>
      </c>
      <c r="S103">
        <f t="shared" si="7"/>
        <v>2</v>
      </c>
    </row>
    <row r="104" spans="1:19" x14ac:dyDescent="0.2">
      <c r="B104" t="s">
        <v>194</v>
      </c>
      <c r="C104" t="s">
        <v>195</v>
      </c>
      <c r="D104" t="s">
        <v>196</v>
      </c>
      <c r="E104" s="5" t="s">
        <v>47</v>
      </c>
      <c r="F104" t="s">
        <v>75</v>
      </c>
      <c r="G104">
        <v>32.439273327223297</v>
      </c>
      <c r="H104">
        <v>34.878068554773698</v>
      </c>
      <c r="I104">
        <f t="shared" si="4"/>
        <v>2011</v>
      </c>
      <c r="J104">
        <f t="shared" si="5"/>
        <v>31</v>
      </c>
      <c r="K104" s="2">
        <v>40748</v>
      </c>
      <c r="L104" s="2" t="s">
        <v>23</v>
      </c>
      <c r="M104" t="s">
        <v>197</v>
      </c>
      <c r="N104" t="s">
        <v>198</v>
      </c>
      <c r="P104">
        <v>1</v>
      </c>
      <c r="R104">
        <f t="shared" si="6"/>
        <v>3</v>
      </c>
      <c r="S104">
        <f t="shared" si="7"/>
        <v>2</v>
      </c>
    </row>
    <row r="105" spans="1:19" x14ac:dyDescent="0.2">
      <c r="A105">
        <v>222</v>
      </c>
      <c r="B105" t="s">
        <v>286</v>
      </c>
      <c r="C105" t="s">
        <v>287</v>
      </c>
      <c r="D105" t="s">
        <v>288</v>
      </c>
      <c r="E105" s="4" t="s">
        <v>21</v>
      </c>
      <c r="F105" t="s">
        <v>289</v>
      </c>
      <c r="G105">
        <v>31.747844438855601</v>
      </c>
      <c r="H105">
        <v>34.600276866445398</v>
      </c>
      <c r="I105">
        <f t="shared" si="4"/>
        <v>2011</v>
      </c>
      <c r="J105">
        <f t="shared" si="5"/>
        <v>31</v>
      </c>
      <c r="K105" s="2">
        <v>40753</v>
      </c>
      <c r="L105" s="2" t="s">
        <v>23</v>
      </c>
      <c r="M105" t="s">
        <v>290</v>
      </c>
      <c r="N105" t="s">
        <v>291</v>
      </c>
      <c r="P105">
        <v>1</v>
      </c>
      <c r="R105">
        <f t="shared" si="6"/>
        <v>3</v>
      </c>
      <c r="S105">
        <f t="shared" si="7"/>
        <v>1</v>
      </c>
    </row>
    <row r="106" spans="1:19" x14ac:dyDescent="0.2">
      <c r="A106" s="12">
        <v>139</v>
      </c>
      <c r="B106" s="12" t="s">
        <v>292</v>
      </c>
      <c r="C106" s="12" t="s">
        <v>293</v>
      </c>
      <c r="D106" s="13" t="s">
        <v>294</v>
      </c>
      <c r="E106" s="13"/>
      <c r="F106" s="12"/>
      <c r="G106" s="12"/>
      <c r="H106" s="12"/>
      <c r="I106">
        <f t="shared" si="4"/>
        <v>2011</v>
      </c>
      <c r="J106">
        <f t="shared" si="5"/>
        <v>46</v>
      </c>
      <c r="K106" s="14">
        <v>40856</v>
      </c>
      <c r="L106" s="2" t="s">
        <v>23</v>
      </c>
      <c r="M106" s="12" t="s">
        <v>295</v>
      </c>
      <c r="N106" s="12" t="s">
        <v>296</v>
      </c>
      <c r="P106">
        <v>1</v>
      </c>
      <c r="R106">
        <f t="shared" si="6"/>
        <v>1</v>
      </c>
      <c r="S106">
        <f t="shared" si="7"/>
        <v>0</v>
      </c>
    </row>
    <row r="107" spans="1:19" x14ac:dyDescent="0.2">
      <c r="A107" t="s">
        <v>297</v>
      </c>
      <c r="B107" t="s">
        <v>298</v>
      </c>
      <c r="C107" t="s">
        <v>299</v>
      </c>
      <c r="D107" t="s">
        <v>300</v>
      </c>
      <c r="I107">
        <f t="shared" si="4"/>
        <v>2012</v>
      </c>
      <c r="J107">
        <f t="shared" si="5"/>
        <v>19</v>
      </c>
      <c r="K107" s="2">
        <v>41036</v>
      </c>
      <c r="L107" s="2" t="s">
        <v>23</v>
      </c>
      <c r="M107" t="s">
        <v>301</v>
      </c>
      <c r="N107" t="s">
        <v>302</v>
      </c>
      <c r="P107">
        <v>1</v>
      </c>
      <c r="R107">
        <f t="shared" si="6"/>
        <v>1</v>
      </c>
      <c r="S107">
        <f t="shared" si="7"/>
        <v>0</v>
      </c>
    </row>
    <row r="108" spans="1:19" x14ac:dyDescent="0.2">
      <c r="A108">
        <v>136</v>
      </c>
      <c r="B108" t="s">
        <v>303</v>
      </c>
      <c r="C108" t="s">
        <v>304</v>
      </c>
      <c r="D108" t="s">
        <v>305</v>
      </c>
      <c r="F108" t="s">
        <v>30</v>
      </c>
      <c r="G108">
        <v>32.8371203553017</v>
      </c>
      <c r="H108">
        <v>34.9792189455856</v>
      </c>
      <c r="I108">
        <f t="shared" si="4"/>
        <v>2012</v>
      </c>
      <c r="J108">
        <f t="shared" si="5"/>
        <v>23</v>
      </c>
      <c r="K108" s="2">
        <v>41066</v>
      </c>
      <c r="L108" s="2" t="s">
        <v>23</v>
      </c>
      <c r="M108" t="s">
        <v>306</v>
      </c>
      <c r="N108" t="s">
        <v>307</v>
      </c>
      <c r="P108">
        <v>1</v>
      </c>
      <c r="R108">
        <f t="shared" si="6"/>
        <v>1</v>
      </c>
      <c r="S108">
        <f t="shared" si="7"/>
        <v>0</v>
      </c>
    </row>
    <row r="109" spans="1:19" x14ac:dyDescent="0.2">
      <c r="A109">
        <v>153</v>
      </c>
      <c r="B109" t="s">
        <v>308</v>
      </c>
      <c r="C109" t="s">
        <v>309</v>
      </c>
      <c r="D109" t="s">
        <v>310</v>
      </c>
      <c r="E109" s="5" t="s">
        <v>47</v>
      </c>
      <c r="F109" t="s">
        <v>311</v>
      </c>
      <c r="G109">
        <v>32.407273907970499</v>
      </c>
      <c r="H109">
        <v>34.867624243272601</v>
      </c>
      <c r="I109">
        <f t="shared" si="4"/>
        <v>2012</v>
      </c>
      <c r="J109">
        <f t="shared" si="5"/>
        <v>26</v>
      </c>
      <c r="K109" s="2">
        <v>41088</v>
      </c>
      <c r="L109" s="2" t="s">
        <v>23</v>
      </c>
      <c r="M109" t="s">
        <v>312</v>
      </c>
      <c r="N109" t="s">
        <v>313</v>
      </c>
      <c r="P109">
        <v>1</v>
      </c>
      <c r="R109">
        <f t="shared" si="6"/>
        <v>4</v>
      </c>
      <c r="S109">
        <f t="shared" si="7"/>
        <v>1</v>
      </c>
    </row>
    <row r="110" spans="1:19" x14ac:dyDescent="0.2">
      <c r="A110">
        <v>358</v>
      </c>
      <c r="B110" t="s">
        <v>82</v>
      </c>
      <c r="C110" t="s">
        <v>40</v>
      </c>
      <c r="D110" t="s">
        <v>314</v>
      </c>
      <c r="E110" s="4" t="s">
        <v>21</v>
      </c>
      <c r="F110" t="s">
        <v>22</v>
      </c>
      <c r="G110">
        <v>31.681438420965801</v>
      </c>
      <c r="H110">
        <v>34.554694789741902</v>
      </c>
      <c r="I110">
        <f t="shared" si="4"/>
        <v>2012</v>
      </c>
      <c r="J110">
        <f t="shared" si="5"/>
        <v>26</v>
      </c>
      <c r="K110" s="2">
        <v>41089</v>
      </c>
      <c r="L110" s="2" t="s">
        <v>23</v>
      </c>
      <c r="M110" t="s">
        <v>84</v>
      </c>
      <c r="N110" t="s">
        <v>315</v>
      </c>
      <c r="P110">
        <v>1</v>
      </c>
      <c r="R110">
        <f t="shared" si="6"/>
        <v>4</v>
      </c>
      <c r="S110">
        <f t="shared" si="7"/>
        <v>2</v>
      </c>
    </row>
    <row r="111" spans="1:19" x14ac:dyDescent="0.2">
      <c r="A111">
        <v>75</v>
      </c>
      <c r="B111" t="s">
        <v>316</v>
      </c>
      <c r="C111" t="s">
        <v>68</v>
      </c>
      <c r="D111" t="s">
        <v>317</v>
      </c>
      <c r="E111" s="4" t="s">
        <v>21</v>
      </c>
      <c r="F111" t="s">
        <v>289</v>
      </c>
      <c r="G111">
        <v>31.747844438855601</v>
      </c>
      <c r="H111">
        <v>34.600276866445398</v>
      </c>
      <c r="I111">
        <f t="shared" si="4"/>
        <v>2012</v>
      </c>
      <c r="J111">
        <f t="shared" si="5"/>
        <v>26</v>
      </c>
      <c r="K111" s="2">
        <v>41089</v>
      </c>
      <c r="L111" s="2" t="s">
        <v>23</v>
      </c>
      <c r="M111" t="s">
        <v>318</v>
      </c>
      <c r="N111" t="s">
        <v>319</v>
      </c>
      <c r="P111">
        <v>1</v>
      </c>
      <c r="R111">
        <f t="shared" si="6"/>
        <v>4</v>
      </c>
      <c r="S111">
        <f t="shared" si="7"/>
        <v>2</v>
      </c>
    </row>
    <row r="112" spans="1:19" x14ac:dyDescent="0.2">
      <c r="A112" s="12">
        <v>481</v>
      </c>
      <c r="B112" s="12" t="s">
        <v>320</v>
      </c>
      <c r="C112" s="12" t="s">
        <v>321</v>
      </c>
      <c r="D112" s="13" t="s">
        <v>322</v>
      </c>
      <c r="E112" s="13"/>
      <c r="F112" s="12"/>
      <c r="G112" s="12"/>
      <c r="H112" s="12"/>
      <c r="I112">
        <f t="shared" si="4"/>
        <v>2012</v>
      </c>
      <c r="J112">
        <f t="shared" si="5"/>
        <v>26</v>
      </c>
      <c r="K112" s="14">
        <v>41089</v>
      </c>
      <c r="L112" s="2" t="s">
        <v>23</v>
      </c>
      <c r="M112" s="12" t="s">
        <v>323</v>
      </c>
      <c r="N112" s="12" t="s">
        <v>324</v>
      </c>
      <c r="P112">
        <v>1</v>
      </c>
      <c r="R112">
        <f t="shared" si="6"/>
        <v>4</v>
      </c>
      <c r="S112">
        <f t="shared" si="7"/>
        <v>0</v>
      </c>
    </row>
    <row r="113" spans="1:19" x14ac:dyDescent="0.2">
      <c r="A113" s="1">
        <v>465</v>
      </c>
      <c r="B113" t="s">
        <v>325</v>
      </c>
      <c r="C113" t="s">
        <v>326</v>
      </c>
      <c r="D113" t="s">
        <v>327</v>
      </c>
      <c r="E113" s="5" t="s">
        <v>47</v>
      </c>
      <c r="F113" t="s">
        <v>75</v>
      </c>
      <c r="G113">
        <v>32.439273327223297</v>
      </c>
      <c r="H113">
        <v>34.878068554773698</v>
      </c>
      <c r="I113">
        <f t="shared" si="4"/>
        <v>2012</v>
      </c>
      <c r="J113">
        <f t="shared" si="5"/>
        <v>27</v>
      </c>
      <c r="K113" s="2">
        <v>41091</v>
      </c>
      <c r="L113" s="2" t="s">
        <v>23</v>
      </c>
      <c r="M113" t="s">
        <v>328</v>
      </c>
      <c r="N113" t="s">
        <v>329</v>
      </c>
      <c r="P113">
        <v>1</v>
      </c>
      <c r="R113">
        <f t="shared" si="6"/>
        <v>8</v>
      </c>
      <c r="S113">
        <f t="shared" si="7"/>
        <v>3</v>
      </c>
    </row>
    <row r="114" spans="1:19" x14ac:dyDescent="0.2">
      <c r="A114" s="1">
        <v>465</v>
      </c>
      <c r="B114" t="s">
        <v>325</v>
      </c>
      <c r="C114" t="s">
        <v>326</v>
      </c>
      <c r="D114" t="s">
        <v>327</v>
      </c>
      <c r="E114" s="5" t="s">
        <v>47</v>
      </c>
      <c r="F114" t="s">
        <v>311</v>
      </c>
      <c r="G114">
        <v>32.407273907970499</v>
      </c>
      <c r="H114">
        <v>34.867624243272601</v>
      </c>
      <c r="I114">
        <f t="shared" si="4"/>
        <v>2012</v>
      </c>
      <c r="J114">
        <f t="shared" si="5"/>
        <v>27</v>
      </c>
      <c r="K114" s="2">
        <v>41091</v>
      </c>
      <c r="L114" s="2" t="s">
        <v>23</v>
      </c>
      <c r="M114" t="s">
        <v>328</v>
      </c>
      <c r="N114" t="s">
        <v>329</v>
      </c>
      <c r="P114">
        <v>1</v>
      </c>
      <c r="R114">
        <f t="shared" si="6"/>
        <v>8</v>
      </c>
      <c r="S114">
        <f t="shared" si="7"/>
        <v>3</v>
      </c>
    </row>
    <row r="115" spans="1:19" x14ac:dyDescent="0.2">
      <c r="A115" s="1">
        <v>465</v>
      </c>
      <c r="B115" t="s">
        <v>325</v>
      </c>
      <c r="C115" t="s">
        <v>326</v>
      </c>
      <c r="D115" t="s">
        <v>327</v>
      </c>
      <c r="F115" t="s">
        <v>48</v>
      </c>
      <c r="G115">
        <v>32.305869740247999</v>
      </c>
      <c r="H115">
        <v>34.842875660039503</v>
      </c>
      <c r="I115">
        <f t="shared" si="4"/>
        <v>2012</v>
      </c>
      <c r="J115">
        <f t="shared" si="5"/>
        <v>27</v>
      </c>
      <c r="K115" s="2">
        <v>41091</v>
      </c>
      <c r="L115" s="2" t="s">
        <v>23</v>
      </c>
      <c r="M115" t="s">
        <v>328</v>
      </c>
      <c r="N115" t="s">
        <v>329</v>
      </c>
      <c r="P115">
        <v>1</v>
      </c>
      <c r="R115">
        <f t="shared" si="6"/>
        <v>8</v>
      </c>
      <c r="S115">
        <f t="shared" si="7"/>
        <v>0</v>
      </c>
    </row>
    <row r="116" spans="1:19" x14ac:dyDescent="0.2">
      <c r="A116" s="9">
        <v>91</v>
      </c>
      <c r="B116" s="9" t="s">
        <v>330</v>
      </c>
      <c r="C116" s="9" t="s">
        <v>331</v>
      </c>
      <c r="D116" s="10" t="s">
        <v>332</v>
      </c>
      <c r="E116" s="4" t="s">
        <v>21</v>
      </c>
      <c r="F116" s="9" t="s">
        <v>101</v>
      </c>
      <c r="G116" s="9"/>
      <c r="H116" s="9"/>
      <c r="I116">
        <f t="shared" si="4"/>
        <v>2012</v>
      </c>
      <c r="J116">
        <f t="shared" si="5"/>
        <v>27</v>
      </c>
      <c r="K116" s="11">
        <v>41093</v>
      </c>
      <c r="L116" s="2" t="s">
        <v>23</v>
      </c>
      <c r="M116" s="9" t="s">
        <v>333</v>
      </c>
      <c r="N116" s="9" t="s">
        <v>334</v>
      </c>
      <c r="P116">
        <v>1</v>
      </c>
      <c r="R116">
        <f t="shared" si="6"/>
        <v>8</v>
      </c>
      <c r="S116">
        <f t="shared" si="7"/>
        <v>1</v>
      </c>
    </row>
    <row r="117" spans="1:19" x14ac:dyDescent="0.2">
      <c r="A117" s="9">
        <v>91</v>
      </c>
      <c r="B117" s="9" t="s">
        <v>330</v>
      </c>
      <c r="C117" s="9" t="s">
        <v>331</v>
      </c>
      <c r="D117" s="10" t="s">
        <v>332</v>
      </c>
      <c r="E117" s="5" t="s">
        <v>73</v>
      </c>
      <c r="F117" s="9" t="s">
        <v>101</v>
      </c>
      <c r="G117" s="9"/>
      <c r="H117" s="9"/>
      <c r="I117">
        <f t="shared" si="4"/>
        <v>2012</v>
      </c>
      <c r="J117">
        <f t="shared" si="5"/>
        <v>27</v>
      </c>
      <c r="K117" s="11">
        <v>41093</v>
      </c>
      <c r="L117" s="2" t="s">
        <v>23</v>
      </c>
      <c r="M117" s="9" t="s">
        <v>333</v>
      </c>
      <c r="N117" s="9" t="s">
        <v>334</v>
      </c>
      <c r="P117">
        <v>1</v>
      </c>
      <c r="R117">
        <f t="shared" si="6"/>
        <v>8</v>
      </c>
      <c r="S117">
        <f t="shared" si="7"/>
        <v>1</v>
      </c>
    </row>
    <row r="118" spans="1:19" x14ac:dyDescent="0.2">
      <c r="A118" s="9">
        <v>91</v>
      </c>
      <c r="B118" s="9" t="s">
        <v>330</v>
      </c>
      <c r="C118" s="9" t="s">
        <v>331</v>
      </c>
      <c r="D118" s="10" t="s">
        <v>332</v>
      </c>
      <c r="E118" s="5" t="s">
        <v>100</v>
      </c>
      <c r="F118" s="9" t="s">
        <v>101</v>
      </c>
      <c r="G118" s="9"/>
      <c r="H118" s="9"/>
      <c r="I118">
        <f t="shared" si="4"/>
        <v>2012</v>
      </c>
      <c r="J118">
        <f t="shared" si="5"/>
        <v>27</v>
      </c>
      <c r="K118" s="11">
        <v>41093</v>
      </c>
      <c r="L118" s="2" t="s">
        <v>23</v>
      </c>
      <c r="M118" s="9" t="s">
        <v>333</v>
      </c>
      <c r="N118" s="9" t="s">
        <v>334</v>
      </c>
      <c r="P118">
        <v>1</v>
      </c>
      <c r="R118">
        <f t="shared" si="6"/>
        <v>8</v>
      </c>
      <c r="S118">
        <f t="shared" si="7"/>
        <v>1</v>
      </c>
    </row>
    <row r="119" spans="1:19" x14ac:dyDescent="0.2">
      <c r="A119" s="9">
        <v>91</v>
      </c>
      <c r="B119" s="9" t="s">
        <v>330</v>
      </c>
      <c r="C119" s="9" t="s">
        <v>331</v>
      </c>
      <c r="D119" s="10" t="s">
        <v>332</v>
      </c>
      <c r="E119" s="5" t="s">
        <v>47</v>
      </c>
      <c r="F119" s="9" t="s">
        <v>101</v>
      </c>
      <c r="G119" s="9"/>
      <c r="H119" s="9"/>
      <c r="I119">
        <f t="shared" si="4"/>
        <v>2012</v>
      </c>
      <c r="J119">
        <f t="shared" si="5"/>
        <v>27</v>
      </c>
      <c r="K119" s="11">
        <v>41093</v>
      </c>
      <c r="L119" s="2" t="s">
        <v>23</v>
      </c>
      <c r="M119" s="9" t="s">
        <v>333</v>
      </c>
      <c r="N119" s="9" t="s">
        <v>334</v>
      </c>
      <c r="P119">
        <v>1</v>
      </c>
      <c r="R119">
        <f t="shared" si="6"/>
        <v>8</v>
      </c>
      <c r="S119">
        <f t="shared" si="7"/>
        <v>3</v>
      </c>
    </row>
    <row r="120" spans="1:19" x14ac:dyDescent="0.2">
      <c r="A120">
        <v>135</v>
      </c>
      <c r="B120" t="s">
        <v>335</v>
      </c>
      <c r="C120" t="s">
        <v>336</v>
      </c>
      <c r="D120" t="s">
        <v>337</v>
      </c>
      <c r="F120" t="s">
        <v>78</v>
      </c>
      <c r="G120">
        <v>32.849166010823502</v>
      </c>
      <c r="H120">
        <v>35.061617587657501</v>
      </c>
      <c r="I120">
        <f t="shared" si="4"/>
        <v>2012</v>
      </c>
      <c r="J120">
        <f t="shared" si="5"/>
        <v>27</v>
      </c>
      <c r="K120" s="2">
        <v>41095</v>
      </c>
      <c r="L120" s="2" t="s">
        <v>23</v>
      </c>
      <c r="M120" t="s">
        <v>338</v>
      </c>
      <c r="N120" t="s">
        <v>339</v>
      </c>
      <c r="P120">
        <v>1</v>
      </c>
      <c r="R120">
        <f t="shared" si="6"/>
        <v>8</v>
      </c>
      <c r="S120">
        <f t="shared" si="7"/>
        <v>0</v>
      </c>
    </row>
    <row r="121" spans="1:19" x14ac:dyDescent="0.2">
      <c r="A121" s="12">
        <v>415</v>
      </c>
      <c r="B121" s="12" t="s">
        <v>340</v>
      </c>
      <c r="C121" s="12" t="s">
        <v>341</v>
      </c>
      <c r="D121" s="13" t="s">
        <v>342</v>
      </c>
      <c r="E121" s="4" t="s">
        <v>21</v>
      </c>
      <c r="F121" s="12" t="s">
        <v>22</v>
      </c>
      <c r="G121" s="12"/>
      <c r="H121" s="12"/>
      <c r="I121">
        <f t="shared" si="4"/>
        <v>2012</v>
      </c>
      <c r="J121">
        <f t="shared" si="5"/>
        <v>28</v>
      </c>
      <c r="K121" s="14">
        <v>41102</v>
      </c>
      <c r="L121" s="2" t="s">
        <v>23</v>
      </c>
      <c r="M121" s="12" t="s">
        <v>343</v>
      </c>
      <c r="N121" s="12" t="s">
        <v>344</v>
      </c>
      <c r="P121">
        <v>1</v>
      </c>
      <c r="R121">
        <f t="shared" si="6"/>
        <v>4</v>
      </c>
      <c r="S121">
        <f t="shared" si="7"/>
        <v>3</v>
      </c>
    </row>
    <row r="122" spans="1:19" x14ac:dyDescent="0.2">
      <c r="A122" s="9">
        <v>194</v>
      </c>
      <c r="B122" s="9" t="s">
        <v>345</v>
      </c>
      <c r="C122" s="9" t="s">
        <v>346</v>
      </c>
      <c r="D122" s="10" t="s">
        <v>347</v>
      </c>
      <c r="E122" s="10"/>
      <c r="F122" s="9"/>
      <c r="G122" s="9"/>
      <c r="H122" s="9"/>
      <c r="I122">
        <f t="shared" si="4"/>
        <v>2012</v>
      </c>
      <c r="J122">
        <f t="shared" si="5"/>
        <v>28</v>
      </c>
      <c r="K122" s="11">
        <v>41103</v>
      </c>
      <c r="L122" s="2" t="s">
        <v>23</v>
      </c>
      <c r="M122" s="9" t="s">
        <v>348</v>
      </c>
      <c r="N122" s="9" t="s">
        <v>349</v>
      </c>
      <c r="P122">
        <v>1</v>
      </c>
      <c r="R122">
        <f t="shared" si="6"/>
        <v>4</v>
      </c>
      <c r="S122">
        <f t="shared" si="7"/>
        <v>0</v>
      </c>
    </row>
    <row r="123" spans="1:19" x14ac:dyDescent="0.2">
      <c r="A123">
        <v>16</v>
      </c>
      <c r="B123" t="s">
        <v>350</v>
      </c>
      <c r="C123" t="s">
        <v>237</v>
      </c>
      <c r="D123" t="s">
        <v>351</v>
      </c>
      <c r="E123" s="4" t="s">
        <v>21</v>
      </c>
      <c r="F123" t="s">
        <v>70</v>
      </c>
      <c r="G123">
        <v>32.002493003827801</v>
      </c>
      <c r="H123">
        <v>34.731694234364099</v>
      </c>
      <c r="I123">
        <f t="shared" si="4"/>
        <v>2012</v>
      </c>
      <c r="J123">
        <f t="shared" si="5"/>
        <v>28</v>
      </c>
      <c r="K123" s="2">
        <v>41104</v>
      </c>
      <c r="L123" s="2" t="s">
        <v>23</v>
      </c>
      <c r="M123" t="s">
        <v>352</v>
      </c>
      <c r="N123" t="s">
        <v>353</v>
      </c>
      <c r="P123">
        <v>1</v>
      </c>
      <c r="R123">
        <f t="shared" si="6"/>
        <v>4</v>
      </c>
      <c r="S123">
        <f t="shared" si="7"/>
        <v>3</v>
      </c>
    </row>
    <row r="124" spans="1:19" x14ac:dyDescent="0.2">
      <c r="B124" t="s">
        <v>354</v>
      </c>
      <c r="C124" t="s">
        <v>355</v>
      </c>
      <c r="D124" t="s">
        <v>356</v>
      </c>
      <c r="E124" s="4" t="s">
        <v>21</v>
      </c>
      <c r="F124" t="s">
        <v>70</v>
      </c>
      <c r="G124">
        <v>32.002493003827801</v>
      </c>
      <c r="H124">
        <v>34.731694234364099</v>
      </c>
      <c r="I124">
        <f t="shared" si="4"/>
        <v>2012</v>
      </c>
      <c r="J124">
        <f t="shared" si="5"/>
        <v>28</v>
      </c>
      <c r="K124" s="2">
        <v>41104</v>
      </c>
      <c r="L124" s="2" t="s">
        <v>23</v>
      </c>
      <c r="M124" t="s">
        <v>357</v>
      </c>
      <c r="N124" t="s">
        <v>358</v>
      </c>
      <c r="P124">
        <v>1</v>
      </c>
      <c r="R124">
        <f t="shared" si="6"/>
        <v>4</v>
      </c>
      <c r="S124">
        <f t="shared" si="7"/>
        <v>3</v>
      </c>
    </row>
    <row r="125" spans="1:19" x14ac:dyDescent="0.2">
      <c r="A125"/>
      <c r="B125" t="s">
        <v>359</v>
      </c>
      <c r="C125" t="s">
        <v>360</v>
      </c>
      <c r="D125" t="s">
        <v>361</v>
      </c>
      <c r="I125">
        <f t="shared" si="4"/>
        <v>2012</v>
      </c>
      <c r="J125">
        <f t="shared" si="5"/>
        <v>29</v>
      </c>
      <c r="K125" s="2">
        <v>41107</v>
      </c>
      <c r="L125" s="2" t="s">
        <v>23</v>
      </c>
      <c r="M125" t="s">
        <v>362</v>
      </c>
      <c r="N125" t="s">
        <v>363</v>
      </c>
      <c r="P125">
        <v>1</v>
      </c>
      <c r="R125">
        <f t="shared" si="6"/>
        <v>1</v>
      </c>
      <c r="S125">
        <f t="shared" si="7"/>
        <v>0</v>
      </c>
    </row>
    <row r="126" spans="1:19" x14ac:dyDescent="0.2">
      <c r="A126" t="s">
        <v>364</v>
      </c>
      <c r="B126" t="s">
        <v>365</v>
      </c>
      <c r="C126" t="s">
        <v>170</v>
      </c>
      <c r="D126" t="s">
        <v>366</v>
      </c>
      <c r="I126">
        <f t="shared" si="4"/>
        <v>2012</v>
      </c>
      <c r="J126">
        <f t="shared" si="5"/>
        <v>34</v>
      </c>
      <c r="K126" s="2">
        <v>41141</v>
      </c>
      <c r="L126" s="2" t="s">
        <v>23</v>
      </c>
      <c r="M126" t="s">
        <v>367</v>
      </c>
      <c r="N126" t="s">
        <v>368</v>
      </c>
      <c r="P126">
        <v>1</v>
      </c>
      <c r="R126">
        <f t="shared" si="6"/>
        <v>1</v>
      </c>
      <c r="S126">
        <f t="shared" si="7"/>
        <v>0</v>
      </c>
    </row>
    <row r="127" spans="1:19" x14ac:dyDescent="0.2">
      <c r="A127">
        <v>86</v>
      </c>
      <c r="B127" t="s">
        <v>369</v>
      </c>
      <c r="C127" t="s">
        <v>370</v>
      </c>
      <c r="D127" t="s">
        <v>371</v>
      </c>
      <c r="E127" s="4" t="s">
        <v>21</v>
      </c>
      <c r="F127" t="s">
        <v>289</v>
      </c>
      <c r="G127">
        <v>31.747844438855601</v>
      </c>
      <c r="H127">
        <v>34.600276866445398</v>
      </c>
      <c r="I127">
        <f t="shared" si="4"/>
        <v>2012</v>
      </c>
      <c r="J127">
        <f t="shared" si="5"/>
        <v>49</v>
      </c>
      <c r="K127" s="2">
        <v>41247</v>
      </c>
      <c r="L127" s="2" t="s">
        <v>23</v>
      </c>
      <c r="M127" t="s">
        <v>372</v>
      </c>
      <c r="N127" t="s">
        <v>373</v>
      </c>
      <c r="P127">
        <v>1</v>
      </c>
      <c r="R127">
        <f t="shared" si="6"/>
        <v>1</v>
      </c>
      <c r="S127">
        <f t="shared" si="7"/>
        <v>1</v>
      </c>
    </row>
    <row r="128" spans="1:19" x14ac:dyDescent="0.2">
      <c r="A128">
        <v>601</v>
      </c>
      <c r="B128" t="s">
        <v>374</v>
      </c>
      <c r="C128" t="s">
        <v>19</v>
      </c>
      <c r="D128" t="s">
        <v>375</v>
      </c>
      <c r="F128" t="s">
        <v>150</v>
      </c>
      <c r="G128">
        <v>33.045236837092403</v>
      </c>
      <c r="H128">
        <v>35.1004249845763</v>
      </c>
      <c r="I128">
        <f t="shared" si="4"/>
        <v>2012</v>
      </c>
      <c r="J128">
        <f t="shared" si="5"/>
        <v>52</v>
      </c>
      <c r="K128" s="2">
        <v>41270</v>
      </c>
      <c r="L128" s="2" t="s">
        <v>23</v>
      </c>
      <c r="M128" t="s">
        <v>376</v>
      </c>
      <c r="N128" t="s">
        <v>377</v>
      </c>
      <c r="P128">
        <v>1</v>
      </c>
      <c r="R128">
        <f t="shared" si="6"/>
        <v>1</v>
      </c>
      <c r="S128">
        <f t="shared" si="7"/>
        <v>0</v>
      </c>
    </row>
    <row r="129" spans="1:19" x14ac:dyDescent="0.2">
      <c r="A129" s="12">
        <v>185</v>
      </c>
      <c r="B129" s="12" t="s">
        <v>378</v>
      </c>
      <c r="C129" s="12" t="s">
        <v>379</v>
      </c>
      <c r="D129" s="13" t="s">
        <v>380</v>
      </c>
      <c r="E129" s="13"/>
      <c r="F129" s="12" t="s">
        <v>48</v>
      </c>
      <c r="G129" s="12"/>
      <c r="H129" s="12"/>
      <c r="I129">
        <f t="shared" si="4"/>
        <v>2013</v>
      </c>
      <c r="J129">
        <f t="shared" si="5"/>
        <v>9</v>
      </c>
      <c r="K129" s="14">
        <v>41335</v>
      </c>
      <c r="L129" s="2" t="s">
        <v>23</v>
      </c>
      <c r="M129" s="12" t="s">
        <v>381</v>
      </c>
      <c r="N129" s="12" t="s">
        <v>382</v>
      </c>
      <c r="P129">
        <v>1</v>
      </c>
      <c r="R129">
        <f t="shared" si="6"/>
        <v>2</v>
      </c>
      <c r="S129">
        <f t="shared" si="7"/>
        <v>0</v>
      </c>
    </row>
    <row r="130" spans="1:19" x14ac:dyDescent="0.2">
      <c r="A130" s="12">
        <v>400</v>
      </c>
      <c r="B130" s="12" t="s">
        <v>383</v>
      </c>
      <c r="C130" s="12" t="s">
        <v>379</v>
      </c>
      <c r="D130" s="13" t="s">
        <v>384</v>
      </c>
      <c r="E130" s="13"/>
      <c r="F130" s="12" t="s">
        <v>48</v>
      </c>
      <c r="G130" s="12"/>
      <c r="H130" s="12"/>
      <c r="I130">
        <f t="shared" ref="I130:I193" si="8">YEAR(K130)</f>
        <v>2013</v>
      </c>
      <c r="J130">
        <f t="shared" ref="J130:J193" si="9">WEEKNUM(K130)</f>
        <v>9</v>
      </c>
      <c r="K130" s="14">
        <v>41335</v>
      </c>
      <c r="L130" s="2" t="s">
        <v>23</v>
      </c>
      <c r="M130" s="12" t="s">
        <v>385</v>
      </c>
      <c r="N130" s="12" t="s">
        <v>382</v>
      </c>
      <c r="P130">
        <v>1</v>
      </c>
      <c r="R130">
        <f t="shared" si="6"/>
        <v>2</v>
      </c>
      <c r="S130">
        <f t="shared" si="7"/>
        <v>0</v>
      </c>
    </row>
    <row r="131" spans="1:19" x14ac:dyDescent="0.2">
      <c r="A131"/>
      <c r="B131" s="7" t="s">
        <v>386</v>
      </c>
      <c r="C131" s="7" t="s">
        <v>387</v>
      </c>
      <c r="D131" s="7" t="s">
        <v>388</v>
      </c>
      <c r="E131" s="7"/>
      <c r="F131" s="7"/>
      <c r="I131">
        <f t="shared" si="8"/>
        <v>2013</v>
      </c>
      <c r="J131">
        <f t="shared" si="9"/>
        <v>20</v>
      </c>
      <c r="K131" s="8">
        <v>41408</v>
      </c>
      <c r="L131" s="2" t="s">
        <v>23</v>
      </c>
      <c r="M131" s="7" t="s">
        <v>389</v>
      </c>
      <c r="N131" s="7" t="s">
        <v>390</v>
      </c>
      <c r="P131">
        <v>1</v>
      </c>
      <c r="R131">
        <f t="shared" ref="R131:R194" si="10">COUNTIFS($J$2:$J$997,J131,$I$2:$I$997,I131)</f>
        <v>1</v>
      </c>
      <c r="S131">
        <f t="shared" ref="S131:S194" si="11">COUNTIFS($J$2:$J$997,J131,$I$2:$I$997,I131,$E$2:$E$997,E131)</f>
        <v>0</v>
      </c>
    </row>
    <row r="132" spans="1:19" x14ac:dyDescent="0.2">
      <c r="A132">
        <v>157</v>
      </c>
      <c r="B132" t="s">
        <v>391</v>
      </c>
      <c r="C132" t="s">
        <v>392</v>
      </c>
      <c r="D132" t="s">
        <v>393</v>
      </c>
      <c r="F132" t="s">
        <v>30</v>
      </c>
      <c r="G132">
        <v>32.8371203553017</v>
      </c>
      <c r="H132">
        <v>34.9792189455856</v>
      </c>
      <c r="I132">
        <f t="shared" si="8"/>
        <v>2013</v>
      </c>
      <c r="J132">
        <f t="shared" si="9"/>
        <v>26</v>
      </c>
      <c r="K132" s="2">
        <v>41450</v>
      </c>
      <c r="L132" s="2" t="s">
        <v>23</v>
      </c>
      <c r="M132" t="s">
        <v>394</v>
      </c>
      <c r="N132" t="s">
        <v>395</v>
      </c>
      <c r="P132">
        <v>1</v>
      </c>
      <c r="R132">
        <f t="shared" si="10"/>
        <v>1</v>
      </c>
      <c r="S132">
        <f t="shared" si="11"/>
        <v>0</v>
      </c>
    </row>
    <row r="133" spans="1:19" x14ac:dyDescent="0.2">
      <c r="B133" t="s">
        <v>396</v>
      </c>
      <c r="C133" t="s">
        <v>397</v>
      </c>
      <c r="D133" t="s">
        <v>398</v>
      </c>
      <c r="F133" t="s">
        <v>30</v>
      </c>
      <c r="G133">
        <v>32.8371203553017</v>
      </c>
      <c r="H133">
        <v>34.9792189455856</v>
      </c>
      <c r="I133">
        <f t="shared" si="8"/>
        <v>2013</v>
      </c>
      <c r="J133">
        <f t="shared" si="9"/>
        <v>27</v>
      </c>
      <c r="K133" s="2">
        <v>41456</v>
      </c>
      <c r="L133" s="2" t="s">
        <v>23</v>
      </c>
      <c r="M133" t="s">
        <v>399</v>
      </c>
      <c r="N133" t="s">
        <v>400</v>
      </c>
      <c r="P133">
        <v>1</v>
      </c>
      <c r="R133">
        <f t="shared" si="10"/>
        <v>5</v>
      </c>
      <c r="S133">
        <f t="shared" si="11"/>
        <v>0</v>
      </c>
    </row>
    <row r="134" spans="1:19" x14ac:dyDescent="0.2">
      <c r="A134">
        <v>97</v>
      </c>
      <c r="B134" t="s">
        <v>401</v>
      </c>
      <c r="C134" t="s">
        <v>402</v>
      </c>
      <c r="D134" t="s">
        <v>403</v>
      </c>
      <c r="F134" t="s">
        <v>30</v>
      </c>
      <c r="G134">
        <v>32.8371203553017</v>
      </c>
      <c r="H134">
        <v>34.9792189455856</v>
      </c>
      <c r="I134">
        <f t="shared" si="8"/>
        <v>2013</v>
      </c>
      <c r="J134">
        <f t="shared" si="9"/>
        <v>27</v>
      </c>
      <c r="K134" s="2">
        <v>41457</v>
      </c>
      <c r="L134" s="2" t="s">
        <v>23</v>
      </c>
      <c r="M134" t="s">
        <v>404</v>
      </c>
      <c r="N134" t="s">
        <v>405</v>
      </c>
      <c r="P134">
        <v>1</v>
      </c>
      <c r="R134">
        <f t="shared" si="10"/>
        <v>5</v>
      </c>
      <c r="S134">
        <f t="shared" si="11"/>
        <v>0</v>
      </c>
    </row>
    <row r="135" spans="1:19" x14ac:dyDescent="0.2">
      <c r="A135">
        <v>97</v>
      </c>
      <c r="B135" t="s">
        <v>401</v>
      </c>
      <c r="C135" t="s">
        <v>402</v>
      </c>
      <c r="D135" t="s">
        <v>403</v>
      </c>
      <c r="F135" t="s">
        <v>78</v>
      </c>
      <c r="G135">
        <v>32.849166010823502</v>
      </c>
      <c r="H135">
        <v>35.061617587657501</v>
      </c>
      <c r="I135">
        <f t="shared" si="8"/>
        <v>2013</v>
      </c>
      <c r="J135">
        <f t="shared" si="9"/>
        <v>27</v>
      </c>
      <c r="K135" s="2">
        <v>41457</v>
      </c>
      <c r="L135" s="2" t="s">
        <v>23</v>
      </c>
      <c r="M135" t="s">
        <v>404</v>
      </c>
      <c r="N135" t="s">
        <v>405</v>
      </c>
      <c r="P135">
        <v>1</v>
      </c>
      <c r="R135">
        <f t="shared" si="10"/>
        <v>5</v>
      </c>
      <c r="S135">
        <f t="shared" si="11"/>
        <v>0</v>
      </c>
    </row>
    <row r="136" spans="1:19" x14ac:dyDescent="0.2">
      <c r="B136" t="s">
        <v>406</v>
      </c>
      <c r="C136" t="s">
        <v>407</v>
      </c>
      <c r="D136" t="s">
        <v>408</v>
      </c>
      <c r="E136" s="4" t="s">
        <v>21</v>
      </c>
      <c r="F136" t="s">
        <v>22</v>
      </c>
      <c r="G136">
        <v>31.681438420965801</v>
      </c>
      <c r="H136">
        <v>34.554694789741902</v>
      </c>
      <c r="I136">
        <f t="shared" si="8"/>
        <v>2013</v>
      </c>
      <c r="J136">
        <f t="shared" si="9"/>
        <v>27</v>
      </c>
      <c r="K136" s="2">
        <v>41461</v>
      </c>
      <c r="L136" s="2" t="s">
        <v>23</v>
      </c>
      <c r="M136" t="s">
        <v>409</v>
      </c>
      <c r="N136" t="s">
        <v>410</v>
      </c>
      <c r="P136">
        <v>1</v>
      </c>
      <c r="R136">
        <f t="shared" si="10"/>
        <v>5</v>
      </c>
      <c r="S136">
        <f t="shared" si="11"/>
        <v>2</v>
      </c>
    </row>
    <row r="137" spans="1:19" x14ac:dyDescent="0.2">
      <c r="A137" s="9">
        <v>53</v>
      </c>
      <c r="B137" s="9" t="s">
        <v>406</v>
      </c>
      <c r="C137" s="9" t="s">
        <v>407</v>
      </c>
      <c r="D137" s="10" t="s">
        <v>408</v>
      </c>
      <c r="E137" s="4" t="s">
        <v>21</v>
      </c>
      <c r="F137" s="9" t="s">
        <v>22</v>
      </c>
      <c r="G137" s="9"/>
      <c r="H137" s="9"/>
      <c r="I137">
        <f t="shared" si="8"/>
        <v>2013</v>
      </c>
      <c r="J137">
        <f t="shared" si="9"/>
        <v>27</v>
      </c>
      <c r="K137" s="11">
        <v>41461</v>
      </c>
      <c r="L137" s="2" t="s">
        <v>23</v>
      </c>
      <c r="M137" s="9" t="s">
        <v>409</v>
      </c>
      <c r="N137" s="9" t="s">
        <v>410</v>
      </c>
      <c r="P137">
        <v>1</v>
      </c>
      <c r="R137">
        <f t="shared" si="10"/>
        <v>5</v>
      </c>
      <c r="S137">
        <f t="shared" si="11"/>
        <v>2</v>
      </c>
    </row>
    <row r="138" spans="1:19" x14ac:dyDescent="0.2">
      <c r="A138" s="1">
        <v>537</v>
      </c>
      <c r="B138" t="s">
        <v>411</v>
      </c>
      <c r="C138" t="s">
        <v>412</v>
      </c>
      <c r="D138" t="s">
        <v>413</v>
      </c>
      <c r="E138" s="5" t="s">
        <v>47</v>
      </c>
      <c r="F138" t="s">
        <v>243</v>
      </c>
      <c r="G138">
        <v>32.177466819907004</v>
      </c>
      <c r="H138">
        <v>34.801354466376203</v>
      </c>
      <c r="I138">
        <f t="shared" si="8"/>
        <v>2013</v>
      </c>
      <c r="J138">
        <f t="shared" si="9"/>
        <v>38</v>
      </c>
      <c r="K138" s="2">
        <v>41538</v>
      </c>
      <c r="L138" s="2" t="s">
        <v>23</v>
      </c>
      <c r="M138" t="s">
        <v>414</v>
      </c>
      <c r="N138" t="s">
        <v>415</v>
      </c>
      <c r="P138">
        <v>1</v>
      </c>
      <c r="R138">
        <f t="shared" si="10"/>
        <v>1</v>
      </c>
      <c r="S138">
        <f t="shared" si="11"/>
        <v>1</v>
      </c>
    </row>
    <row r="139" spans="1:19" x14ac:dyDescent="0.2">
      <c r="B139" t="s">
        <v>416</v>
      </c>
      <c r="C139" t="s">
        <v>417</v>
      </c>
      <c r="D139" t="s">
        <v>418</v>
      </c>
      <c r="E139" s="4" t="s">
        <v>21</v>
      </c>
      <c r="F139" t="s">
        <v>64</v>
      </c>
      <c r="G139">
        <v>31.8169667122236</v>
      </c>
      <c r="H139">
        <v>34.639611775767101</v>
      </c>
      <c r="I139">
        <f t="shared" si="8"/>
        <v>2014</v>
      </c>
      <c r="J139">
        <f t="shared" si="9"/>
        <v>1</v>
      </c>
      <c r="K139" s="2">
        <v>41640</v>
      </c>
      <c r="L139" s="2" t="s">
        <v>23</v>
      </c>
      <c r="M139" t="s">
        <v>419</v>
      </c>
      <c r="N139" t="s">
        <v>420</v>
      </c>
      <c r="P139">
        <v>1</v>
      </c>
      <c r="R139">
        <f t="shared" si="10"/>
        <v>1</v>
      </c>
      <c r="S139">
        <f t="shared" si="11"/>
        <v>1</v>
      </c>
    </row>
    <row r="140" spans="1:19" x14ac:dyDescent="0.2">
      <c r="A140" s="12">
        <v>137</v>
      </c>
      <c r="B140" s="12" t="s">
        <v>421</v>
      </c>
      <c r="C140" s="12" t="s">
        <v>422</v>
      </c>
      <c r="D140" s="12" t="s">
        <v>423</v>
      </c>
      <c r="E140" s="5" t="s">
        <v>73</v>
      </c>
      <c r="F140" s="12" t="s">
        <v>424</v>
      </c>
      <c r="I140">
        <f t="shared" si="8"/>
        <v>2014</v>
      </c>
      <c r="J140">
        <f t="shared" si="9"/>
        <v>6</v>
      </c>
      <c r="K140" s="17">
        <v>41672</v>
      </c>
      <c r="L140" s="2" t="s">
        <v>23</v>
      </c>
      <c r="M140" s="12" t="s">
        <v>425</v>
      </c>
      <c r="N140" s="12" t="s">
        <v>426</v>
      </c>
      <c r="P140">
        <v>1</v>
      </c>
      <c r="R140">
        <f t="shared" si="10"/>
        <v>3</v>
      </c>
      <c r="S140">
        <f t="shared" si="11"/>
        <v>1</v>
      </c>
    </row>
    <row r="141" spans="1:19" x14ac:dyDescent="0.2">
      <c r="A141" s="12">
        <v>137</v>
      </c>
      <c r="B141" s="12" t="s">
        <v>421</v>
      </c>
      <c r="C141" s="12" t="s">
        <v>422</v>
      </c>
      <c r="D141" s="12" t="s">
        <v>423</v>
      </c>
      <c r="E141" s="4" t="s">
        <v>21</v>
      </c>
      <c r="F141" s="12" t="s">
        <v>424</v>
      </c>
      <c r="I141">
        <f t="shared" si="8"/>
        <v>2014</v>
      </c>
      <c r="J141">
        <f t="shared" si="9"/>
        <v>6</v>
      </c>
      <c r="K141" s="17">
        <v>41672</v>
      </c>
      <c r="L141" s="2" t="s">
        <v>23</v>
      </c>
      <c r="M141" s="12" t="s">
        <v>425</v>
      </c>
      <c r="N141" s="12" t="s">
        <v>426</v>
      </c>
      <c r="P141">
        <v>1</v>
      </c>
      <c r="R141">
        <f t="shared" si="10"/>
        <v>3</v>
      </c>
      <c r="S141">
        <f t="shared" si="11"/>
        <v>1</v>
      </c>
    </row>
    <row r="142" spans="1:19" x14ac:dyDescent="0.2">
      <c r="A142" s="12">
        <v>137</v>
      </c>
      <c r="B142" s="12" t="s">
        <v>421</v>
      </c>
      <c r="C142" s="12" t="s">
        <v>422</v>
      </c>
      <c r="D142" s="12" t="s">
        <v>423</v>
      </c>
      <c r="E142" s="4" t="s">
        <v>29</v>
      </c>
      <c r="F142" s="12" t="s">
        <v>424</v>
      </c>
      <c r="I142">
        <f t="shared" si="8"/>
        <v>2014</v>
      </c>
      <c r="J142">
        <f t="shared" si="9"/>
        <v>6</v>
      </c>
      <c r="K142" s="17">
        <v>41672</v>
      </c>
      <c r="L142" s="2" t="s">
        <v>23</v>
      </c>
      <c r="M142" s="12" t="s">
        <v>425</v>
      </c>
      <c r="N142" s="12" t="s">
        <v>426</v>
      </c>
      <c r="P142">
        <v>1</v>
      </c>
      <c r="R142">
        <f t="shared" si="10"/>
        <v>3</v>
      </c>
      <c r="S142">
        <f t="shared" si="11"/>
        <v>1</v>
      </c>
    </row>
    <row r="143" spans="1:19" x14ac:dyDescent="0.2">
      <c r="A143" s="9">
        <v>68</v>
      </c>
      <c r="B143" s="9" t="s">
        <v>427</v>
      </c>
      <c r="C143" s="9" t="s">
        <v>428</v>
      </c>
      <c r="D143" s="10" t="s">
        <v>429</v>
      </c>
      <c r="E143" s="10"/>
      <c r="F143" s="9" t="s">
        <v>430</v>
      </c>
      <c r="G143" s="9"/>
      <c r="H143" s="9"/>
      <c r="I143">
        <f t="shared" si="8"/>
        <v>2014</v>
      </c>
      <c r="J143">
        <f t="shared" si="9"/>
        <v>7</v>
      </c>
      <c r="K143" s="11">
        <v>41681</v>
      </c>
      <c r="L143" s="2" t="s">
        <v>23</v>
      </c>
      <c r="M143" s="9" t="s">
        <v>431</v>
      </c>
      <c r="N143" s="9" t="s">
        <v>432</v>
      </c>
      <c r="P143">
        <v>1</v>
      </c>
      <c r="R143">
        <f t="shared" si="10"/>
        <v>2</v>
      </c>
      <c r="S143">
        <f t="shared" si="11"/>
        <v>0</v>
      </c>
    </row>
    <row r="144" spans="1:19" x14ac:dyDescent="0.2">
      <c r="A144" s="9"/>
      <c r="B144" s="9"/>
      <c r="C144" s="9" t="s">
        <v>135</v>
      </c>
      <c r="D144" s="10" t="s">
        <v>433</v>
      </c>
      <c r="E144" s="10"/>
      <c r="F144" s="9" t="s">
        <v>430</v>
      </c>
      <c r="G144" s="9"/>
      <c r="H144" s="9"/>
      <c r="I144">
        <f t="shared" si="8"/>
        <v>2014</v>
      </c>
      <c r="J144">
        <f t="shared" si="9"/>
        <v>7</v>
      </c>
      <c r="K144" s="11">
        <v>41681</v>
      </c>
      <c r="L144" s="2" t="s">
        <v>23</v>
      </c>
      <c r="M144" s="9"/>
      <c r="N144" s="9"/>
      <c r="P144">
        <v>1</v>
      </c>
      <c r="R144">
        <f t="shared" si="10"/>
        <v>2</v>
      </c>
      <c r="S144">
        <f t="shared" si="11"/>
        <v>0</v>
      </c>
    </row>
    <row r="145" spans="1:19" x14ac:dyDescent="0.2">
      <c r="A145">
        <v>318</v>
      </c>
      <c r="B145" t="s">
        <v>434</v>
      </c>
      <c r="C145" t="s">
        <v>435</v>
      </c>
      <c r="D145" t="s">
        <v>436</v>
      </c>
      <c r="F145" t="s">
        <v>30</v>
      </c>
      <c r="G145">
        <v>32.8371203553017</v>
      </c>
      <c r="H145">
        <v>34.9792189455856</v>
      </c>
      <c r="I145">
        <f t="shared" si="8"/>
        <v>2014</v>
      </c>
      <c r="J145">
        <f t="shared" si="9"/>
        <v>8</v>
      </c>
      <c r="K145" s="2">
        <v>41689</v>
      </c>
      <c r="L145" s="2" t="s">
        <v>23</v>
      </c>
      <c r="M145" t="s">
        <v>437</v>
      </c>
      <c r="N145" t="s">
        <v>438</v>
      </c>
      <c r="P145">
        <v>1</v>
      </c>
      <c r="R145">
        <f t="shared" si="10"/>
        <v>2</v>
      </c>
      <c r="S145">
        <f t="shared" si="11"/>
        <v>0</v>
      </c>
    </row>
    <row r="146" spans="1:19" x14ac:dyDescent="0.2">
      <c r="A146"/>
      <c r="B146" s="7" t="s">
        <v>439</v>
      </c>
      <c r="C146" s="7" t="s">
        <v>440</v>
      </c>
      <c r="D146" s="7" t="s">
        <v>441</v>
      </c>
      <c r="E146" s="7"/>
      <c r="F146" s="7"/>
      <c r="I146">
        <f t="shared" si="8"/>
        <v>2014</v>
      </c>
      <c r="J146">
        <f t="shared" si="9"/>
        <v>8</v>
      </c>
      <c r="K146" s="8">
        <v>41689</v>
      </c>
      <c r="L146" s="2" t="s">
        <v>23</v>
      </c>
      <c r="M146" s="7" t="s">
        <v>442</v>
      </c>
      <c r="N146" s="7" t="s">
        <v>443</v>
      </c>
      <c r="P146">
        <v>1</v>
      </c>
      <c r="R146">
        <f t="shared" si="10"/>
        <v>2</v>
      </c>
      <c r="S146">
        <f t="shared" si="11"/>
        <v>0</v>
      </c>
    </row>
    <row r="147" spans="1:19" x14ac:dyDescent="0.2">
      <c r="A147">
        <v>12</v>
      </c>
      <c r="B147" t="s">
        <v>444</v>
      </c>
      <c r="C147" t="s">
        <v>237</v>
      </c>
      <c r="D147" t="s">
        <v>445</v>
      </c>
      <c r="E147" s="4" t="s">
        <v>21</v>
      </c>
      <c r="F147" t="s">
        <v>64</v>
      </c>
      <c r="G147">
        <v>31.8169667122236</v>
      </c>
      <c r="H147">
        <v>34.639611775767101</v>
      </c>
      <c r="I147">
        <f t="shared" si="8"/>
        <v>2014</v>
      </c>
      <c r="J147">
        <f t="shared" si="9"/>
        <v>12</v>
      </c>
      <c r="K147" s="2">
        <v>41714</v>
      </c>
      <c r="L147" s="2" t="s">
        <v>23</v>
      </c>
      <c r="M147" t="s">
        <v>446</v>
      </c>
      <c r="N147" t="s">
        <v>447</v>
      </c>
      <c r="P147">
        <v>1</v>
      </c>
      <c r="R147">
        <f t="shared" si="10"/>
        <v>4</v>
      </c>
      <c r="S147">
        <f t="shared" si="11"/>
        <v>4</v>
      </c>
    </row>
    <row r="148" spans="1:19" x14ac:dyDescent="0.2">
      <c r="A148">
        <v>12</v>
      </c>
      <c r="B148" t="s">
        <v>444</v>
      </c>
      <c r="C148" t="s">
        <v>237</v>
      </c>
      <c r="D148" t="s">
        <v>445</v>
      </c>
      <c r="E148" s="4" t="s">
        <v>21</v>
      </c>
      <c r="F148" t="s">
        <v>22</v>
      </c>
      <c r="G148">
        <v>31.681438420965801</v>
      </c>
      <c r="H148">
        <v>34.554694789741902</v>
      </c>
      <c r="I148">
        <f t="shared" si="8"/>
        <v>2014</v>
      </c>
      <c r="J148">
        <f t="shared" si="9"/>
        <v>12</v>
      </c>
      <c r="K148" s="2">
        <v>41714</v>
      </c>
      <c r="L148" s="2" t="s">
        <v>23</v>
      </c>
      <c r="M148" t="s">
        <v>446</v>
      </c>
      <c r="N148" t="s">
        <v>447</v>
      </c>
      <c r="P148">
        <v>1</v>
      </c>
      <c r="R148">
        <f t="shared" si="10"/>
        <v>4</v>
      </c>
      <c r="S148">
        <f t="shared" si="11"/>
        <v>4</v>
      </c>
    </row>
    <row r="149" spans="1:19" x14ac:dyDescent="0.2">
      <c r="A149">
        <v>12</v>
      </c>
      <c r="B149" t="s">
        <v>444</v>
      </c>
      <c r="C149" t="s">
        <v>237</v>
      </c>
      <c r="D149" t="s">
        <v>445</v>
      </c>
      <c r="E149" s="4" t="s">
        <v>21</v>
      </c>
      <c r="F149" t="s">
        <v>448</v>
      </c>
      <c r="G149">
        <v>31.612835057788701</v>
      </c>
      <c r="H149">
        <v>34.504478848926297</v>
      </c>
      <c r="I149">
        <f t="shared" si="8"/>
        <v>2014</v>
      </c>
      <c r="J149">
        <f t="shared" si="9"/>
        <v>12</v>
      </c>
      <c r="K149" s="2">
        <v>41714</v>
      </c>
      <c r="L149" s="2" t="s">
        <v>23</v>
      </c>
      <c r="M149" t="s">
        <v>446</v>
      </c>
      <c r="N149" t="s">
        <v>447</v>
      </c>
      <c r="P149">
        <v>1</v>
      </c>
      <c r="R149">
        <f t="shared" si="10"/>
        <v>4</v>
      </c>
      <c r="S149">
        <f t="shared" si="11"/>
        <v>4</v>
      </c>
    </row>
    <row r="150" spans="1:19" x14ac:dyDescent="0.2">
      <c r="A150" s="12"/>
      <c r="B150" s="12"/>
      <c r="C150" s="12" t="s">
        <v>449</v>
      </c>
      <c r="D150" s="13" t="s">
        <v>450</v>
      </c>
      <c r="E150" s="4" t="s">
        <v>21</v>
      </c>
      <c r="F150" s="12" t="s">
        <v>451</v>
      </c>
      <c r="G150" s="12"/>
      <c r="H150" s="12"/>
      <c r="I150">
        <f t="shared" si="8"/>
        <v>2014</v>
      </c>
      <c r="J150">
        <f t="shared" si="9"/>
        <v>12</v>
      </c>
      <c r="K150" s="14">
        <v>41714</v>
      </c>
      <c r="L150" s="2" t="s">
        <v>23</v>
      </c>
      <c r="M150" s="12"/>
      <c r="N150" s="12"/>
      <c r="P150">
        <v>1</v>
      </c>
      <c r="R150">
        <f t="shared" si="10"/>
        <v>4</v>
      </c>
      <c r="S150">
        <f t="shared" si="11"/>
        <v>4</v>
      </c>
    </row>
    <row r="151" spans="1:19" x14ac:dyDescent="0.2">
      <c r="A151" t="s">
        <v>452</v>
      </c>
      <c r="B151" t="s">
        <v>453</v>
      </c>
      <c r="C151" t="s">
        <v>185</v>
      </c>
      <c r="D151" t="s">
        <v>454</v>
      </c>
      <c r="I151">
        <f t="shared" si="8"/>
        <v>2014</v>
      </c>
      <c r="J151">
        <f t="shared" si="9"/>
        <v>20</v>
      </c>
      <c r="K151" s="2">
        <v>41774</v>
      </c>
      <c r="L151" s="2" t="s">
        <v>23</v>
      </c>
      <c r="M151" t="s">
        <v>455</v>
      </c>
      <c r="N151" t="s">
        <v>456</v>
      </c>
      <c r="P151">
        <v>1</v>
      </c>
      <c r="R151">
        <f t="shared" si="10"/>
        <v>1</v>
      </c>
      <c r="S151">
        <f t="shared" si="11"/>
        <v>0</v>
      </c>
    </row>
    <row r="152" spans="1:19" x14ac:dyDescent="0.2">
      <c r="A152">
        <v>10</v>
      </c>
      <c r="B152" t="s">
        <v>457</v>
      </c>
      <c r="C152" t="s">
        <v>458</v>
      </c>
      <c r="D152" t="s">
        <v>459</v>
      </c>
      <c r="I152">
        <f t="shared" si="8"/>
        <v>2014</v>
      </c>
      <c r="J152">
        <f t="shared" si="9"/>
        <v>22</v>
      </c>
      <c r="K152" s="2">
        <v>41786</v>
      </c>
      <c r="L152" s="2" t="s">
        <v>23</v>
      </c>
      <c r="M152" t="s">
        <v>460</v>
      </c>
      <c r="N152" t="s">
        <v>461</v>
      </c>
      <c r="P152">
        <v>1</v>
      </c>
      <c r="R152">
        <f t="shared" si="10"/>
        <v>1</v>
      </c>
      <c r="S152">
        <f t="shared" si="11"/>
        <v>0</v>
      </c>
    </row>
    <row r="153" spans="1:19" x14ac:dyDescent="0.2">
      <c r="A153">
        <v>43</v>
      </c>
      <c r="B153" t="s">
        <v>462</v>
      </c>
      <c r="C153" t="s">
        <v>68</v>
      </c>
      <c r="D153" t="s">
        <v>463</v>
      </c>
      <c r="E153" s="4" t="s">
        <v>21</v>
      </c>
      <c r="F153" t="s">
        <v>64</v>
      </c>
      <c r="G153">
        <v>31.8169667122236</v>
      </c>
      <c r="H153">
        <v>34.639611775767101</v>
      </c>
      <c r="I153">
        <f t="shared" si="8"/>
        <v>2014</v>
      </c>
      <c r="J153">
        <f t="shared" si="9"/>
        <v>27</v>
      </c>
      <c r="K153" s="2">
        <v>41820</v>
      </c>
      <c r="L153" s="2" t="s">
        <v>23</v>
      </c>
      <c r="M153" t="s">
        <v>464</v>
      </c>
      <c r="N153" t="s">
        <v>465</v>
      </c>
      <c r="P153">
        <v>1</v>
      </c>
      <c r="R153">
        <f t="shared" si="10"/>
        <v>5</v>
      </c>
      <c r="S153">
        <f t="shared" si="11"/>
        <v>3</v>
      </c>
    </row>
    <row r="154" spans="1:19" x14ac:dyDescent="0.2">
      <c r="A154">
        <v>43</v>
      </c>
      <c r="B154" t="s">
        <v>462</v>
      </c>
      <c r="C154" t="s">
        <v>68</v>
      </c>
      <c r="D154" t="s">
        <v>463</v>
      </c>
      <c r="E154" s="4" t="s">
        <v>21</v>
      </c>
      <c r="F154" t="s">
        <v>22</v>
      </c>
      <c r="G154">
        <v>31.681438420965801</v>
      </c>
      <c r="H154">
        <v>34.554694789741902</v>
      </c>
      <c r="I154">
        <f t="shared" si="8"/>
        <v>2014</v>
      </c>
      <c r="J154">
        <f t="shared" si="9"/>
        <v>27</v>
      </c>
      <c r="K154" s="2">
        <v>41820</v>
      </c>
      <c r="L154" s="2" t="s">
        <v>23</v>
      </c>
      <c r="M154" t="s">
        <v>464</v>
      </c>
      <c r="N154" t="s">
        <v>465</v>
      </c>
      <c r="P154">
        <v>1</v>
      </c>
      <c r="R154">
        <f t="shared" si="10"/>
        <v>5</v>
      </c>
      <c r="S154">
        <f t="shared" si="11"/>
        <v>3</v>
      </c>
    </row>
    <row r="155" spans="1:19" x14ac:dyDescent="0.2">
      <c r="A155">
        <v>43</v>
      </c>
      <c r="B155" t="s">
        <v>462</v>
      </c>
      <c r="C155" t="s">
        <v>68</v>
      </c>
      <c r="D155" t="s">
        <v>463</v>
      </c>
      <c r="E155" s="5" t="s">
        <v>47</v>
      </c>
      <c r="F155" t="s">
        <v>466</v>
      </c>
      <c r="G155">
        <v>32.177466819907004</v>
      </c>
      <c r="H155">
        <v>34.801354466376203</v>
      </c>
      <c r="I155">
        <f t="shared" si="8"/>
        <v>2014</v>
      </c>
      <c r="J155">
        <f t="shared" si="9"/>
        <v>27</v>
      </c>
      <c r="K155" s="2">
        <v>41820</v>
      </c>
      <c r="L155" s="2" t="s">
        <v>23</v>
      </c>
      <c r="M155" t="s">
        <v>464</v>
      </c>
      <c r="N155" t="s">
        <v>465</v>
      </c>
      <c r="P155">
        <v>1</v>
      </c>
      <c r="R155">
        <f t="shared" si="10"/>
        <v>5</v>
      </c>
      <c r="S155">
        <f t="shared" si="11"/>
        <v>1</v>
      </c>
    </row>
    <row r="156" spans="1:19" x14ac:dyDescent="0.2">
      <c r="A156">
        <v>43</v>
      </c>
      <c r="B156" t="s">
        <v>462</v>
      </c>
      <c r="C156" t="s">
        <v>68</v>
      </c>
      <c r="D156" t="s">
        <v>463</v>
      </c>
      <c r="E156" s="5" t="s">
        <v>73</v>
      </c>
      <c r="F156" t="s">
        <v>74</v>
      </c>
      <c r="G156">
        <v>32.093438590230903</v>
      </c>
      <c r="H156">
        <v>34.767717357132298</v>
      </c>
      <c r="I156">
        <f t="shared" si="8"/>
        <v>2014</v>
      </c>
      <c r="J156">
        <f t="shared" si="9"/>
        <v>27</v>
      </c>
      <c r="K156" s="2">
        <v>41820</v>
      </c>
      <c r="L156" s="2" t="s">
        <v>23</v>
      </c>
      <c r="M156" t="s">
        <v>464</v>
      </c>
      <c r="N156" t="s">
        <v>465</v>
      </c>
      <c r="P156">
        <v>1</v>
      </c>
      <c r="R156">
        <f t="shared" si="10"/>
        <v>5</v>
      </c>
      <c r="S156">
        <f t="shared" si="11"/>
        <v>1</v>
      </c>
    </row>
    <row r="157" spans="1:19" x14ac:dyDescent="0.2">
      <c r="B157" t="s">
        <v>467</v>
      </c>
      <c r="C157" t="s">
        <v>468</v>
      </c>
      <c r="D157" t="s">
        <v>469</v>
      </c>
      <c r="E157" s="4" t="s">
        <v>21</v>
      </c>
      <c r="F157" t="s">
        <v>22</v>
      </c>
      <c r="G157">
        <v>31.681438420965801</v>
      </c>
      <c r="H157">
        <v>34.554694789741902</v>
      </c>
      <c r="I157">
        <f t="shared" si="8"/>
        <v>2014</v>
      </c>
      <c r="J157">
        <f t="shared" si="9"/>
        <v>27</v>
      </c>
      <c r="K157" s="2">
        <v>41821</v>
      </c>
      <c r="L157" s="2" t="s">
        <v>23</v>
      </c>
      <c r="M157" t="s">
        <v>470</v>
      </c>
      <c r="N157" t="s">
        <v>471</v>
      </c>
      <c r="P157">
        <v>1</v>
      </c>
      <c r="R157">
        <f t="shared" si="10"/>
        <v>5</v>
      </c>
      <c r="S157">
        <f t="shared" si="11"/>
        <v>3</v>
      </c>
    </row>
    <row r="158" spans="1:19" x14ac:dyDescent="0.2">
      <c r="A158">
        <v>43</v>
      </c>
      <c r="B158" t="s">
        <v>472</v>
      </c>
      <c r="C158" t="s">
        <v>473</v>
      </c>
      <c r="D158" t="s">
        <v>474</v>
      </c>
      <c r="I158">
        <f t="shared" si="8"/>
        <v>2014</v>
      </c>
      <c r="J158">
        <f t="shared" si="9"/>
        <v>30</v>
      </c>
      <c r="K158" s="2">
        <v>41845</v>
      </c>
      <c r="L158" s="2" t="s">
        <v>23</v>
      </c>
      <c r="M158" t="s">
        <v>475</v>
      </c>
      <c r="N158" t="s">
        <v>476</v>
      </c>
      <c r="P158">
        <v>1</v>
      </c>
      <c r="R158">
        <f t="shared" si="10"/>
        <v>1</v>
      </c>
      <c r="S158">
        <f t="shared" si="11"/>
        <v>0</v>
      </c>
    </row>
    <row r="159" spans="1:19" x14ac:dyDescent="0.2">
      <c r="A159" t="s">
        <v>477</v>
      </c>
      <c r="B159" t="s">
        <v>478</v>
      </c>
      <c r="C159" t="s">
        <v>479</v>
      </c>
      <c r="D159" t="s">
        <v>480</v>
      </c>
      <c r="I159">
        <f t="shared" si="8"/>
        <v>2014</v>
      </c>
      <c r="J159">
        <f t="shared" si="9"/>
        <v>33</v>
      </c>
      <c r="K159" s="2">
        <v>41861</v>
      </c>
      <c r="L159" s="2" t="s">
        <v>23</v>
      </c>
      <c r="M159" t="s">
        <v>481</v>
      </c>
      <c r="N159" t="s">
        <v>482</v>
      </c>
      <c r="P159">
        <v>1</v>
      </c>
      <c r="R159">
        <f t="shared" si="10"/>
        <v>1</v>
      </c>
      <c r="S159">
        <f t="shared" si="11"/>
        <v>0</v>
      </c>
    </row>
    <row r="160" spans="1:19" x14ac:dyDescent="0.2">
      <c r="A160">
        <v>119</v>
      </c>
      <c r="B160" t="s">
        <v>483</v>
      </c>
      <c r="C160" t="s">
        <v>484</v>
      </c>
      <c r="D160" t="s">
        <v>485</v>
      </c>
      <c r="E160" s="5" t="s">
        <v>73</v>
      </c>
      <c r="F160" t="s">
        <v>74</v>
      </c>
      <c r="G160">
        <v>32.093438590230903</v>
      </c>
      <c r="H160">
        <v>34.767717357132298</v>
      </c>
      <c r="I160">
        <f t="shared" si="8"/>
        <v>2015</v>
      </c>
      <c r="J160">
        <f t="shared" si="9"/>
        <v>4</v>
      </c>
      <c r="K160" s="2">
        <v>42026</v>
      </c>
      <c r="L160" s="2" t="s">
        <v>23</v>
      </c>
      <c r="M160" t="s">
        <v>486</v>
      </c>
      <c r="N160" t="s">
        <v>487</v>
      </c>
      <c r="P160">
        <v>1</v>
      </c>
      <c r="R160">
        <f t="shared" si="10"/>
        <v>2</v>
      </c>
      <c r="S160">
        <f t="shared" si="11"/>
        <v>1</v>
      </c>
    </row>
    <row r="161" spans="1:19" x14ac:dyDescent="0.2">
      <c r="A161">
        <v>119</v>
      </c>
      <c r="B161" t="s">
        <v>483</v>
      </c>
      <c r="C161" t="s">
        <v>484</v>
      </c>
      <c r="D161" t="s">
        <v>485</v>
      </c>
      <c r="F161" t="s">
        <v>150</v>
      </c>
      <c r="G161">
        <v>33.045236837092403</v>
      </c>
      <c r="H161">
        <v>35.1004249845763</v>
      </c>
      <c r="I161">
        <f t="shared" si="8"/>
        <v>2015</v>
      </c>
      <c r="J161">
        <f t="shared" si="9"/>
        <v>4</v>
      </c>
      <c r="K161" s="2">
        <v>42026</v>
      </c>
      <c r="L161" s="2" t="s">
        <v>23</v>
      </c>
      <c r="M161" t="s">
        <v>486</v>
      </c>
      <c r="N161" t="s">
        <v>487</v>
      </c>
      <c r="P161">
        <v>1</v>
      </c>
      <c r="R161">
        <f t="shared" si="10"/>
        <v>2</v>
      </c>
      <c r="S161">
        <f t="shared" si="11"/>
        <v>0</v>
      </c>
    </row>
    <row r="162" spans="1:19" x14ac:dyDescent="0.2">
      <c r="A162" s="9">
        <v>243</v>
      </c>
      <c r="B162" s="9" t="s">
        <v>488</v>
      </c>
      <c r="C162" s="9" t="s">
        <v>489</v>
      </c>
      <c r="D162" s="9" t="s">
        <v>490</v>
      </c>
      <c r="E162" s="9"/>
      <c r="F162" s="9"/>
      <c r="I162">
        <f t="shared" si="8"/>
        <v>2015</v>
      </c>
      <c r="J162">
        <f t="shared" si="9"/>
        <v>8</v>
      </c>
      <c r="K162" s="16">
        <v>42053</v>
      </c>
      <c r="L162" s="2" t="s">
        <v>23</v>
      </c>
      <c r="M162" s="10" t="s">
        <v>491</v>
      </c>
      <c r="N162" s="9" t="s">
        <v>492</v>
      </c>
      <c r="P162">
        <v>1</v>
      </c>
      <c r="R162">
        <f t="shared" si="10"/>
        <v>1</v>
      </c>
      <c r="S162">
        <f t="shared" si="11"/>
        <v>0</v>
      </c>
    </row>
    <row r="163" spans="1:19" x14ac:dyDescent="0.2">
      <c r="A163">
        <v>209</v>
      </c>
      <c r="B163" t="s">
        <v>493</v>
      </c>
      <c r="C163" t="s">
        <v>40</v>
      </c>
      <c r="D163" t="s">
        <v>494</v>
      </c>
      <c r="E163" s="4" t="s">
        <v>21</v>
      </c>
      <c r="F163" t="s">
        <v>70</v>
      </c>
      <c r="G163">
        <v>32.002493003827801</v>
      </c>
      <c r="H163">
        <v>34.731694234364099</v>
      </c>
      <c r="I163">
        <f t="shared" si="8"/>
        <v>2015</v>
      </c>
      <c r="J163">
        <f t="shared" si="9"/>
        <v>22</v>
      </c>
      <c r="K163" s="2">
        <v>42151</v>
      </c>
      <c r="L163" s="2" t="s">
        <v>23</v>
      </c>
      <c r="M163" t="s">
        <v>495</v>
      </c>
      <c r="N163" t="s">
        <v>496</v>
      </c>
      <c r="P163">
        <v>1</v>
      </c>
      <c r="R163">
        <f t="shared" si="10"/>
        <v>10</v>
      </c>
      <c r="S163">
        <f t="shared" si="11"/>
        <v>3</v>
      </c>
    </row>
    <row r="164" spans="1:19" x14ac:dyDescent="0.2">
      <c r="A164">
        <v>209</v>
      </c>
      <c r="B164" t="s">
        <v>493</v>
      </c>
      <c r="C164" t="s">
        <v>40</v>
      </c>
      <c r="D164" t="s">
        <v>494</v>
      </c>
      <c r="E164" s="4" t="s">
        <v>21</v>
      </c>
      <c r="F164" t="s">
        <v>64</v>
      </c>
      <c r="G164">
        <v>31.8169667122236</v>
      </c>
      <c r="H164">
        <v>34.639611775767101</v>
      </c>
      <c r="I164">
        <f t="shared" si="8"/>
        <v>2015</v>
      </c>
      <c r="J164">
        <f t="shared" si="9"/>
        <v>22</v>
      </c>
      <c r="K164" s="2">
        <v>42151</v>
      </c>
      <c r="L164" s="2" t="s">
        <v>23</v>
      </c>
      <c r="M164" t="s">
        <v>495</v>
      </c>
      <c r="N164" t="s">
        <v>496</v>
      </c>
      <c r="P164">
        <v>1</v>
      </c>
      <c r="R164">
        <f t="shared" si="10"/>
        <v>10</v>
      </c>
      <c r="S164">
        <f t="shared" si="11"/>
        <v>3</v>
      </c>
    </row>
    <row r="165" spans="1:19" x14ac:dyDescent="0.2">
      <c r="A165">
        <v>209</v>
      </c>
      <c r="B165" t="s">
        <v>493</v>
      </c>
      <c r="C165" t="s">
        <v>40</v>
      </c>
      <c r="D165" t="s">
        <v>494</v>
      </c>
      <c r="E165" s="4" t="s">
        <v>21</v>
      </c>
      <c r="F165" t="s">
        <v>22</v>
      </c>
      <c r="G165">
        <v>31.681438420965801</v>
      </c>
      <c r="H165">
        <v>34.554694789741902</v>
      </c>
      <c r="I165">
        <f t="shared" si="8"/>
        <v>2015</v>
      </c>
      <c r="J165">
        <f t="shared" si="9"/>
        <v>22</v>
      </c>
      <c r="K165" s="2">
        <v>42151</v>
      </c>
      <c r="L165" s="2" t="s">
        <v>23</v>
      </c>
      <c r="M165" t="s">
        <v>495</v>
      </c>
      <c r="N165" t="s">
        <v>496</v>
      </c>
      <c r="P165">
        <v>1</v>
      </c>
      <c r="R165">
        <f t="shared" si="10"/>
        <v>10</v>
      </c>
      <c r="S165">
        <f t="shared" si="11"/>
        <v>3</v>
      </c>
    </row>
    <row r="166" spans="1:19" x14ac:dyDescent="0.2">
      <c r="A166">
        <v>209</v>
      </c>
      <c r="B166" t="s">
        <v>493</v>
      </c>
      <c r="C166" t="s">
        <v>40</v>
      </c>
      <c r="D166" t="s">
        <v>494</v>
      </c>
      <c r="F166" t="s">
        <v>497</v>
      </c>
      <c r="G166">
        <v>32.023220011216303</v>
      </c>
      <c r="H166">
        <v>34.738647655010197</v>
      </c>
      <c r="I166">
        <f t="shared" si="8"/>
        <v>2015</v>
      </c>
      <c r="J166">
        <f t="shared" si="9"/>
        <v>22</v>
      </c>
      <c r="K166" s="2">
        <v>42151</v>
      </c>
      <c r="L166" s="2" t="s">
        <v>23</v>
      </c>
      <c r="M166" t="s">
        <v>495</v>
      </c>
      <c r="N166" t="s">
        <v>496</v>
      </c>
      <c r="P166">
        <v>1</v>
      </c>
      <c r="R166">
        <f t="shared" si="10"/>
        <v>10</v>
      </c>
      <c r="S166">
        <f t="shared" si="11"/>
        <v>0</v>
      </c>
    </row>
    <row r="167" spans="1:19" x14ac:dyDescent="0.2">
      <c r="A167">
        <v>209</v>
      </c>
      <c r="B167" t="s">
        <v>493</v>
      </c>
      <c r="C167" t="s">
        <v>40</v>
      </c>
      <c r="D167" t="s">
        <v>494</v>
      </c>
      <c r="E167" s="5" t="s">
        <v>47</v>
      </c>
      <c r="F167" t="s">
        <v>75</v>
      </c>
      <c r="G167">
        <v>32.439273327223297</v>
      </c>
      <c r="H167">
        <v>34.878068554773698</v>
      </c>
      <c r="I167">
        <f t="shared" si="8"/>
        <v>2015</v>
      </c>
      <c r="J167">
        <f t="shared" si="9"/>
        <v>22</v>
      </c>
      <c r="K167" s="2">
        <v>42151</v>
      </c>
      <c r="L167" s="2" t="s">
        <v>23</v>
      </c>
      <c r="M167" t="s">
        <v>495</v>
      </c>
      <c r="N167" t="s">
        <v>496</v>
      </c>
      <c r="P167">
        <v>1</v>
      </c>
      <c r="R167">
        <f t="shared" si="10"/>
        <v>10</v>
      </c>
      <c r="S167">
        <f t="shared" si="11"/>
        <v>2</v>
      </c>
    </row>
    <row r="168" spans="1:19" x14ac:dyDescent="0.2">
      <c r="A168">
        <v>209</v>
      </c>
      <c r="B168" t="s">
        <v>493</v>
      </c>
      <c r="C168" t="s">
        <v>40</v>
      </c>
      <c r="D168" t="s">
        <v>494</v>
      </c>
      <c r="F168" t="s">
        <v>30</v>
      </c>
      <c r="G168">
        <v>32.8371203553017</v>
      </c>
      <c r="H168">
        <v>34.9792189455856</v>
      </c>
      <c r="I168">
        <f t="shared" si="8"/>
        <v>2015</v>
      </c>
      <c r="J168">
        <f t="shared" si="9"/>
        <v>22</v>
      </c>
      <c r="K168" s="2">
        <v>42151</v>
      </c>
      <c r="L168" s="2" t="s">
        <v>23</v>
      </c>
      <c r="M168" t="s">
        <v>495</v>
      </c>
      <c r="N168" t="s">
        <v>496</v>
      </c>
      <c r="P168">
        <v>1</v>
      </c>
      <c r="R168">
        <f t="shared" si="10"/>
        <v>10</v>
      </c>
      <c r="S168">
        <f t="shared" si="11"/>
        <v>0</v>
      </c>
    </row>
    <row r="169" spans="1:19" x14ac:dyDescent="0.2">
      <c r="A169">
        <v>209</v>
      </c>
      <c r="B169" t="s">
        <v>493</v>
      </c>
      <c r="C169" t="s">
        <v>40</v>
      </c>
      <c r="D169" t="s">
        <v>494</v>
      </c>
      <c r="E169" s="5" t="s">
        <v>47</v>
      </c>
      <c r="F169" t="s">
        <v>243</v>
      </c>
      <c r="G169">
        <v>32.177466819907004</v>
      </c>
      <c r="H169">
        <v>34.801354466376203</v>
      </c>
      <c r="I169">
        <f t="shared" si="8"/>
        <v>2015</v>
      </c>
      <c r="J169">
        <f t="shared" si="9"/>
        <v>22</v>
      </c>
      <c r="K169" s="2">
        <v>42151</v>
      </c>
      <c r="L169" s="2" t="s">
        <v>23</v>
      </c>
      <c r="M169" t="s">
        <v>495</v>
      </c>
      <c r="N169" t="s">
        <v>496</v>
      </c>
      <c r="P169">
        <v>1</v>
      </c>
      <c r="R169">
        <f t="shared" si="10"/>
        <v>10</v>
      </c>
      <c r="S169">
        <f t="shared" si="11"/>
        <v>2</v>
      </c>
    </row>
    <row r="170" spans="1:19" x14ac:dyDescent="0.2">
      <c r="A170">
        <v>209</v>
      </c>
      <c r="B170" t="s">
        <v>493</v>
      </c>
      <c r="C170" t="s">
        <v>40</v>
      </c>
      <c r="D170" t="s">
        <v>494</v>
      </c>
      <c r="F170" t="s">
        <v>48</v>
      </c>
      <c r="G170">
        <v>32.305869740247999</v>
      </c>
      <c r="H170">
        <v>34.842875660039503</v>
      </c>
      <c r="I170">
        <f t="shared" si="8"/>
        <v>2015</v>
      </c>
      <c r="J170">
        <f t="shared" si="9"/>
        <v>22</v>
      </c>
      <c r="K170" s="2">
        <v>42151</v>
      </c>
      <c r="L170" s="2" t="s">
        <v>23</v>
      </c>
      <c r="M170" t="s">
        <v>495</v>
      </c>
      <c r="N170" t="s">
        <v>496</v>
      </c>
      <c r="P170">
        <v>1</v>
      </c>
      <c r="R170">
        <f t="shared" si="10"/>
        <v>10</v>
      </c>
      <c r="S170">
        <f t="shared" si="11"/>
        <v>0</v>
      </c>
    </row>
    <row r="171" spans="1:19" x14ac:dyDescent="0.2">
      <c r="A171">
        <v>209</v>
      </c>
      <c r="B171" t="s">
        <v>493</v>
      </c>
      <c r="C171" t="s">
        <v>40</v>
      </c>
      <c r="D171" t="s">
        <v>494</v>
      </c>
      <c r="E171" s="5" t="s">
        <v>73</v>
      </c>
      <c r="F171" t="s">
        <v>74</v>
      </c>
      <c r="G171">
        <v>32.093438590230903</v>
      </c>
      <c r="H171">
        <v>34.767717357132298</v>
      </c>
      <c r="I171">
        <f t="shared" si="8"/>
        <v>2015</v>
      </c>
      <c r="J171">
        <f t="shared" si="9"/>
        <v>22</v>
      </c>
      <c r="K171" s="2">
        <v>42151</v>
      </c>
      <c r="L171" s="2" t="s">
        <v>23</v>
      </c>
      <c r="M171" t="s">
        <v>495</v>
      </c>
      <c r="N171" t="s">
        <v>496</v>
      </c>
      <c r="P171">
        <v>1</v>
      </c>
      <c r="R171">
        <f t="shared" si="10"/>
        <v>10</v>
      </c>
      <c r="S171">
        <f t="shared" si="11"/>
        <v>1</v>
      </c>
    </row>
    <row r="172" spans="1:19" x14ac:dyDescent="0.2">
      <c r="B172" t="s">
        <v>498</v>
      </c>
      <c r="C172" t="s">
        <v>412</v>
      </c>
      <c r="D172" t="s">
        <v>413</v>
      </c>
      <c r="F172" t="s">
        <v>30</v>
      </c>
      <c r="G172">
        <v>32.8371203553017</v>
      </c>
      <c r="H172">
        <v>34.9792189455856</v>
      </c>
      <c r="I172">
        <f t="shared" si="8"/>
        <v>2015</v>
      </c>
      <c r="J172">
        <f t="shared" si="9"/>
        <v>22</v>
      </c>
      <c r="K172" s="2">
        <v>42152</v>
      </c>
      <c r="L172" s="2" t="s">
        <v>23</v>
      </c>
      <c r="M172" t="s">
        <v>413</v>
      </c>
      <c r="P172">
        <v>1</v>
      </c>
      <c r="R172">
        <f t="shared" si="10"/>
        <v>10</v>
      </c>
      <c r="S172">
        <f t="shared" si="11"/>
        <v>0</v>
      </c>
    </row>
    <row r="173" spans="1:19" x14ac:dyDescent="0.2">
      <c r="A173" s="9">
        <v>202</v>
      </c>
      <c r="B173" s="9" t="s">
        <v>499</v>
      </c>
      <c r="C173" s="9" t="s">
        <v>500</v>
      </c>
      <c r="D173" s="10" t="s">
        <v>501</v>
      </c>
      <c r="E173" s="10"/>
      <c r="F173" s="9" t="s">
        <v>30</v>
      </c>
      <c r="G173" s="9"/>
      <c r="H173" s="9"/>
      <c r="I173">
        <f t="shared" si="8"/>
        <v>2015</v>
      </c>
      <c r="J173">
        <f t="shared" si="9"/>
        <v>23</v>
      </c>
      <c r="K173" s="11">
        <v>42161</v>
      </c>
      <c r="L173" s="2" t="s">
        <v>23</v>
      </c>
      <c r="M173" s="9" t="s">
        <v>502</v>
      </c>
      <c r="N173" s="9" t="s">
        <v>503</v>
      </c>
      <c r="P173">
        <v>1</v>
      </c>
      <c r="R173">
        <f t="shared" si="10"/>
        <v>1</v>
      </c>
      <c r="S173">
        <f t="shared" si="11"/>
        <v>0</v>
      </c>
    </row>
    <row r="174" spans="1:19" x14ac:dyDescent="0.2">
      <c r="A174" s="9">
        <v>18</v>
      </c>
      <c r="B174" s="9" t="s">
        <v>504</v>
      </c>
      <c r="C174" s="9" t="s">
        <v>505</v>
      </c>
      <c r="D174" s="10" t="s">
        <v>506</v>
      </c>
      <c r="E174" s="5" t="s">
        <v>73</v>
      </c>
      <c r="F174" s="9" t="s">
        <v>74</v>
      </c>
      <c r="G174" s="9"/>
      <c r="H174" s="9"/>
      <c r="I174">
        <f t="shared" si="8"/>
        <v>2015</v>
      </c>
      <c r="J174">
        <f t="shared" si="9"/>
        <v>25</v>
      </c>
      <c r="K174" s="11">
        <v>42170</v>
      </c>
      <c r="L174" s="2" t="s">
        <v>23</v>
      </c>
      <c r="M174" s="9" t="s">
        <v>507</v>
      </c>
      <c r="N174" s="9" t="s">
        <v>508</v>
      </c>
      <c r="P174">
        <v>1</v>
      </c>
      <c r="R174">
        <f t="shared" si="10"/>
        <v>2</v>
      </c>
      <c r="S174">
        <f t="shared" si="11"/>
        <v>1</v>
      </c>
    </row>
    <row r="175" spans="1:19" x14ac:dyDescent="0.2">
      <c r="A175" s="12">
        <v>145</v>
      </c>
      <c r="B175" s="12" t="s">
        <v>509</v>
      </c>
      <c r="C175" s="12" t="s">
        <v>510</v>
      </c>
      <c r="D175" s="13" t="s">
        <v>511</v>
      </c>
      <c r="E175" s="13"/>
      <c r="F175" s="12"/>
      <c r="G175" s="12"/>
      <c r="H175" s="12"/>
      <c r="I175">
        <f t="shared" si="8"/>
        <v>2015</v>
      </c>
      <c r="J175">
        <f t="shared" si="9"/>
        <v>25</v>
      </c>
      <c r="K175" s="14">
        <v>42170</v>
      </c>
      <c r="L175" s="2" t="s">
        <v>23</v>
      </c>
      <c r="M175" s="12" t="s">
        <v>512</v>
      </c>
      <c r="N175" s="12" t="s">
        <v>513</v>
      </c>
      <c r="P175">
        <v>1</v>
      </c>
      <c r="R175">
        <f t="shared" si="10"/>
        <v>2</v>
      </c>
      <c r="S175">
        <f t="shared" si="11"/>
        <v>0</v>
      </c>
    </row>
    <row r="176" spans="1:19" x14ac:dyDescent="0.2">
      <c r="A176">
        <v>122</v>
      </c>
      <c r="B176" t="s">
        <v>514</v>
      </c>
      <c r="C176" t="s">
        <v>515</v>
      </c>
      <c r="D176" t="s">
        <v>516</v>
      </c>
      <c r="F176" t="s">
        <v>30</v>
      </c>
      <c r="G176">
        <v>32.8371203553017</v>
      </c>
      <c r="H176">
        <v>34.9792189455856</v>
      </c>
      <c r="I176">
        <f t="shared" si="8"/>
        <v>2015</v>
      </c>
      <c r="J176">
        <f t="shared" si="9"/>
        <v>26</v>
      </c>
      <c r="K176" s="2">
        <v>42177</v>
      </c>
      <c r="L176" s="2" t="s">
        <v>23</v>
      </c>
      <c r="M176" t="s">
        <v>517</v>
      </c>
      <c r="N176" t="s">
        <v>518</v>
      </c>
      <c r="P176">
        <v>1</v>
      </c>
      <c r="R176">
        <f t="shared" si="10"/>
        <v>12</v>
      </c>
      <c r="S176">
        <f t="shared" si="11"/>
        <v>0</v>
      </c>
    </row>
    <row r="177" spans="1:19" x14ac:dyDescent="0.2">
      <c r="A177">
        <v>122</v>
      </c>
      <c r="B177" t="s">
        <v>514</v>
      </c>
      <c r="C177" t="s">
        <v>515</v>
      </c>
      <c r="D177" t="s">
        <v>516</v>
      </c>
      <c r="F177" t="s">
        <v>78</v>
      </c>
      <c r="G177">
        <v>32.849166010823502</v>
      </c>
      <c r="H177">
        <v>35.061617587657501</v>
      </c>
      <c r="I177">
        <f t="shared" si="8"/>
        <v>2015</v>
      </c>
      <c r="J177">
        <f t="shared" si="9"/>
        <v>26</v>
      </c>
      <c r="K177" s="2">
        <v>42177</v>
      </c>
      <c r="L177" s="2" t="s">
        <v>23</v>
      </c>
      <c r="M177" t="s">
        <v>517</v>
      </c>
      <c r="N177" t="s">
        <v>518</v>
      </c>
      <c r="P177">
        <v>1</v>
      </c>
      <c r="R177">
        <f t="shared" si="10"/>
        <v>12</v>
      </c>
      <c r="S177">
        <f t="shared" si="11"/>
        <v>0</v>
      </c>
    </row>
    <row r="178" spans="1:19" x14ac:dyDescent="0.2">
      <c r="A178" s="9">
        <v>484</v>
      </c>
      <c r="B178" s="9" t="s">
        <v>519</v>
      </c>
      <c r="C178" s="9" t="s">
        <v>520</v>
      </c>
      <c r="D178" s="10" t="s">
        <v>521</v>
      </c>
      <c r="E178" s="4" t="s">
        <v>21</v>
      </c>
      <c r="F178" s="9" t="s">
        <v>64</v>
      </c>
      <c r="G178" s="9"/>
      <c r="H178" s="9"/>
      <c r="I178">
        <f t="shared" si="8"/>
        <v>2015</v>
      </c>
      <c r="J178">
        <f t="shared" si="9"/>
        <v>26</v>
      </c>
      <c r="K178" s="11">
        <v>42177</v>
      </c>
      <c r="L178" s="2" t="s">
        <v>23</v>
      </c>
      <c r="M178" s="9" t="s">
        <v>522</v>
      </c>
      <c r="N178" s="9" t="s">
        <v>523</v>
      </c>
      <c r="P178">
        <v>1</v>
      </c>
      <c r="R178">
        <f t="shared" si="10"/>
        <v>12</v>
      </c>
      <c r="S178">
        <f t="shared" si="11"/>
        <v>4</v>
      </c>
    </row>
    <row r="179" spans="1:19" x14ac:dyDescent="0.2">
      <c r="A179">
        <v>64</v>
      </c>
      <c r="B179" t="s">
        <v>524</v>
      </c>
      <c r="D179" t="s">
        <v>525</v>
      </c>
      <c r="E179" s="5" t="s">
        <v>47</v>
      </c>
      <c r="F179" t="s">
        <v>526</v>
      </c>
      <c r="G179">
        <v>32.387344562227902</v>
      </c>
      <c r="H179">
        <v>34.8640819485164</v>
      </c>
      <c r="I179">
        <f t="shared" si="8"/>
        <v>2015</v>
      </c>
      <c r="J179">
        <f t="shared" si="9"/>
        <v>26</v>
      </c>
      <c r="K179" s="2">
        <v>42179</v>
      </c>
      <c r="L179" s="2" t="s">
        <v>23</v>
      </c>
      <c r="M179" t="s">
        <v>527</v>
      </c>
      <c r="P179">
        <v>1</v>
      </c>
      <c r="R179">
        <f t="shared" si="10"/>
        <v>12</v>
      </c>
      <c r="S179">
        <f t="shared" si="11"/>
        <v>1</v>
      </c>
    </row>
    <row r="180" spans="1:19" x14ac:dyDescent="0.2">
      <c r="A180">
        <v>295</v>
      </c>
      <c r="B180" t="s">
        <v>528</v>
      </c>
      <c r="C180" t="s">
        <v>529</v>
      </c>
      <c r="D180" t="s">
        <v>530</v>
      </c>
      <c r="F180" t="s">
        <v>30</v>
      </c>
      <c r="G180">
        <v>32.8371203553017</v>
      </c>
      <c r="H180">
        <v>34.9792189455856</v>
      </c>
      <c r="I180">
        <f t="shared" si="8"/>
        <v>2015</v>
      </c>
      <c r="J180">
        <f t="shared" si="9"/>
        <v>26</v>
      </c>
      <c r="K180" s="2">
        <v>42179</v>
      </c>
      <c r="L180" s="2" t="s">
        <v>23</v>
      </c>
      <c r="M180" t="s">
        <v>531</v>
      </c>
      <c r="N180" t="s">
        <v>532</v>
      </c>
      <c r="P180">
        <v>1</v>
      </c>
      <c r="R180">
        <f t="shared" si="10"/>
        <v>12</v>
      </c>
      <c r="S180">
        <f t="shared" si="11"/>
        <v>0</v>
      </c>
    </row>
    <row r="181" spans="1:19" x14ac:dyDescent="0.2">
      <c r="A181">
        <v>64</v>
      </c>
      <c r="B181" t="s">
        <v>524</v>
      </c>
      <c r="D181" t="s">
        <v>525</v>
      </c>
      <c r="F181" t="s">
        <v>30</v>
      </c>
      <c r="G181">
        <v>32.8371203553017</v>
      </c>
      <c r="H181">
        <v>34.9792189455856</v>
      </c>
      <c r="I181">
        <f t="shared" si="8"/>
        <v>2015</v>
      </c>
      <c r="J181">
        <f t="shared" si="9"/>
        <v>26</v>
      </c>
      <c r="K181" s="2">
        <v>42179</v>
      </c>
      <c r="L181" s="2" t="s">
        <v>23</v>
      </c>
      <c r="M181" t="s">
        <v>527</v>
      </c>
      <c r="P181">
        <v>1</v>
      </c>
      <c r="R181">
        <f t="shared" si="10"/>
        <v>12</v>
      </c>
      <c r="S181">
        <f t="shared" si="11"/>
        <v>0</v>
      </c>
    </row>
    <row r="182" spans="1:19" x14ac:dyDescent="0.2">
      <c r="A182">
        <v>636</v>
      </c>
      <c r="B182" t="s">
        <v>533</v>
      </c>
      <c r="C182" t="s">
        <v>534</v>
      </c>
      <c r="D182" t="s">
        <v>535</v>
      </c>
      <c r="E182" s="4" t="s">
        <v>21</v>
      </c>
      <c r="F182" t="s">
        <v>22</v>
      </c>
      <c r="G182">
        <v>31.681438420965801</v>
      </c>
      <c r="H182">
        <v>34.554694789741902</v>
      </c>
      <c r="I182">
        <f t="shared" si="8"/>
        <v>2015</v>
      </c>
      <c r="J182">
        <f t="shared" si="9"/>
        <v>26</v>
      </c>
      <c r="K182" s="2">
        <v>42180</v>
      </c>
      <c r="L182" s="2" t="s">
        <v>23</v>
      </c>
      <c r="M182" t="s">
        <v>536</v>
      </c>
      <c r="N182" t="s">
        <v>537</v>
      </c>
      <c r="P182">
        <v>1</v>
      </c>
      <c r="R182">
        <f t="shared" si="10"/>
        <v>12</v>
      </c>
      <c r="S182">
        <f t="shared" si="11"/>
        <v>4</v>
      </c>
    </row>
    <row r="183" spans="1:19" x14ac:dyDescent="0.2">
      <c r="B183" t="s">
        <v>538</v>
      </c>
      <c r="C183" t="s">
        <v>326</v>
      </c>
      <c r="D183" t="s">
        <v>539</v>
      </c>
      <c r="E183" s="4" t="s">
        <v>21</v>
      </c>
      <c r="F183" t="s">
        <v>22</v>
      </c>
      <c r="G183">
        <v>31.681438420965801</v>
      </c>
      <c r="H183">
        <v>34.554694789741902</v>
      </c>
      <c r="I183">
        <f t="shared" si="8"/>
        <v>2015</v>
      </c>
      <c r="J183">
        <f t="shared" si="9"/>
        <v>26</v>
      </c>
      <c r="K183" s="2">
        <v>42180</v>
      </c>
      <c r="L183" s="2" t="s">
        <v>23</v>
      </c>
      <c r="M183" t="s">
        <v>540</v>
      </c>
      <c r="N183" t="s">
        <v>541</v>
      </c>
      <c r="P183">
        <v>1</v>
      </c>
      <c r="R183">
        <f t="shared" si="10"/>
        <v>12</v>
      </c>
      <c r="S183">
        <f t="shared" si="11"/>
        <v>4</v>
      </c>
    </row>
    <row r="184" spans="1:19" x14ac:dyDescent="0.2">
      <c r="A184" s="12"/>
      <c r="B184" s="12"/>
      <c r="C184" s="12" t="s">
        <v>542</v>
      </c>
      <c r="D184" s="13" t="s">
        <v>543</v>
      </c>
      <c r="E184" s="4" t="s">
        <v>21</v>
      </c>
      <c r="F184" s="12" t="s">
        <v>22</v>
      </c>
      <c r="G184" s="12"/>
      <c r="H184" s="12"/>
      <c r="I184">
        <f t="shared" si="8"/>
        <v>2015</v>
      </c>
      <c r="J184">
        <f t="shared" si="9"/>
        <v>26</v>
      </c>
      <c r="K184" s="14">
        <v>42181</v>
      </c>
      <c r="L184" s="2" t="s">
        <v>23</v>
      </c>
      <c r="M184" s="12"/>
      <c r="N184" s="12"/>
      <c r="P184">
        <v>1</v>
      </c>
      <c r="R184">
        <f t="shared" si="10"/>
        <v>12</v>
      </c>
      <c r="S184">
        <f t="shared" si="11"/>
        <v>4</v>
      </c>
    </row>
    <row r="185" spans="1:19" x14ac:dyDescent="0.2">
      <c r="A185" t="s">
        <v>544</v>
      </c>
      <c r="B185" t="s">
        <v>545</v>
      </c>
      <c r="C185" t="s">
        <v>237</v>
      </c>
      <c r="D185" t="s">
        <v>546</v>
      </c>
      <c r="I185">
        <f t="shared" si="8"/>
        <v>2015</v>
      </c>
      <c r="J185">
        <f t="shared" si="9"/>
        <v>26</v>
      </c>
      <c r="K185" s="2">
        <v>42182</v>
      </c>
      <c r="L185" s="2" t="s">
        <v>23</v>
      </c>
      <c r="M185" t="s">
        <v>547</v>
      </c>
      <c r="N185" t="s">
        <v>548</v>
      </c>
      <c r="P185">
        <v>1</v>
      </c>
      <c r="R185">
        <f t="shared" si="10"/>
        <v>12</v>
      </c>
      <c r="S185">
        <f t="shared" si="11"/>
        <v>0</v>
      </c>
    </row>
    <row r="186" spans="1:19" x14ac:dyDescent="0.2">
      <c r="A186" t="s">
        <v>549</v>
      </c>
      <c r="B186" t="s">
        <v>550</v>
      </c>
      <c r="C186" t="s">
        <v>237</v>
      </c>
      <c r="D186" t="s">
        <v>551</v>
      </c>
      <c r="I186">
        <f t="shared" si="8"/>
        <v>2015</v>
      </c>
      <c r="J186">
        <f t="shared" si="9"/>
        <v>26</v>
      </c>
      <c r="K186" s="2">
        <v>42182</v>
      </c>
      <c r="L186" s="2" t="s">
        <v>23</v>
      </c>
      <c r="M186" t="s">
        <v>552</v>
      </c>
      <c r="N186" t="s">
        <v>553</v>
      </c>
      <c r="P186">
        <v>1</v>
      </c>
      <c r="R186">
        <f t="shared" si="10"/>
        <v>12</v>
      </c>
      <c r="S186">
        <f t="shared" si="11"/>
        <v>0</v>
      </c>
    </row>
    <row r="187" spans="1:19" x14ac:dyDescent="0.2">
      <c r="A187" s="9">
        <v>80</v>
      </c>
      <c r="B187" s="9" t="s">
        <v>554</v>
      </c>
      <c r="C187" s="9" t="s">
        <v>555</v>
      </c>
      <c r="D187" s="10" t="s">
        <v>556</v>
      </c>
      <c r="E187" s="10"/>
      <c r="F187" s="9"/>
      <c r="G187" s="9"/>
      <c r="H187" s="9"/>
      <c r="I187">
        <f t="shared" si="8"/>
        <v>2015</v>
      </c>
      <c r="J187">
        <f t="shared" si="9"/>
        <v>26</v>
      </c>
      <c r="K187" s="11">
        <v>42182</v>
      </c>
      <c r="L187" s="2" t="s">
        <v>23</v>
      </c>
      <c r="M187" s="10" t="s">
        <v>557</v>
      </c>
      <c r="N187" s="9" t="s">
        <v>558</v>
      </c>
      <c r="P187">
        <v>1</v>
      </c>
      <c r="R187">
        <f t="shared" si="10"/>
        <v>12</v>
      </c>
      <c r="S187">
        <f t="shared" si="11"/>
        <v>0</v>
      </c>
    </row>
    <row r="188" spans="1:19" x14ac:dyDescent="0.2">
      <c r="A188" s="1">
        <v>455</v>
      </c>
      <c r="B188" t="s">
        <v>559</v>
      </c>
      <c r="C188" t="s">
        <v>412</v>
      </c>
      <c r="D188" t="s">
        <v>413</v>
      </c>
      <c r="E188" s="5" t="s">
        <v>73</v>
      </c>
      <c r="F188" t="s">
        <v>74</v>
      </c>
      <c r="G188">
        <v>32.093438590230903</v>
      </c>
      <c r="H188">
        <v>34.767717357132298</v>
      </c>
      <c r="I188">
        <f t="shared" si="8"/>
        <v>2015</v>
      </c>
      <c r="J188">
        <f t="shared" si="9"/>
        <v>27</v>
      </c>
      <c r="K188" s="2">
        <v>42183</v>
      </c>
      <c r="L188" s="2" t="s">
        <v>23</v>
      </c>
      <c r="M188" t="s">
        <v>560</v>
      </c>
      <c r="N188" t="s">
        <v>415</v>
      </c>
      <c r="P188">
        <v>1</v>
      </c>
      <c r="R188">
        <f t="shared" si="10"/>
        <v>5</v>
      </c>
      <c r="S188">
        <f t="shared" si="11"/>
        <v>2</v>
      </c>
    </row>
    <row r="189" spans="1:19" x14ac:dyDescent="0.2">
      <c r="A189">
        <v>473</v>
      </c>
      <c r="B189" t="s">
        <v>561</v>
      </c>
      <c r="C189" t="s">
        <v>40</v>
      </c>
      <c r="D189" t="s">
        <v>562</v>
      </c>
      <c r="E189" s="4" t="s">
        <v>21</v>
      </c>
      <c r="F189" t="s">
        <v>22</v>
      </c>
      <c r="G189">
        <v>31.681438420965801</v>
      </c>
      <c r="H189">
        <v>34.554694789741902</v>
      </c>
      <c r="I189">
        <f t="shared" si="8"/>
        <v>2015</v>
      </c>
      <c r="J189">
        <f t="shared" si="9"/>
        <v>27</v>
      </c>
      <c r="K189" s="2">
        <v>42186</v>
      </c>
      <c r="L189" s="2" t="s">
        <v>23</v>
      </c>
      <c r="M189" t="s">
        <v>563</v>
      </c>
      <c r="N189" t="s">
        <v>564</v>
      </c>
      <c r="P189">
        <v>1</v>
      </c>
      <c r="R189">
        <f t="shared" si="10"/>
        <v>5</v>
      </c>
      <c r="S189">
        <f t="shared" si="11"/>
        <v>1</v>
      </c>
    </row>
    <row r="190" spans="1:19" x14ac:dyDescent="0.2">
      <c r="A190" s="1">
        <v>564</v>
      </c>
      <c r="B190" t="s">
        <v>565</v>
      </c>
      <c r="C190" t="s">
        <v>412</v>
      </c>
      <c r="D190" t="s">
        <v>413</v>
      </c>
      <c r="F190" t="s">
        <v>48</v>
      </c>
      <c r="G190">
        <v>32.305869740247999</v>
      </c>
      <c r="H190">
        <v>34.842875660039503</v>
      </c>
      <c r="I190">
        <f t="shared" si="8"/>
        <v>2015</v>
      </c>
      <c r="J190">
        <f t="shared" si="9"/>
        <v>27</v>
      </c>
      <c r="K190" s="2">
        <v>42188</v>
      </c>
      <c r="L190" s="2" t="s">
        <v>23</v>
      </c>
      <c r="M190" t="s">
        <v>566</v>
      </c>
      <c r="N190" t="s">
        <v>415</v>
      </c>
      <c r="P190">
        <v>1</v>
      </c>
      <c r="R190">
        <f t="shared" si="10"/>
        <v>5</v>
      </c>
      <c r="S190">
        <f t="shared" si="11"/>
        <v>0</v>
      </c>
    </row>
    <row r="191" spans="1:19" x14ac:dyDescent="0.2">
      <c r="A191" s="1">
        <v>406</v>
      </c>
      <c r="B191" t="s">
        <v>498</v>
      </c>
      <c r="C191" t="s">
        <v>412</v>
      </c>
      <c r="D191" t="s">
        <v>413</v>
      </c>
      <c r="E191" s="5" t="s">
        <v>73</v>
      </c>
      <c r="F191" t="s">
        <v>74</v>
      </c>
      <c r="G191">
        <v>32.093438590230903</v>
      </c>
      <c r="H191">
        <v>34.767717357132298</v>
      </c>
      <c r="I191">
        <f t="shared" si="8"/>
        <v>2015</v>
      </c>
      <c r="J191">
        <f t="shared" si="9"/>
        <v>27</v>
      </c>
      <c r="K191" s="2">
        <v>42188</v>
      </c>
      <c r="L191" s="2" t="s">
        <v>23</v>
      </c>
      <c r="M191" t="s">
        <v>567</v>
      </c>
      <c r="N191" t="s">
        <v>415</v>
      </c>
      <c r="P191">
        <v>1</v>
      </c>
      <c r="R191">
        <f t="shared" si="10"/>
        <v>5</v>
      </c>
      <c r="S191">
        <f t="shared" si="11"/>
        <v>2</v>
      </c>
    </row>
    <row r="192" spans="1:19" x14ac:dyDescent="0.2">
      <c r="A192" s="1">
        <v>74</v>
      </c>
      <c r="B192" t="s">
        <v>568</v>
      </c>
      <c r="C192" t="s">
        <v>569</v>
      </c>
      <c r="D192" t="s">
        <v>570</v>
      </c>
      <c r="F192" t="s">
        <v>30</v>
      </c>
      <c r="G192">
        <v>32.8371203553017</v>
      </c>
      <c r="H192">
        <v>34.9792189455856</v>
      </c>
      <c r="I192">
        <f t="shared" si="8"/>
        <v>2015</v>
      </c>
      <c r="J192">
        <f t="shared" si="9"/>
        <v>27</v>
      </c>
      <c r="K192" s="2">
        <v>42189</v>
      </c>
      <c r="L192" s="2" t="s">
        <v>23</v>
      </c>
      <c r="M192" t="s">
        <v>571</v>
      </c>
      <c r="N192" t="s">
        <v>572</v>
      </c>
      <c r="P192">
        <v>1</v>
      </c>
      <c r="R192">
        <f t="shared" si="10"/>
        <v>5</v>
      </c>
      <c r="S192">
        <f t="shared" si="11"/>
        <v>0</v>
      </c>
    </row>
    <row r="193" spans="1:19" x14ac:dyDescent="0.2">
      <c r="A193">
        <v>689</v>
      </c>
      <c r="B193" t="s">
        <v>573</v>
      </c>
      <c r="C193" t="s">
        <v>574</v>
      </c>
      <c r="D193" t="s">
        <v>575</v>
      </c>
      <c r="F193" t="s">
        <v>242</v>
      </c>
      <c r="G193">
        <v>32.023220011216303</v>
      </c>
      <c r="H193">
        <v>34.738647655010197</v>
      </c>
      <c r="I193">
        <f t="shared" si="8"/>
        <v>2015</v>
      </c>
      <c r="J193">
        <f t="shared" si="9"/>
        <v>28</v>
      </c>
      <c r="K193" s="2">
        <v>42190</v>
      </c>
      <c r="L193" s="2" t="s">
        <v>23</v>
      </c>
      <c r="M193" t="s">
        <v>576</v>
      </c>
      <c r="N193" t="s">
        <v>577</v>
      </c>
      <c r="P193">
        <v>1</v>
      </c>
      <c r="R193">
        <f t="shared" si="10"/>
        <v>2</v>
      </c>
      <c r="S193">
        <f t="shared" si="11"/>
        <v>0</v>
      </c>
    </row>
    <row r="194" spans="1:19" x14ac:dyDescent="0.2">
      <c r="B194" t="s">
        <v>498</v>
      </c>
      <c r="C194" t="s">
        <v>412</v>
      </c>
      <c r="D194" t="s">
        <v>413</v>
      </c>
      <c r="F194" t="s">
        <v>78</v>
      </c>
      <c r="G194">
        <v>32.849166010823502</v>
      </c>
      <c r="H194">
        <v>35.061617587657501</v>
      </c>
      <c r="I194">
        <f t="shared" ref="I194:I257" si="12">YEAR(K194)</f>
        <v>2015</v>
      </c>
      <c r="J194">
        <f t="shared" ref="J194:J257" si="13">WEEKNUM(K194)</f>
        <v>28</v>
      </c>
      <c r="K194" s="2">
        <v>42191</v>
      </c>
      <c r="L194" s="2" t="s">
        <v>23</v>
      </c>
      <c r="M194" t="s">
        <v>413</v>
      </c>
      <c r="P194">
        <v>1</v>
      </c>
      <c r="R194">
        <f t="shared" si="10"/>
        <v>2</v>
      </c>
      <c r="S194">
        <f t="shared" si="11"/>
        <v>0</v>
      </c>
    </row>
    <row r="195" spans="1:19" x14ac:dyDescent="0.2">
      <c r="A195">
        <v>58</v>
      </c>
      <c r="B195" t="s">
        <v>578</v>
      </c>
      <c r="C195" t="s">
        <v>579</v>
      </c>
      <c r="D195" t="s">
        <v>580</v>
      </c>
      <c r="E195" s="5" t="s">
        <v>47</v>
      </c>
      <c r="F195" t="s">
        <v>526</v>
      </c>
      <c r="G195">
        <v>32.387344562227902</v>
      </c>
      <c r="H195">
        <v>34.8640819485164</v>
      </c>
      <c r="I195">
        <f t="shared" si="12"/>
        <v>2015</v>
      </c>
      <c r="J195">
        <f t="shared" si="13"/>
        <v>29</v>
      </c>
      <c r="K195" s="2">
        <v>42203</v>
      </c>
      <c r="L195" s="2" t="s">
        <v>23</v>
      </c>
      <c r="M195" t="s">
        <v>581</v>
      </c>
      <c r="N195" t="s">
        <v>582</v>
      </c>
      <c r="P195">
        <v>1</v>
      </c>
      <c r="R195">
        <f t="shared" ref="R195:R258" si="14">COUNTIFS($J$2:$J$997,J195,$I$2:$I$997,I195)</f>
        <v>1</v>
      </c>
      <c r="S195">
        <f t="shared" ref="S195:S258" si="15">COUNTIFS($J$2:$J$997,J195,$I$2:$I$997,I195,$E$2:$E$997,E195)</f>
        <v>1</v>
      </c>
    </row>
    <row r="196" spans="1:19" x14ac:dyDescent="0.2">
      <c r="A196" s="9">
        <v>15</v>
      </c>
      <c r="B196" s="9" t="s">
        <v>583</v>
      </c>
      <c r="C196" s="9" t="s">
        <v>584</v>
      </c>
      <c r="D196" s="10" t="s">
        <v>585</v>
      </c>
      <c r="E196" s="5" t="s">
        <v>21</v>
      </c>
      <c r="F196" s="9" t="s">
        <v>586</v>
      </c>
      <c r="G196" s="9"/>
      <c r="H196" s="9"/>
      <c r="I196">
        <f t="shared" si="12"/>
        <v>2015</v>
      </c>
      <c r="J196">
        <f t="shared" si="13"/>
        <v>30</v>
      </c>
      <c r="K196" s="11">
        <v>42210</v>
      </c>
      <c r="L196" s="2" t="s">
        <v>23</v>
      </c>
      <c r="M196" s="9" t="s">
        <v>587</v>
      </c>
      <c r="N196" s="9" t="s">
        <v>588</v>
      </c>
      <c r="P196">
        <v>1</v>
      </c>
      <c r="R196">
        <f t="shared" si="14"/>
        <v>3</v>
      </c>
      <c r="S196">
        <f t="shared" si="15"/>
        <v>1</v>
      </c>
    </row>
    <row r="197" spans="1:19" x14ac:dyDescent="0.2">
      <c r="A197" s="9">
        <v>15</v>
      </c>
      <c r="B197" s="9" t="s">
        <v>583</v>
      </c>
      <c r="C197" s="9" t="s">
        <v>584</v>
      </c>
      <c r="D197" s="10" t="s">
        <v>585</v>
      </c>
      <c r="E197" s="5" t="s">
        <v>73</v>
      </c>
      <c r="F197" s="9" t="s">
        <v>586</v>
      </c>
      <c r="G197" s="9"/>
      <c r="H197" s="9"/>
      <c r="I197">
        <f t="shared" si="12"/>
        <v>2015</v>
      </c>
      <c r="J197">
        <f t="shared" si="13"/>
        <v>30</v>
      </c>
      <c r="K197" s="11">
        <v>42210</v>
      </c>
      <c r="L197" s="2" t="s">
        <v>23</v>
      </c>
      <c r="M197" s="9" t="s">
        <v>587</v>
      </c>
      <c r="N197" s="9" t="s">
        <v>588</v>
      </c>
      <c r="P197">
        <v>1</v>
      </c>
      <c r="R197">
        <f t="shared" si="14"/>
        <v>3</v>
      </c>
      <c r="S197">
        <f t="shared" si="15"/>
        <v>1</v>
      </c>
    </row>
    <row r="198" spans="1:19" x14ac:dyDescent="0.2">
      <c r="A198" s="12"/>
      <c r="B198" s="12"/>
      <c r="C198" s="12"/>
      <c r="D198" s="13" t="s">
        <v>585</v>
      </c>
      <c r="E198" s="13" t="s">
        <v>29</v>
      </c>
      <c r="F198" s="12" t="s">
        <v>589</v>
      </c>
      <c r="G198" s="12"/>
      <c r="H198" s="12"/>
      <c r="I198">
        <f t="shared" si="12"/>
        <v>2015</v>
      </c>
      <c r="J198">
        <f t="shared" si="13"/>
        <v>30</v>
      </c>
      <c r="K198" s="14">
        <v>42210</v>
      </c>
      <c r="L198" s="2" t="s">
        <v>23</v>
      </c>
      <c r="M198" s="12"/>
      <c r="N198" s="12"/>
      <c r="P198">
        <v>1</v>
      </c>
      <c r="R198">
        <f t="shared" si="14"/>
        <v>3</v>
      </c>
      <c r="S198">
        <f t="shared" si="15"/>
        <v>1</v>
      </c>
    </row>
    <row r="199" spans="1:19" x14ac:dyDescent="0.2">
      <c r="A199" s="12"/>
      <c r="B199" s="12"/>
      <c r="C199" s="12" t="s">
        <v>135</v>
      </c>
      <c r="D199" s="13" t="s">
        <v>590</v>
      </c>
      <c r="E199" s="13" t="s">
        <v>29</v>
      </c>
      <c r="F199" s="12" t="s">
        <v>589</v>
      </c>
      <c r="G199" s="12"/>
      <c r="H199" s="12"/>
      <c r="I199">
        <f t="shared" si="12"/>
        <v>2015</v>
      </c>
      <c r="J199">
        <f t="shared" si="13"/>
        <v>31</v>
      </c>
      <c r="K199" s="14">
        <v>42215</v>
      </c>
      <c r="L199" s="2" t="s">
        <v>23</v>
      </c>
      <c r="M199" s="12"/>
      <c r="N199" s="12"/>
      <c r="P199">
        <v>1</v>
      </c>
      <c r="R199">
        <f t="shared" si="14"/>
        <v>4</v>
      </c>
      <c r="S199">
        <f t="shared" si="15"/>
        <v>1</v>
      </c>
    </row>
    <row r="200" spans="1:19" x14ac:dyDescent="0.2">
      <c r="A200" s="9"/>
      <c r="B200" s="9"/>
      <c r="C200" s="9" t="s">
        <v>135</v>
      </c>
      <c r="D200" s="10" t="s">
        <v>590</v>
      </c>
      <c r="E200" s="10" t="s">
        <v>21</v>
      </c>
      <c r="F200" s="9" t="s">
        <v>115</v>
      </c>
      <c r="G200" s="9"/>
      <c r="H200" s="9"/>
      <c r="I200">
        <f t="shared" si="12"/>
        <v>2015</v>
      </c>
      <c r="J200">
        <f t="shared" si="13"/>
        <v>31</v>
      </c>
      <c r="K200" s="11">
        <v>42215</v>
      </c>
      <c r="L200" s="2" t="s">
        <v>23</v>
      </c>
      <c r="M200" s="9"/>
      <c r="N200" s="9"/>
      <c r="P200">
        <v>1</v>
      </c>
      <c r="R200">
        <f t="shared" si="14"/>
        <v>4</v>
      </c>
      <c r="S200">
        <f t="shared" si="15"/>
        <v>1</v>
      </c>
    </row>
    <row r="201" spans="1:19" x14ac:dyDescent="0.2">
      <c r="A201" s="12">
        <v>60</v>
      </c>
      <c r="B201" s="12" t="s">
        <v>591</v>
      </c>
      <c r="C201" s="12" t="s">
        <v>428</v>
      </c>
      <c r="D201" s="13" t="s">
        <v>592</v>
      </c>
      <c r="E201" s="13"/>
      <c r="F201" s="12"/>
      <c r="G201" s="12"/>
      <c r="H201" s="12"/>
      <c r="I201">
        <f t="shared" si="12"/>
        <v>2015</v>
      </c>
      <c r="J201">
        <f t="shared" si="13"/>
        <v>31</v>
      </c>
      <c r="K201" s="14">
        <v>42215</v>
      </c>
      <c r="L201" s="2" t="s">
        <v>23</v>
      </c>
      <c r="M201" s="12" t="s">
        <v>593</v>
      </c>
      <c r="N201" s="12" t="s">
        <v>594</v>
      </c>
      <c r="P201">
        <v>1</v>
      </c>
      <c r="R201">
        <f t="shared" si="14"/>
        <v>4</v>
      </c>
      <c r="S201">
        <f t="shared" si="15"/>
        <v>0</v>
      </c>
    </row>
    <row r="202" spans="1:19" x14ac:dyDescent="0.2">
      <c r="A202" s="12">
        <v>313</v>
      </c>
      <c r="B202" s="12" t="s">
        <v>595</v>
      </c>
      <c r="C202" s="12" t="s">
        <v>98</v>
      </c>
      <c r="D202" s="13" t="s">
        <v>596</v>
      </c>
      <c r="E202" s="13"/>
      <c r="F202" s="12"/>
      <c r="G202" s="12"/>
      <c r="H202" s="12"/>
      <c r="I202">
        <f t="shared" si="12"/>
        <v>2015</v>
      </c>
      <c r="J202">
        <f t="shared" si="13"/>
        <v>31</v>
      </c>
      <c r="K202" s="14">
        <v>42215</v>
      </c>
      <c r="L202" s="2" t="s">
        <v>23</v>
      </c>
      <c r="M202" s="12" t="s">
        <v>597</v>
      </c>
      <c r="N202" s="12" t="s">
        <v>598</v>
      </c>
      <c r="P202">
        <v>1</v>
      </c>
      <c r="R202">
        <f t="shared" si="14"/>
        <v>4</v>
      </c>
      <c r="S202">
        <f t="shared" si="15"/>
        <v>0</v>
      </c>
    </row>
    <row r="203" spans="1:19" x14ac:dyDescent="0.2">
      <c r="A203" s="12">
        <v>307</v>
      </c>
      <c r="B203" s="12" t="s">
        <v>599</v>
      </c>
      <c r="C203" s="12" t="s">
        <v>600</v>
      </c>
      <c r="D203" s="12" t="s">
        <v>601</v>
      </c>
      <c r="E203" s="4" t="s">
        <v>21</v>
      </c>
      <c r="F203" s="12" t="s">
        <v>22</v>
      </c>
      <c r="I203">
        <f t="shared" si="12"/>
        <v>2015</v>
      </c>
      <c r="J203">
        <f t="shared" si="13"/>
        <v>32</v>
      </c>
      <c r="K203" s="17">
        <v>42219</v>
      </c>
      <c r="L203" s="2" t="s">
        <v>23</v>
      </c>
      <c r="M203" s="12" t="s">
        <v>602</v>
      </c>
      <c r="N203" s="12" t="s">
        <v>603</v>
      </c>
      <c r="P203">
        <v>1</v>
      </c>
      <c r="R203">
        <f t="shared" si="14"/>
        <v>1</v>
      </c>
      <c r="S203">
        <f t="shared" si="15"/>
        <v>1</v>
      </c>
    </row>
    <row r="204" spans="1:19" x14ac:dyDescent="0.2">
      <c r="A204"/>
      <c r="B204" t="s">
        <v>604</v>
      </c>
      <c r="C204" t="s">
        <v>605</v>
      </c>
      <c r="D204" t="s">
        <v>606</v>
      </c>
      <c r="I204">
        <f t="shared" si="12"/>
        <v>2015</v>
      </c>
      <c r="J204">
        <f t="shared" si="13"/>
        <v>36</v>
      </c>
      <c r="K204" s="2">
        <v>42246</v>
      </c>
      <c r="L204" s="2" t="s">
        <v>23</v>
      </c>
      <c r="M204" t="s">
        <v>607</v>
      </c>
      <c r="N204" t="s">
        <v>608</v>
      </c>
      <c r="P204">
        <v>1</v>
      </c>
      <c r="R204">
        <f t="shared" si="14"/>
        <v>2</v>
      </c>
      <c r="S204">
        <f t="shared" si="15"/>
        <v>0</v>
      </c>
    </row>
    <row r="205" spans="1:19" x14ac:dyDescent="0.2">
      <c r="A205" s="9">
        <v>23</v>
      </c>
      <c r="B205" s="9" t="s">
        <v>609</v>
      </c>
      <c r="C205" s="9" t="s">
        <v>610</v>
      </c>
      <c r="D205" s="9" t="s">
        <v>611</v>
      </c>
      <c r="E205" s="9"/>
      <c r="F205" s="9"/>
      <c r="I205">
        <f t="shared" si="12"/>
        <v>2015</v>
      </c>
      <c r="J205">
        <f t="shared" si="13"/>
        <v>36</v>
      </c>
      <c r="K205" s="16">
        <v>42246</v>
      </c>
      <c r="L205" s="2" t="s">
        <v>23</v>
      </c>
      <c r="M205" s="10" t="s">
        <v>612</v>
      </c>
      <c r="N205" s="9" t="s">
        <v>613</v>
      </c>
      <c r="P205">
        <v>1</v>
      </c>
      <c r="R205">
        <f t="shared" si="14"/>
        <v>2</v>
      </c>
      <c r="S205">
        <f t="shared" si="15"/>
        <v>0</v>
      </c>
    </row>
    <row r="206" spans="1:19" x14ac:dyDescent="0.2">
      <c r="A206">
        <v>59</v>
      </c>
      <c r="B206" t="s">
        <v>614</v>
      </c>
      <c r="C206" t="s">
        <v>615</v>
      </c>
      <c r="D206" t="s">
        <v>616</v>
      </c>
      <c r="E206" s="5" t="s">
        <v>73</v>
      </c>
      <c r="F206" t="s">
        <v>74</v>
      </c>
      <c r="G206">
        <v>32.093438590230903</v>
      </c>
      <c r="H206">
        <v>34.767717357132298</v>
      </c>
      <c r="I206">
        <f t="shared" si="12"/>
        <v>2015</v>
      </c>
      <c r="J206">
        <f t="shared" si="13"/>
        <v>47</v>
      </c>
      <c r="K206" s="2">
        <v>42324</v>
      </c>
      <c r="L206" s="2" t="s">
        <v>23</v>
      </c>
      <c r="M206" t="s">
        <v>617</v>
      </c>
      <c r="N206" t="s">
        <v>618</v>
      </c>
      <c r="P206">
        <v>1</v>
      </c>
      <c r="R206">
        <f t="shared" si="14"/>
        <v>1</v>
      </c>
      <c r="S206">
        <f t="shared" si="15"/>
        <v>1</v>
      </c>
    </row>
    <row r="207" spans="1:19" x14ac:dyDescent="0.2">
      <c r="A207">
        <v>19</v>
      </c>
      <c r="B207" t="s">
        <v>619</v>
      </c>
      <c r="D207" t="s">
        <v>620</v>
      </c>
      <c r="F207" t="s">
        <v>48</v>
      </c>
      <c r="G207">
        <v>32.305869740247999</v>
      </c>
      <c r="H207">
        <v>34.842875660039503</v>
      </c>
      <c r="I207">
        <f t="shared" si="12"/>
        <v>2016</v>
      </c>
      <c r="J207">
        <f t="shared" si="13"/>
        <v>25</v>
      </c>
      <c r="K207" s="2">
        <v>42538</v>
      </c>
      <c r="L207" s="2" t="s">
        <v>23</v>
      </c>
      <c r="M207" t="s">
        <v>621</v>
      </c>
      <c r="N207" t="s">
        <v>622</v>
      </c>
      <c r="P207">
        <v>1</v>
      </c>
      <c r="R207">
        <f t="shared" si="14"/>
        <v>5</v>
      </c>
      <c r="S207">
        <f t="shared" si="15"/>
        <v>0</v>
      </c>
    </row>
    <row r="208" spans="1:19" x14ac:dyDescent="0.2">
      <c r="A208">
        <v>19</v>
      </c>
      <c r="B208" t="s">
        <v>619</v>
      </c>
      <c r="D208" t="s">
        <v>620</v>
      </c>
      <c r="E208" s="4" t="s">
        <v>21</v>
      </c>
      <c r="F208" t="s">
        <v>64</v>
      </c>
      <c r="G208">
        <v>31.8169667122236</v>
      </c>
      <c r="H208">
        <v>34.639611775767101</v>
      </c>
      <c r="I208">
        <f t="shared" si="12"/>
        <v>2016</v>
      </c>
      <c r="J208">
        <f t="shared" si="13"/>
        <v>25</v>
      </c>
      <c r="K208" s="2">
        <v>42538</v>
      </c>
      <c r="L208" s="2" t="s">
        <v>23</v>
      </c>
      <c r="M208" t="s">
        <v>621</v>
      </c>
      <c r="N208" t="s">
        <v>622</v>
      </c>
      <c r="P208">
        <v>1</v>
      </c>
      <c r="R208">
        <f t="shared" si="14"/>
        <v>5</v>
      </c>
      <c r="S208">
        <f t="shared" si="15"/>
        <v>2</v>
      </c>
    </row>
    <row r="209" spans="1:19" x14ac:dyDescent="0.2">
      <c r="A209">
        <v>19</v>
      </c>
      <c r="B209" t="s">
        <v>619</v>
      </c>
      <c r="D209" t="s">
        <v>620</v>
      </c>
      <c r="E209" s="4" t="s">
        <v>21</v>
      </c>
      <c r="F209" t="s">
        <v>22</v>
      </c>
      <c r="G209">
        <v>31.681438420965801</v>
      </c>
      <c r="H209">
        <v>34.554694789741902</v>
      </c>
      <c r="I209">
        <f t="shared" si="12"/>
        <v>2016</v>
      </c>
      <c r="J209">
        <f t="shared" si="13"/>
        <v>25</v>
      </c>
      <c r="K209" s="2">
        <v>42538</v>
      </c>
      <c r="L209" s="2" t="s">
        <v>23</v>
      </c>
      <c r="M209" t="s">
        <v>621</v>
      </c>
      <c r="N209" t="s">
        <v>622</v>
      </c>
      <c r="P209">
        <v>1</v>
      </c>
      <c r="R209">
        <f t="shared" si="14"/>
        <v>5</v>
      </c>
      <c r="S209">
        <f t="shared" si="15"/>
        <v>2</v>
      </c>
    </row>
    <row r="210" spans="1:19" x14ac:dyDescent="0.2">
      <c r="A210">
        <v>19</v>
      </c>
      <c r="B210" t="s">
        <v>619</v>
      </c>
      <c r="D210" t="s">
        <v>620</v>
      </c>
      <c r="E210" s="5" t="s">
        <v>100</v>
      </c>
      <c r="F210" t="s">
        <v>623</v>
      </c>
      <c r="G210">
        <v>32.515814807338202</v>
      </c>
      <c r="H210">
        <v>34.896646884804703</v>
      </c>
      <c r="I210">
        <f t="shared" si="12"/>
        <v>2016</v>
      </c>
      <c r="J210">
        <f t="shared" si="13"/>
        <v>25</v>
      </c>
      <c r="K210" s="2">
        <v>42538</v>
      </c>
      <c r="L210" s="2" t="s">
        <v>23</v>
      </c>
      <c r="M210" t="s">
        <v>621</v>
      </c>
      <c r="N210" t="s">
        <v>622</v>
      </c>
      <c r="P210">
        <v>1</v>
      </c>
      <c r="R210">
        <f t="shared" si="14"/>
        <v>5</v>
      </c>
      <c r="S210">
        <f t="shared" si="15"/>
        <v>1</v>
      </c>
    </row>
    <row r="211" spans="1:19" x14ac:dyDescent="0.2">
      <c r="A211" s="12">
        <v>576</v>
      </c>
      <c r="B211" s="12" t="s">
        <v>624</v>
      </c>
      <c r="C211" s="12" t="s">
        <v>625</v>
      </c>
      <c r="D211" s="13" t="s">
        <v>626</v>
      </c>
      <c r="E211" s="13"/>
      <c r="F211" s="12"/>
      <c r="G211" s="12"/>
      <c r="H211" s="12"/>
      <c r="I211">
        <f t="shared" si="12"/>
        <v>2016</v>
      </c>
      <c r="J211">
        <f t="shared" si="13"/>
        <v>25</v>
      </c>
      <c r="K211" s="14">
        <v>42538</v>
      </c>
      <c r="L211" s="2" t="s">
        <v>23</v>
      </c>
      <c r="M211" s="12" t="s">
        <v>627</v>
      </c>
      <c r="N211" s="12" t="s">
        <v>628</v>
      </c>
      <c r="P211">
        <v>1</v>
      </c>
      <c r="R211">
        <f t="shared" si="14"/>
        <v>5</v>
      </c>
      <c r="S211">
        <f t="shared" si="15"/>
        <v>0</v>
      </c>
    </row>
    <row r="212" spans="1:19" x14ac:dyDescent="0.2">
      <c r="A212">
        <v>296</v>
      </c>
      <c r="B212" t="s">
        <v>629</v>
      </c>
      <c r="C212" t="s">
        <v>287</v>
      </c>
      <c r="D212" t="s">
        <v>630</v>
      </c>
      <c r="F212" t="s">
        <v>48</v>
      </c>
      <c r="G212">
        <v>32.305869740247999</v>
      </c>
      <c r="H212">
        <v>34.842875660039503</v>
      </c>
      <c r="I212">
        <f t="shared" si="12"/>
        <v>2016</v>
      </c>
      <c r="J212">
        <f t="shared" si="13"/>
        <v>26</v>
      </c>
      <c r="K212" s="2">
        <v>42540</v>
      </c>
      <c r="L212" s="2" t="s">
        <v>23</v>
      </c>
      <c r="M212" t="s">
        <v>631</v>
      </c>
      <c r="N212" t="s">
        <v>632</v>
      </c>
      <c r="P212">
        <v>1</v>
      </c>
      <c r="R212">
        <f t="shared" si="14"/>
        <v>18</v>
      </c>
      <c r="S212">
        <f t="shared" si="15"/>
        <v>0</v>
      </c>
    </row>
    <row r="213" spans="1:19" x14ac:dyDescent="0.2">
      <c r="A213">
        <v>296</v>
      </c>
      <c r="B213" t="s">
        <v>629</v>
      </c>
      <c r="C213" t="s">
        <v>287</v>
      </c>
      <c r="D213" t="s">
        <v>630</v>
      </c>
      <c r="E213" s="4" t="s">
        <v>21</v>
      </c>
      <c r="F213" t="s">
        <v>64</v>
      </c>
      <c r="G213">
        <v>31.8169667122236</v>
      </c>
      <c r="H213">
        <v>34.639611775767101</v>
      </c>
      <c r="I213">
        <f t="shared" si="12"/>
        <v>2016</v>
      </c>
      <c r="J213">
        <f t="shared" si="13"/>
        <v>26</v>
      </c>
      <c r="K213" s="2">
        <v>42540</v>
      </c>
      <c r="L213" s="2" t="s">
        <v>23</v>
      </c>
      <c r="M213" t="s">
        <v>631</v>
      </c>
      <c r="N213" t="s">
        <v>632</v>
      </c>
      <c r="P213">
        <v>1</v>
      </c>
      <c r="R213">
        <f t="shared" si="14"/>
        <v>18</v>
      </c>
      <c r="S213">
        <f t="shared" si="15"/>
        <v>8</v>
      </c>
    </row>
    <row r="214" spans="1:19" x14ac:dyDescent="0.2">
      <c r="A214">
        <v>296</v>
      </c>
      <c r="B214" t="s">
        <v>629</v>
      </c>
      <c r="C214" t="s">
        <v>287</v>
      </c>
      <c r="D214" t="s">
        <v>630</v>
      </c>
      <c r="E214" s="4" t="s">
        <v>21</v>
      </c>
      <c r="F214" t="s">
        <v>22</v>
      </c>
      <c r="G214">
        <v>31.681438420965801</v>
      </c>
      <c r="H214">
        <v>34.554694789741902</v>
      </c>
      <c r="I214">
        <f t="shared" si="12"/>
        <v>2016</v>
      </c>
      <c r="J214">
        <f t="shared" si="13"/>
        <v>26</v>
      </c>
      <c r="K214" s="2">
        <v>42540</v>
      </c>
      <c r="L214" s="2" t="s">
        <v>23</v>
      </c>
      <c r="M214" t="s">
        <v>631</v>
      </c>
      <c r="N214" t="s">
        <v>632</v>
      </c>
      <c r="P214">
        <v>1</v>
      </c>
      <c r="R214">
        <f t="shared" si="14"/>
        <v>18</v>
      </c>
      <c r="S214">
        <f t="shared" si="15"/>
        <v>8</v>
      </c>
    </row>
    <row r="215" spans="1:19" x14ac:dyDescent="0.2">
      <c r="A215">
        <v>296</v>
      </c>
      <c r="B215" t="s">
        <v>629</v>
      </c>
      <c r="C215" t="s">
        <v>287</v>
      </c>
      <c r="D215" t="s">
        <v>630</v>
      </c>
      <c r="E215" s="5" t="s">
        <v>100</v>
      </c>
      <c r="F215" t="s">
        <v>623</v>
      </c>
      <c r="G215">
        <v>32.515814807338202</v>
      </c>
      <c r="H215">
        <v>34.896646884804703</v>
      </c>
      <c r="I215">
        <f t="shared" si="12"/>
        <v>2016</v>
      </c>
      <c r="J215">
        <f t="shared" si="13"/>
        <v>26</v>
      </c>
      <c r="K215" s="2">
        <v>42540</v>
      </c>
      <c r="L215" s="2" t="s">
        <v>23</v>
      </c>
      <c r="M215" t="s">
        <v>631</v>
      </c>
      <c r="N215" t="s">
        <v>632</v>
      </c>
      <c r="P215">
        <v>1</v>
      </c>
      <c r="R215">
        <f t="shared" si="14"/>
        <v>18</v>
      </c>
      <c r="S215">
        <f t="shared" si="15"/>
        <v>3</v>
      </c>
    </row>
    <row r="216" spans="1:19" x14ac:dyDescent="0.2">
      <c r="A216">
        <v>13</v>
      </c>
      <c r="B216" t="s">
        <v>633</v>
      </c>
      <c r="D216" t="s">
        <v>634</v>
      </c>
      <c r="E216" s="4" t="s">
        <v>21</v>
      </c>
      <c r="F216" t="s">
        <v>64</v>
      </c>
      <c r="G216">
        <v>31.8169667122236</v>
      </c>
      <c r="H216">
        <v>34.639611775767101</v>
      </c>
      <c r="I216">
        <f t="shared" si="12"/>
        <v>2016</v>
      </c>
      <c r="J216">
        <f t="shared" si="13"/>
        <v>26</v>
      </c>
      <c r="K216" s="2">
        <v>42542</v>
      </c>
      <c r="L216" s="2" t="s">
        <v>23</v>
      </c>
      <c r="M216" t="s">
        <v>635</v>
      </c>
      <c r="N216" t="s">
        <v>636</v>
      </c>
      <c r="P216">
        <v>1</v>
      </c>
      <c r="R216">
        <f t="shared" si="14"/>
        <v>18</v>
      </c>
      <c r="S216">
        <f t="shared" si="15"/>
        <v>8</v>
      </c>
    </row>
    <row r="217" spans="1:19" x14ac:dyDescent="0.2">
      <c r="A217">
        <v>13</v>
      </c>
      <c r="B217" t="s">
        <v>633</v>
      </c>
      <c r="D217" t="s">
        <v>634</v>
      </c>
      <c r="E217" s="4" t="s">
        <v>21</v>
      </c>
      <c r="F217" t="s">
        <v>22</v>
      </c>
      <c r="G217">
        <v>31.681438420965801</v>
      </c>
      <c r="H217">
        <v>34.554694789741902</v>
      </c>
      <c r="I217">
        <f t="shared" si="12"/>
        <v>2016</v>
      </c>
      <c r="J217">
        <f t="shared" si="13"/>
        <v>26</v>
      </c>
      <c r="K217" s="2">
        <v>42542</v>
      </c>
      <c r="L217" s="2" t="s">
        <v>23</v>
      </c>
      <c r="M217" t="s">
        <v>635</v>
      </c>
      <c r="N217" t="s">
        <v>636</v>
      </c>
      <c r="P217">
        <v>1</v>
      </c>
      <c r="R217">
        <f t="shared" si="14"/>
        <v>18</v>
      </c>
      <c r="S217">
        <f t="shared" si="15"/>
        <v>8</v>
      </c>
    </row>
    <row r="218" spans="1:19" x14ac:dyDescent="0.2">
      <c r="A218" s="1">
        <v>62</v>
      </c>
      <c r="B218" t="s">
        <v>637</v>
      </c>
      <c r="C218" t="s">
        <v>370</v>
      </c>
      <c r="D218" t="s">
        <v>638</v>
      </c>
      <c r="E218" s="4" t="s">
        <v>21</v>
      </c>
      <c r="F218" t="s">
        <v>64</v>
      </c>
      <c r="G218">
        <v>31.8169667122236</v>
      </c>
      <c r="H218">
        <v>34.639611775767101</v>
      </c>
      <c r="I218">
        <f t="shared" si="12"/>
        <v>2016</v>
      </c>
      <c r="J218">
        <f t="shared" si="13"/>
        <v>26</v>
      </c>
      <c r="K218" s="2">
        <v>42543</v>
      </c>
      <c r="L218" s="2" t="s">
        <v>23</v>
      </c>
      <c r="M218" t="s">
        <v>639</v>
      </c>
      <c r="N218" t="s">
        <v>640</v>
      </c>
      <c r="P218">
        <v>1</v>
      </c>
      <c r="R218">
        <f t="shared" si="14"/>
        <v>18</v>
      </c>
      <c r="S218">
        <f t="shared" si="15"/>
        <v>8</v>
      </c>
    </row>
    <row r="219" spans="1:19" x14ac:dyDescent="0.2">
      <c r="A219" s="1">
        <v>62</v>
      </c>
      <c r="B219" t="s">
        <v>637</v>
      </c>
      <c r="C219" t="s">
        <v>370</v>
      </c>
      <c r="D219" t="s">
        <v>638</v>
      </c>
      <c r="E219" s="4" t="s">
        <v>21</v>
      </c>
      <c r="F219" t="s">
        <v>22</v>
      </c>
      <c r="G219">
        <v>31.681438420965801</v>
      </c>
      <c r="H219">
        <v>34.554694789741902</v>
      </c>
      <c r="I219">
        <f t="shared" si="12"/>
        <v>2016</v>
      </c>
      <c r="J219">
        <f t="shared" si="13"/>
        <v>26</v>
      </c>
      <c r="K219" s="2">
        <v>42543</v>
      </c>
      <c r="L219" s="2" t="s">
        <v>23</v>
      </c>
      <c r="M219" t="s">
        <v>639</v>
      </c>
      <c r="N219" t="s">
        <v>640</v>
      </c>
      <c r="P219">
        <v>1</v>
      </c>
      <c r="R219">
        <f t="shared" si="14"/>
        <v>18</v>
      </c>
      <c r="S219">
        <f t="shared" si="15"/>
        <v>8</v>
      </c>
    </row>
    <row r="220" spans="1:19" x14ac:dyDescent="0.2">
      <c r="A220" s="9">
        <v>27</v>
      </c>
      <c r="B220" s="9" t="s">
        <v>641</v>
      </c>
      <c r="C220" s="9" t="s">
        <v>428</v>
      </c>
      <c r="D220" s="10" t="s">
        <v>642</v>
      </c>
      <c r="E220" s="5" t="s">
        <v>73</v>
      </c>
      <c r="F220" s="9" t="s">
        <v>643</v>
      </c>
      <c r="G220" s="9"/>
      <c r="H220" s="9"/>
      <c r="I220">
        <f t="shared" si="12"/>
        <v>2016</v>
      </c>
      <c r="J220">
        <f t="shared" si="13"/>
        <v>26</v>
      </c>
      <c r="K220" s="11">
        <v>42545</v>
      </c>
      <c r="L220" s="2" t="s">
        <v>23</v>
      </c>
      <c r="M220" s="9" t="s">
        <v>644</v>
      </c>
      <c r="N220" s="9" t="s">
        <v>645</v>
      </c>
      <c r="P220">
        <v>1</v>
      </c>
      <c r="R220">
        <f t="shared" si="14"/>
        <v>18</v>
      </c>
      <c r="S220">
        <f t="shared" si="15"/>
        <v>2</v>
      </c>
    </row>
    <row r="221" spans="1:19" x14ac:dyDescent="0.2">
      <c r="A221" s="9">
        <v>27</v>
      </c>
      <c r="B221" s="9" t="s">
        <v>641</v>
      </c>
      <c r="C221" s="9" t="s">
        <v>428</v>
      </c>
      <c r="D221" s="10" t="s">
        <v>642</v>
      </c>
      <c r="E221" s="4" t="s">
        <v>29</v>
      </c>
      <c r="F221" s="9" t="s">
        <v>643</v>
      </c>
      <c r="G221" s="9"/>
      <c r="H221" s="9"/>
      <c r="I221">
        <f t="shared" si="12"/>
        <v>2016</v>
      </c>
      <c r="J221">
        <f t="shared" si="13"/>
        <v>26</v>
      </c>
      <c r="K221" s="11">
        <v>42545</v>
      </c>
      <c r="L221" s="2" t="s">
        <v>23</v>
      </c>
      <c r="M221" s="9" t="s">
        <v>644</v>
      </c>
      <c r="N221" s="9" t="s">
        <v>645</v>
      </c>
      <c r="P221">
        <v>1</v>
      </c>
      <c r="R221">
        <f t="shared" si="14"/>
        <v>18</v>
      </c>
      <c r="S221">
        <f t="shared" si="15"/>
        <v>2</v>
      </c>
    </row>
    <row r="222" spans="1:19" x14ac:dyDescent="0.2">
      <c r="A222" s="9">
        <v>27</v>
      </c>
      <c r="B222" s="9" t="s">
        <v>641</v>
      </c>
      <c r="C222" s="9" t="s">
        <v>428</v>
      </c>
      <c r="D222" s="10" t="s">
        <v>642</v>
      </c>
      <c r="E222" s="5" t="s">
        <v>47</v>
      </c>
      <c r="F222" s="9" t="s">
        <v>643</v>
      </c>
      <c r="G222" s="9"/>
      <c r="H222" s="9"/>
      <c r="I222">
        <f t="shared" si="12"/>
        <v>2016</v>
      </c>
      <c r="J222">
        <f t="shared" si="13"/>
        <v>26</v>
      </c>
      <c r="K222" s="11">
        <v>42545</v>
      </c>
      <c r="L222" s="2" t="s">
        <v>23</v>
      </c>
      <c r="M222" s="9" t="s">
        <v>644</v>
      </c>
      <c r="N222" s="9" t="s">
        <v>645</v>
      </c>
      <c r="P222">
        <v>1</v>
      </c>
      <c r="R222">
        <f t="shared" si="14"/>
        <v>18</v>
      </c>
      <c r="S222">
        <f t="shared" si="15"/>
        <v>2</v>
      </c>
    </row>
    <row r="223" spans="1:19" x14ac:dyDescent="0.2">
      <c r="A223" s="9">
        <v>27</v>
      </c>
      <c r="B223" s="9" t="s">
        <v>641</v>
      </c>
      <c r="C223" s="9" t="s">
        <v>428</v>
      </c>
      <c r="D223" s="10" t="s">
        <v>642</v>
      </c>
      <c r="E223" s="5" t="s">
        <v>100</v>
      </c>
      <c r="F223" s="9" t="s">
        <v>643</v>
      </c>
      <c r="G223" s="9"/>
      <c r="H223" s="9"/>
      <c r="I223">
        <f t="shared" si="12"/>
        <v>2016</v>
      </c>
      <c r="J223">
        <f t="shared" si="13"/>
        <v>26</v>
      </c>
      <c r="K223" s="11">
        <v>42545</v>
      </c>
      <c r="L223" s="2" t="s">
        <v>23</v>
      </c>
      <c r="M223" s="9" t="s">
        <v>644</v>
      </c>
      <c r="N223" s="9" t="s">
        <v>645</v>
      </c>
      <c r="P223">
        <v>1</v>
      </c>
      <c r="R223">
        <f t="shared" si="14"/>
        <v>18</v>
      </c>
      <c r="S223">
        <f t="shared" si="15"/>
        <v>3</v>
      </c>
    </row>
    <row r="224" spans="1:19" x14ac:dyDescent="0.2">
      <c r="A224" s="9">
        <v>27</v>
      </c>
      <c r="B224" s="9" t="s">
        <v>641</v>
      </c>
      <c r="C224" s="9" t="s">
        <v>428</v>
      </c>
      <c r="D224" s="10" t="s">
        <v>642</v>
      </c>
      <c r="E224" s="10" t="s">
        <v>21</v>
      </c>
      <c r="F224" s="9" t="s">
        <v>643</v>
      </c>
      <c r="G224" s="9"/>
      <c r="H224" s="9"/>
      <c r="I224">
        <f t="shared" si="12"/>
        <v>2016</v>
      </c>
      <c r="J224">
        <f t="shared" si="13"/>
        <v>26</v>
      </c>
      <c r="K224" s="11">
        <v>42545</v>
      </c>
      <c r="L224" s="2" t="s">
        <v>23</v>
      </c>
      <c r="M224" s="9" t="s">
        <v>644</v>
      </c>
      <c r="N224" s="9" t="s">
        <v>645</v>
      </c>
      <c r="P224">
        <v>1</v>
      </c>
      <c r="R224">
        <f t="shared" si="14"/>
        <v>18</v>
      </c>
      <c r="S224">
        <f t="shared" si="15"/>
        <v>8</v>
      </c>
    </row>
    <row r="225" spans="1:19" x14ac:dyDescent="0.2">
      <c r="A225" s="9">
        <v>33</v>
      </c>
      <c r="B225" s="9" t="s">
        <v>646</v>
      </c>
      <c r="C225" s="9" t="s">
        <v>331</v>
      </c>
      <c r="D225" s="10" t="s">
        <v>647</v>
      </c>
      <c r="E225" s="5" t="s">
        <v>73</v>
      </c>
      <c r="F225" s="9" t="s">
        <v>643</v>
      </c>
      <c r="G225" s="9"/>
      <c r="H225" s="9"/>
      <c r="I225">
        <f t="shared" si="12"/>
        <v>2016</v>
      </c>
      <c r="J225">
        <f t="shared" si="13"/>
        <v>26</v>
      </c>
      <c r="K225" s="11">
        <v>42545</v>
      </c>
      <c r="L225" s="2" t="s">
        <v>23</v>
      </c>
      <c r="M225" s="9" t="s">
        <v>648</v>
      </c>
      <c r="N225" s="9" t="s">
        <v>649</v>
      </c>
      <c r="P225">
        <v>1</v>
      </c>
      <c r="R225">
        <f t="shared" si="14"/>
        <v>18</v>
      </c>
      <c r="S225">
        <f t="shared" si="15"/>
        <v>2</v>
      </c>
    </row>
    <row r="226" spans="1:19" x14ac:dyDescent="0.2">
      <c r="A226" s="9">
        <v>33</v>
      </c>
      <c r="B226" s="9" t="s">
        <v>646</v>
      </c>
      <c r="C226" s="9" t="s">
        <v>331</v>
      </c>
      <c r="D226" s="10" t="s">
        <v>647</v>
      </c>
      <c r="E226" s="4" t="s">
        <v>29</v>
      </c>
      <c r="F226" s="9" t="s">
        <v>643</v>
      </c>
      <c r="G226" s="9"/>
      <c r="H226" s="9"/>
      <c r="I226">
        <f t="shared" si="12"/>
        <v>2016</v>
      </c>
      <c r="J226">
        <f t="shared" si="13"/>
        <v>26</v>
      </c>
      <c r="K226" s="11">
        <v>42545</v>
      </c>
      <c r="L226" s="2" t="s">
        <v>23</v>
      </c>
      <c r="M226" s="9" t="s">
        <v>648</v>
      </c>
      <c r="N226" s="9" t="s">
        <v>649</v>
      </c>
      <c r="P226">
        <v>1</v>
      </c>
      <c r="R226">
        <f t="shared" si="14"/>
        <v>18</v>
      </c>
      <c r="S226">
        <f t="shared" si="15"/>
        <v>2</v>
      </c>
    </row>
    <row r="227" spans="1:19" x14ac:dyDescent="0.2">
      <c r="A227" s="9">
        <v>33</v>
      </c>
      <c r="B227" s="9" t="s">
        <v>646</v>
      </c>
      <c r="C227" s="9" t="s">
        <v>331</v>
      </c>
      <c r="D227" s="10" t="s">
        <v>647</v>
      </c>
      <c r="E227" s="5" t="s">
        <v>47</v>
      </c>
      <c r="F227" s="9" t="s">
        <v>643</v>
      </c>
      <c r="G227" s="9"/>
      <c r="H227" s="9"/>
      <c r="I227">
        <f t="shared" si="12"/>
        <v>2016</v>
      </c>
      <c r="J227">
        <f t="shared" si="13"/>
        <v>26</v>
      </c>
      <c r="K227" s="11">
        <v>42545</v>
      </c>
      <c r="L227" s="2" t="s">
        <v>23</v>
      </c>
      <c r="M227" s="9" t="s">
        <v>648</v>
      </c>
      <c r="N227" s="9" t="s">
        <v>649</v>
      </c>
      <c r="P227">
        <v>1</v>
      </c>
      <c r="R227">
        <f t="shared" si="14"/>
        <v>18</v>
      </c>
      <c r="S227">
        <f t="shared" si="15"/>
        <v>2</v>
      </c>
    </row>
    <row r="228" spans="1:19" ht="15" customHeight="1" x14ac:dyDescent="0.2">
      <c r="A228" s="9">
        <v>33</v>
      </c>
      <c r="B228" s="9" t="s">
        <v>646</v>
      </c>
      <c r="C228" s="9" t="s">
        <v>331</v>
      </c>
      <c r="D228" s="10" t="s">
        <v>647</v>
      </c>
      <c r="E228" s="5" t="s">
        <v>100</v>
      </c>
      <c r="F228" s="9" t="s">
        <v>643</v>
      </c>
      <c r="G228" s="9"/>
      <c r="H228" s="9"/>
      <c r="I228">
        <f t="shared" si="12"/>
        <v>2016</v>
      </c>
      <c r="J228">
        <f t="shared" si="13"/>
        <v>26</v>
      </c>
      <c r="K228" s="11">
        <v>42545</v>
      </c>
      <c r="L228" s="2" t="s">
        <v>23</v>
      </c>
      <c r="M228" s="9" t="s">
        <v>648</v>
      </c>
      <c r="N228" s="9" t="s">
        <v>649</v>
      </c>
      <c r="P228">
        <v>1</v>
      </c>
      <c r="R228">
        <f t="shared" si="14"/>
        <v>18</v>
      </c>
      <c r="S228">
        <f t="shared" si="15"/>
        <v>3</v>
      </c>
    </row>
    <row r="229" spans="1:19" x14ac:dyDescent="0.2">
      <c r="A229" s="9">
        <v>33</v>
      </c>
      <c r="B229" s="9" t="s">
        <v>646</v>
      </c>
      <c r="C229" s="9" t="s">
        <v>331</v>
      </c>
      <c r="D229" s="10" t="s">
        <v>647</v>
      </c>
      <c r="E229" s="10" t="s">
        <v>21</v>
      </c>
      <c r="F229" s="9" t="s">
        <v>643</v>
      </c>
      <c r="G229" s="9"/>
      <c r="H229" s="9"/>
      <c r="I229">
        <f t="shared" si="12"/>
        <v>2016</v>
      </c>
      <c r="J229">
        <f t="shared" si="13"/>
        <v>26</v>
      </c>
      <c r="K229" s="11">
        <v>42545</v>
      </c>
      <c r="L229" s="2" t="s">
        <v>23</v>
      </c>
      <c r="M229" s="9" t="s">
        <v>648</v>
      </c>
      <c r="N229" s="9" t="s">
        <v>649</v>
      </c>
      <c r="P229">
        <v>1</v>
      </c>
      <c r="R229">
        <f t="shared" si="14"/>
        <v>18</v>
      </c>
      <c r="S229">
        <f t="shared" si="15"/>
        <v>8</v>
      </c>
    </row>
    <row r="230" spans="1:19" x14ac:dyDescent="0.2">
      <c r="A230"/>
      <c r="B230" s="7" t="s">
        <v>650</v>
      </c>
      <c r="C230" s="7" t="s">
        <v>651</v>
      </c>
      <c r="D230" s="7" t="s">
        <v>652</v>
      </c>
      <c r="E230" s="7"/>
      <c r="F230" s="7"/>
      <c r="I230">
        <f t="shared" si="12"/>
        <v>2016</v>
      </c>
      <c r="J230">
        <f t="shared" si="13"/>
        <v>28</v>
      </c>
      <c r="K230" s="8">
        <v>42558</v>
      </c>
      <c r="L230" s="2" t="s">
        <v>23</v>
      </c>
      <c r="M230" s="7" t="s">
        <v>653</v>
      </c>
      <c r="N230" s="7" t="s">
        <v>654</v>
      </c>
      <c r="P230">
        <v>1</v>
      </c>
      <c r="R230">
        <f t="shared" si="14"/>
        <v>1</v>
      </c>
      <c r="S230">
        <f t="shared" si="15"/>
        <v>0</v>
      </c>
    </row>
    <row r="231" spans="1:19" x14ac:dyDescent="0.2">
      <c r="A231" s="9">
        <v>447</v>
      </c>
      <c r="B231" s="9" t="s">
        <v>655</v>
      </c>
      <c r="C231" s="9" t="s">
        <v>656</v>
      </c>
      <c r="D231" s="10" t="s">
        <v>657</v>
      </c>
      <c r="E231" s="10"/>
      <c r="F231" s="9" t="s">
        <v>48</v>
      </c>
      <c r="G231" s="9"/>
      <c r="H231" s="9"/>
      <c r="I231">
        <f t="shared" si="12"/>
        <v>2016</v>
      </c>
      <c r="J231">
        <f t="shared" si="13"/>
        <v>29</v>
      </c>
      <c r="K231" s="11">
        <v>42564</v>
      </c>
      <c r="L231" s="2" t="s">
        <v>23</v>
      </c>
      <c r="M231" s="9" t="s">
        <v>658</v>
      </c>
      <c r="N231" s="9" t="s">
        <v>659</v>
      </c>
      <c r="P231">
        <v>1</v>
      </c>
      <c r="R231">
        <f t="shared" si="14"/>
        <v>5</v>
      </c>
      <c r="S231">
        <f t="shared" si="15"/>
        <v>0</v>
      </c>
    </row>
    <row r="232" spans="1:19" x14ac:dyDescent="0.2">
      <c r="A232" s="12">
        <v>76</v>
      </c>
      <c r="B232" s="12" t="s">
        <v>660</v>
      </c>
      <c r="C232" s="12" t="s">
        <v>661</v>
      </c>
      <c r="D232" s="13" t="s">
        <v>662</v>
      </c>
      <c r="E232" s="4" t="s">
        <v>21</v>
      </c>
      <c r="F232" s="12" t="s">
        <v>64</v>
      </c>
      <c r="G232" s="12"/>
      <c r="H232" s="12"/>
      <c r="I232">
        <f t="shared" si="12"/>
        <v>2016</v>
      </c>
      <c r="J232">
        <f t="shared" si="13"/>
        <v>29</v>
      </c>
      <c r="K232" s="14">
        <v>42564</v>
      </c>
      <c r="L232" s="2" t="s">
        <v>23</v>
      </c>
      <c r="M232" s="12" t="s">
        <v>663</v>
      </c>
      <c r="N232" s="12" t="s">
        <v>664</v>
      </c>
      <c r="P232">
        <v>1</v>
      </c>
      <c r="R232">
        <f t="shared" si="14"/>
        <v>5</v>
      </c>
      <c r="S232">
        <f t="shared" si="15"/>
        <v>2</v>
      </c>
    </row>
    <row r="233" spans="1:19" x14ac:dyDescent="0.2">
      <c r="A233" s="9"/>
      <c r="B233" s="9"/>
      <c r="C233" s="9" t="s">
        <v>661</v>
      </c>
      <c r="D233" s="10" t="s">
        <v>662</v>
      </c>
      <c r="E233" s="4" t="s">
        <v>21</v>
      </c>
      <c r="F233" s="9" t="s">
        <v>22</v>
      </c>
      <c r="G233" s="9"/>
      <c r="H233" s="9"/>
      <c r="I233">
        <f t="shared" si="12"/>
        <v>2016</v>
      </c>
      <c r="J233">
        <f t="shared" si="13"/>
        <v>29</v>
      </c>
      <c r="K233" s="11">
        <v>42564</v>
      </c>
      <c r="L233" s="2" t="s">
        <v>23</v>
      </c>
      <c r="M233" s="9"/>
      <c r="N233" s="9"/>
      <c r="P233">
        <v>1</v>
      </c>
      <c r="R233">
        <f t="shared" si="14"/>
        <v>5</v>
      </c>
      <c r="S233">
        <f t="shared" si="15"/>
        <v>2</v>
      </c>
    </row>
    <row r="234" spans="1:19" x14ac:dyDescent="0.2">
      <c r="A234" s="12"/>
      <c r="B234" s="12"/>
      <c r="C234" s="12" t="s">
        <v>661</v>
      </c>
      <c r="D234" s="13" t="s">
        <v>662</v>
      </c>
      <c r="E234" s="13" t="s">
        <v>29</v>
      </c>
      <c r="F234" s="12" t="s">
        <v>29</v>
      </c>
      <c r="G234" s="12"/>
      <c r="H234" s="12"/>
      <c r="I234">
        <f t="shared" si="12"/>
        <v>2016</v>
      </c>
      <c r="J234">
        <f t="shared" si="13"/>
        <v>29</v>
      </c>
      <c r="K234" s="14">
        <v>42564</v>
      </c>
      <c r="L234" s="2" t="s">
        <v>23</v>
      </c>
      <c r="M234" s="12"/>
      <c r="N234" s="12"/>
      <c r="P234">
        <v>1</v>
      </c>
      <c r="R234">
        <f t="shared" si="14"/>
        <v>5</v>
      </c>
      <c r="S234">
        <f t="shared" si="15"/>
        <v>1</v>
      </c>
    </row>
    <row r="235" spans="1:19" x14ac:dyDescent="0.2">
      <c r="A235" s="9"/>
      <c r="B235" s="9"/>
      <c r="C235" s="9" t="s">
        <v>661</v>
      </c>
      <c r="D235" s="10" t="s">
        <v>662</v>
      </c>
      <c r="E235" s="10"/>
      <c r="F235" s="9" t="s">
        <v>665</v>
      </c>
      <c r="G235" s="9"/>
      <c r="H235" s="9"/>
      <c r="I235">
        <f t="shared" si="12"/>
        <v>2016</v>
      </c>
      <c r="J235">
        <f t="shared" si="13"/>
        <v>29</v>
      </c>
      <c r="K235" s="11">
        <v>42564</v>
      </c>
      <c r="L235" s="2" t="s">
        <v>23</v>
      </c>
      <c r="M235" s="9"/>
      <c r="N235" s="9"/>
      <c r="P235">
        <v>1</v>
      </c>
      <c r="R235">
        <f t="shared" si="14"/>
        <v>5</v>
      </c>
      <c r="S235">
        <f t="shared" si="15"/>
        <v>0</v>
      </c>
    </row>
    <row r="236" spans="1:19" x14ac:dyDescent="0.2">
      <c r="A236" s="12">
        <v>93</v>
      </c>
      <c r="B236" s="12" t="s">
        <v>666</v>
      </c>
      <c r="C236" s="12" t="s">
        <v>667</v>
      </c>
      <c r="D236" s="13" t="s">
        <v>668</v>
      </c>
      <c r="E236" s="5" t="s">
        <v>73</v>
      </c>
      <c r="F236" s="12" t="s">
        <v>669</v>
      </c>
      <c r="G236" s="12"/>
      <c r="H236" s="12"/>
      <c r="I236">
        <f t="shared" si="12"/>
        <v>2016</v>
      </c>
      <c r="J236">
        <f t="shared" si="13"/>
        <v>30</v>
      </c>
      <c r="K236" s="14">
        <v>42572</v>
      </c>
      <c r="L236" s="2" t="s">
        <v>23</v>
      </c>
      <c r="M236" s="12" t="s">
        <v>670</v>
      </c>
      <c r="N236" s="12" t="s">
        <v>671</v>
      </c>
      <c r="P236">
        <v>1</v>
      </c>
      <c r="R236">
        <f t="shared" si="14"/>
        <v>6</v>
      </c>
      <c r="S236">
        <f t="shared" si="15"/>
        <v>1</v>
      </c>
    </row>
    <row r="237" spans="1:19" x14ac:dyDescent="0.2">
      <c r="A237" s="12">
        <v>93</v>
      </c>
      <c r="B237" s="12" t="s">
        <v>666</v>
      </c>
      <c r="C237" s="12" t="s">
        <v>667</v>
      </c>
      <c r="D237" s="13" t="s">
        <v>668</v>
      </c>
      <c r="E237" s="4" t="s">
        <v>29</v>
      </c>
      <c r="F237" s="12" t="s">
        <v>669</v>
      </c>
      <c r="G237" s="12"/>
      <c r="H237" s="12"/>
      <c r="I237">
        <f t="shared" si="12"/>
        <v>2016</v>
      </c>
      <c r="J237">
        <f t="shared" si="13"/>
        <v>30</v>
      </c>
      <c r="K237" s="14">
        <v>42572</v>
      </c>
      <c r="L237" s="2" t="s">
        <v>23</v>
      </c>
      <c r="M237" s="12" t="s">
        <v>670</v>
      </c>
      <c r="N237" s="12" t="s">
        <v>671</v>
      </c>
      <c r="P237">
        <v>1</v>
      </c>
      <c r="R237">
        <f t="shared" si="14"/>
        <v>6</v>
      </c>
      <c r="S237">
        <f t="shared" si="15"/>
        <v>1</v>
      </c>
    </row>
    <row r="238" spans="1:19" x14ac:dyDescent="0.2">
      <c r="A238" s="12">
        <v>93</v>
      </c>
      <c r="B238" s="12" t="s">
        <v>666</v>
      </c>
      <c r="C238" s="12" t="s">
        <v>667</v>
      </c>
      <c r="D238" s="13" t="s">
        <v>668</v>
      </c>
      <c r="E238" s="5" t="s">
        <v>47</v>
      </c>
      <c r="F238" s="12" t="s">
        <v>669</v>
      </c>
      <c r="G238" s="12"/>
      <c r="H238" s="12"/>
      <c r="I238">
        <f t="shared" si="12"/>
        <v>2016</v>
      </c>
      <c r="J238">
        <f t="shared" si="13"/>
        <v>30</v>
      </c>
      <c r="K238" s="14">
        <v>42572</v>
      </c>
      <c r="L238" s="2" t="s">
        <v>23</v>
      </c>
      <c r="M238" s="12" t="s">
        <v>670</v>
      </c>
      <c r="N238" s="12" t="s">
        <v>671</v>
      </c>
      <c r="P238">
        <v>1</v>
      </c>
      <c r="R238">
        <f t="shared" si="14"/>
        <v>6</v>
      </c>
      <c r="S238">
        <f t="shared" si="15"/>
        <v>1</v>
      </c>
    </row>
    <row r="239" spans="1:19" x14ac:dyDescent="0.2">
      <c r="A239" s="12">
        <v>93</v>
      </c>
      <c r="B239" s="12" t="s">
        <v>666</v>
      </c>
      <c r="C239" s="12" t="s">
        <v>667</v>
      </c>
      <c r="D239" s="13" t="s">
        <v>668</v>
      </c>
      <c r="E239" s="5" t="s">
        <v>100</v>
      </c>
      <c r="F239" s="12" t="s">
        <v>669</v>
      </c>
      <c r="G239" s="12"/>
      <c r="H239" s="12"/>
      <c r="I239">
        <f t="shared" si="12"/>
        <v>2016</v>
      </c>
      <c r="J239">
        <f t="shared" si="13"/>
        <v>30</v>
      </c>
      <c r="K239" s="14">
        <v>42572</v>
      </c>
      <c r="L239" s="2" t="s">
        <v>23</v>
      </c>
      <c r="M239" s="12" t="s">
        <v>670</v>
      </c>
      <c r="N239" s="12" t="s">
        <v>671</v>
      </c>
      <c r="P239">
        <v>1</v>
      </c>
      <c r="R239">
        <f t="shared" si="14"/>
        <v>6</v>
      </c>
      <c r="S239">
        <f t="shared" si="15"/>
        <v>1</v>
      </c>
    </row>
    <row r="240" spans="1:19" x14ac:dyDescent="0.2">
      <c r="A240" s="12">
        <v>93</v>
      </c>
      <c r="B240" s="12" t="s">
        <v>666</v>
      </c>
      <c r="C240" s="12" t="s">
        <v>667</v>
      </c>
      <c r="D240" s="13" t="s">
        <v>668</v>
      </c>
      <c r="E240" s="10" t="s">
        <v>21</v>
      </c>
      <c r="F240" s="12" t="s">
        <v>669</v>
      </c>
      <c r="G240" s="12"/>
      <c r="H240" s="12"/>
      <c r="I240">
        <f t="shared" si="12"/>
        <v>2016</v>
      </c>
      <c r="J240">
        <f t="shared" si="13"/>
        <v>30</v>
      </c>
      <c r="K240" s="14">
        <v>42572</v>
      </c>
      <c r="L240" s="2" t="s">
        <v>23</v>
      </c>
      <c r="M240" s="12" t="s">
        <v>670</v>
      </c>
      <c r="N240" s="12" t="s">
        <v>671</v>
      </c>
      <c r="P240">
        <v>1</v>
      </c>
      <c r="R240">
        <f t="shared" si="14"/>
        <v>6</v>
      </c>
      <c r="S240">
        <f t="shared" si="15"/>
        <v>1</v>
      </c>
    </row>
    <row r="241" spans="1:19" x14ac:dyDescent="0.2">
      <c r="A241" s="12"/>
      <c r="B241" s="12"/>
      <c r="C241" s="12" t="s">
        <v>667</v>
      </c>
      <c r="D241" s="13" t="s">
        <v>668</v>
      </c>
      <c r="E241" s="13"/>
      <c r="F241" s="12" t="s">
        <v>48</v>
      </c>
      <c r="G241" s="12"/>
      <c r="H241" s="12"/>
      <c r="I241">
        <f t="shared" si="12"/>
        <v>2016</v>
      </c>
      <c r="J241">
        <f t="shared" si="13"/>
        <v>30</v>
      </c>
      <c r="K241" s="14">
        <v>42572</v>
      </c>
      <c r="L241" s="2" t="s">
        <v>23</v>
      </c>
      <c r="M241" s="12"/>
      <c r="N241" s="12"/>
      <c r="P241">
        <v>1</v>
      </c>
      <c r="R241">
        <f t="shared" si="14"/>
        <v>6</v>
      </c>
      <c r="S241">
        <f t="shared" si="15"/>
        <v>0</v>
      </c>
    </row>
    <row r="242" spans="1:19" x14ac:dyDescent="0.2">
      <c r="A242">
        <v>497</v>
      </c>
      <c r="B242" t="s">
        <v>650</v>
      </c>
      <c r="C242" t="s">
        <v>651</v>
      </c>
      <c r="D242" t="s">
        <v>652</v>
      </c>
      <c r="I242">
        <f t="shared" si="12"/>
        <v>2016</v>
      </c>
      <c r="J242">
        <f t="shared" si="13"/>
        <v>31</v>
      </c>
      <c r="K242" s="2">
        <v>42578</v>
      </c>
      <c r="L242" s="2" t="s">
        <v>23</v>
      </c>
      <c r="M242" t="s">
        <v>653</v>
      </c>
      <c r="N242" t="s">
        <v>654</v>
      </c>
      <c r="P242">
        <v>1</v>
      </c>
      <c r="R242">
        <f t="shared" si="14"/>
        <v>4</v>
      </c>
      <c r="S242">
        <f t="shared" si="15"/>
        <v>0</v>
      </c>
    </row>
    <row r="243" spans="1:19" x14ac:dyDescent="0.2">
      <c r="A243"/>
      <c r="B243" t="s">
        <v>672</v>
      </c>
      <c r="C243" t="s">
        <v>651</v>
      </c>
      <c r="D243" t="s">
        <v>652</v>
      </c>
      <c r="I243">
        <f t="shared" si="12"/>
        <v>2016</v>
      </c>
      <c r="J243">
        <f t="shared" si="13"/>
        <v>31</v>
      </c>
      <c r="K243" s="2">
        <v>42578</v>
      </c>
      <c r="L243" s="2" t="s">
        <v>23</v>
      </c>
      <c r="M243" t="s">
        <v>673</v>
      </c>
      <c r="N243" t="s">
        <v>654</v>
      </c>
      <c r="P243">
        <v>1</v>
      </c>
      <c r="R243">
        <f t="shared" si="14"/>
        <v>4</v>
      </c>
      <c r="S243">
        <f t="shared" si="15"/>
        <v>0</v>
      </c>
    </row>
    <row r="244" spans="1:19" x14ac:dyDescent="0.2">
      <c r="A244" s="1">
        <v>418</v>
      </c>
      <c r="B244" t="s">
        <v>674</v>
      </c>
      <c r="C244" t="s">
        <v>387</v>
      </c>
      <c r="D244" t="s">
        <v>675</v>
      </c>
      <c r="E244" s="5" t="s">
        <v>100</v>
      </c>
      <c r="F244" t="s">
        <v>676</v>
      </c>
      <c r="G244">
        <v>32.708964182181099</v>
      </c>
      <c r="H244">
        <v>34.940899754832301</v>
      </c>
      <c r="I244">
        <f t="shared" si="12"/>
        <v>2016</v>
      </c>
      <c r="J244">
        <f t="shared" si="13"/>
        <v>31</v>
      </c>
      <c r="K244" s="2">
        <v>42580</v>
      </c>
      <c r="L244" s="2" t="s">
        <v>23</v>
      </c>
      <c r="M244" t="s">
        <v>677</v>
      </c>
      <c r="N244" t="s">
        <v>678</v>
      </c>
      <c r="P244">
        <v>1</v>
      </c>
      <c r="R244">
        <f t="shared" si="14"/>
        <v>4</v>
      </c>
      <c r="S244">
        <f t="shared" si="15"/>
        <v>2</v>
      </c>
    </row>
    <row r="245" spans="1:19" x14ac:dyDescent="0.2">
      <c r="B245" t="s">
        <v>679</v>
      </c>
      <c r="C245" t="s">
        <v>651</v>
      </c>
      <c r="D245" t="s">
        <v>680</v>
      </c>
      <c r="E245" s="5" t="s">
        <v>100</v>
      </c>
      <c r="F245" t="s">
        <v>676</v>
      </c>
      <c r="G245">
        <v>32.708964182181099</v>
      </c>
      <c r="H245">
        <v>34.940899754832301</v>
      </c>
      <c r="I245">
        <f t="shared" si="12"/>
        <v>2016</v>
      </c>
      <c r="J245">
        <f t="shared" si="13"/>
        <v>31</v>
      </c>
      <c r="K245" s="2">
        <v>42580</v>
      </c>
      <c r="L245" s="2" t="s">
        <v>23</v>
      </c>
      <c r="M245" t="s">
        <v>681</v>
      </c>
      <c r="N245" t="s">
        <v>654</v>
      </c>
      <c r="P245">
        <v>1</v>
      </c>
      <c r="R245">
        <f t="shared" si="14"/>
        <v>4</v>
      </c>
      <c r="S245">
        <f t="shared" si="15"/>
        <v>2</v>
      </c>
    </row>
    <row r="246" spans="1:19" x14ac:dyDescent="0.2">
      <c r="A246" t="s">
        <v>682</v>
      </c>
      <c r="B246" t="s">
        <v>683</v>
      </c>
      <c r="C246" t="s">
        <v>68</v>
      </c>
      <c r="D246" t="s">
        <v>684</v>
      </c>
      <c r="I246">
        <f t="shared" si="12"/>
        <v>2016</v>
      </c>
      <c r="J246">
        <f t="shared" si="13"/>
        <v>34</v>
      </c>
      <c r="K246" s="2">
        <v>42601</v>
      </c>
      <c r="L246" s="2" t="s">
        <v>23</v>
      </c>
      <c r="M246" t="s">
        <v>685</v>
      </c>
      <c r="N246" t="s">
        <v>686</v>
      </c>
      <c r="P246">
        <v>1</v>
      </c>
      <c r="R246">
        <f t="shared" si="14"/>
        <v>1</v>
      </c>
      <c r="S246">
        <f t="shared" si="15"/>
        <v>0</v>
      </c>
    </row>
    <row r="247" spans="1:19" x14ac:dyDescent="0.2">
      <c r="A247">
        <v>9</v>
      </c>
      <c r="B247" t="s">
        <v>687</v>
      </c>
      <c r="C247" t="s">
        <v>688</v>
      </c>
      <c r="D247" t="s">
        <v>689</v>
      </c>
      <c r="E247" s="4" t="s">
        <v>21</v>
      </c>
      <c r="F247" t="s">
        <v>64</v>
      </c>
      <c r="G247">
        <v>31.8169667122236</v>
      </c>
      <c r="H247">
        <v>34.639611775767101</v>
      </c>
      <c r="I247">
        <f t="shared" si="12"/>
        <v>2016</v>
      </c>
      <c r="J247">
        <f t="shared" si="13"/>
        <v>35</v>
      </c>
      <c r="K247" s="2">
        <v>42608</v>
      </c>
      <c r="L247" s="2" t="s">
        <v>23</v>
      </c>
      <c r="M247" t="s">
        <v>690</v>
      </c>
      <c r="N247" t="s">
        <v>691</v>
      </c>
      <c r="P247">
        <v>1</v>
      </c>
      <c r="R247">
        <f t="shared" si="14"/>
        <v>1</v>
      </c>
      <c r="S247">
        <f t="shared" si="15"/>
        <v>1</v>
      </c>
    </row>
    <row r="248" spans="1:19" x14ac:dyDescent="0.2">
      <c r="A248" s="9"/>
      <c r="B248" s="9"/>
      <c r="C248" s="9" t="s">
        <v>692</v>
      </c>
      <c r="D248" s="10" t="s">
        <v>693</v>
      </c>
      <c r="E248" s="4" t="s">
        <v>21</v>
      </c>
      <c r="F248" s="9" t="s">
        <v>22</v>
      </c>
      <c r="G248" s="9"/>
      <c r="H248" s="9"/>
      <c r="I248">
        <f t="shared" si="12"/>
        <v>2016</v>
      </c>
      <c r="J248">
        <f t="shared" si="13"/>
        <v>37</v>
      </c>
      <c r="K248" s="11">
        <v>42622</v>
      </c>
      <c r="L248" s="2" t="s">
        <v>23</v>
      </c>
      <c r="M248" s="9"/>
      <c r="N248" s="9"/>
      <c r="P248">
        <v>1</v>
      </c>
      <c r="R248">
        <f t="shared" si="14"/>
        <v>1</v>
      </c>
      <c r="S248">
        <f t="shared" si="15"/>
        <v>1</v>
      </c>
    </row>
    <row r="249" spans="1:19" x14ac:dyDescent="0.2">
      <c r="A249" s="9"/>
      <c r="B249" s="9"/>
      <c r="C249" s="9" t="s">
        <v>694</v>
      </c>
      <c r="D249" s="10" t="s">
        <v>695</v>
      </c>
      <c r="E249" s="10" t="s">
        <v>29</v>
      </c>
      <c r="F249" s="9" t="s">
        <v>696</v>
      </c>
      <c r="G249" s="9"/>
      <c r="H249" s="9"/>
      <c r="I249">
        <f t="shared" si="12"/>
        <v>2017</v>
      </c>
      <c r="J249">
        <f t="shared" si="13"/>
        <v>1</v>
      </c>
      <c r="K249" s="11">
        <v>42737</v>
      </c>
      <c r="L249" s="2" t="s">
        <v>23</v>
      </c>
      <c r="M249" s="9"/>
      <c r="N249" s="9"/>
      <c r="P249">
        <v>1</v>
      </c>
      <c r="R249">
        <f t="shared" si="14"/>
        <v>3</v>
      </c>
      <c r="S249">
        <f t="shared" si="15"/>
        <v>1</v>
      </c>
    </row>
    <row r="250" spans="1:19" x14ac:dyDescent="0.2">
      <c r="A250" s="9"/>
      <c r="B250" s="9"/>
      <c r="C250" s="9" t="s">
        <v>694</v>
      </c>
      <c r="D250" s="10" t="s">
        <v>695</v>
      </c>
      <c r="E250" s="5" t="s">
        <v>73</v>
      </c>
      <c r="F250" s="9" t="s">
        <v>74</v>
      </c>
      <c r="G250" s="9"/>
      <c r="H250" s="9"/>
      <c r="I250">
        <f t="shared" si="12"/>
        <v>2017</v>
      </c>
      <c r="J250">
        <f t="shared" si="13"/>
        <v>1</v>
      </c>
      <c r="K250" s="11">
        <v>42737</v>
      </c>
      <c r="L250" s="2" t="s">
        <v>23</v>
      </c>
      <c r="M250" s="9"/>
      <c r="N250" s="9"/>
      <c r="P250">
        <v>1</v>
      </c>
      <c r="R250">
        <f t="shared" si="14"/>
        <v>3</v>
      </c>
      <c r="S250">
        <f t="shared" si="15"/>
        <v>1</v>
      </c>
    </row>
    <row r="251" spans="1:19" x14ac:dyDescent="0.2">
      <c r="A251" s="9"/>
      <c r="B251" s="9"/>
      <c r="C251" s="9" t="s">
        <v>694</v>
      </c>
      <c r="D251" s="10" t="s">
        <v>695</v>
      </c>
      <c r="E251" s="4" t="s">
        <v>21</v>
      </c>
      <c r="F251" s="9" t="s">
        <v>64</v>
      </c>
      <c r="G251" s="9"/>
      <c r="H251" s="9"/>
      <c r="I251">
        <f t="shared" si="12"/>
        <v>2017</v>
      </c>
      <c r="J251">
        <f t="shared" si="13"/>
        <v>1</v>
      </c>
      <c r="K251" s="11">
        <v>42737</v>
      </c>
      <c r="L251" s="2" t="s">
        <v>23</v>
      </c>
      <c r="M251" s="9"/>
      <c r="N251" s="9"/>
      <c r="P251">
        <v>1</v>
      </c>
      <c r="R251">
        <f t="shared" si="14"/>
        <v>3</v>
      </c>
      <c r="S251">
        <f t="shared" si="15"/>
        <v>1</v>
      </c>
    </row>
    <row r="252" spans="1:19" x14ac:dyDescent="0.2">
      <c r="A252" s="1">
        <v>75</v>
      </c>
      <c r="B252" t="s">
        <v>697</v>
      </c>
      <c r="C252" t="s">
        <v>698</v>
      </c>
      <c r="D252" t="s">
        <v>699</v>
      </c>
      <c r="F252" t="s">
        <v>241</v>
      </c>
      <c r="G252">
        <v>32.919146191970597</v>
      </c>
      <c r="H252">
        <v>35.079648455010798</v>
      </c>
      <c r="I252">
        <f t="shared" si="12"/>
        <v>2017</v>
      </c>
      <c r="J252">
        <f t="shared" si="13"/>
        <v>5</v>
      </c>
      <c r="K252" s="2">
        <v>42767</v>
      </c>
      <c r="L252" s="2" t="s">
        <v>23</v>
      </c>
      <c r="M252" t="s">
        <v>700</v>
      </c>
      <c r="N252" t="s">
        <v>701</v>
      </c>
      <c r="P252">
        <v>1</v>
      </c>
      <c r="R252">
        <f t="shared" si="14"/>
        <v>4</v>
      </c>
      <c r="S252">
        <f t="shared" si="15"/>
        <v>0</v>
      </c>
    </row>
    <row r="253" spans="1:19" x14ac:dyDescent="0.2">
      <c r="A253">
        <v>287</v>
      </c>
      <c r="B253" t="s">
        <v>702</v>
      </c>
      <c r="C253" t="s">
        <v>703</v>
      </c>
      <c r="D253" t="s">
        <v>704</v>
      </c>
      <c r="F253" t="s">
        <v>241</v>
      </c>
      <c r="G253">
        <v>32.919146191970597</v>
      </c>
      <c r="H253">
        <v>35.079648455010798</v>
      </c>
      <c r="I253">
        <f t="shared" si="12"/>
        <v>2017</v>
      </c>
      <c r="J253">
        <f t="shared" si="13"/>
        <v>5</v>
      </c>
      <c r="K253" s="2">
        <v>42768</v>
      </c>
      <c r="L253" s="2" t="s">
        <v>23</v>
      </c>
      <c r="M253" t="s">
        <v>705</v>
      </c>
      <c r="N253" t="s">
        <v>706</v>
      </c>
      <c r="P253">
        <v>1</v>
      </c>
      <c r="R253">
        <f t="shared" si="14"/>
        <v>4</v>
      </c>
      <c r="S253">
        <f t="shared" si="15"/>
        <v>0</v>
      </c>
    </row>
    <row r="254" spans="1:19" x14ac:dyDescent="0.2">
      <c r="A254">
        <v>287</v>
      </c>
      <c r="B254" t="s">
        <v>702</v>
      </c>
      <c r="C254" t="s">
        <v>703</v>
      </c>
      <c r="D254" t="s">
        <v>704</v>
      </c>
      <c r="F254" t="s">
        <v>30</v>
      </c>
      <c r="G254">
        <v>32.8371203553017</v>
      </c>
      <c r="H254">
        <v>34.9792189455856</v>
      </c>
      <c r="I254">
        <f t="shared" si="12"/>
        <v>2017</v>
      </c>
      <c r="J254">
        <f t="shared" si="13"/>
        <v>5</v>
      </c>
      <c r="K254" s="2">
        <v>42768</v>
      </c>
      <c r="L254" s="2" t="s">
        <v>23</v>
      </c>
      <c r="M254" t="s">
        <v>705</v>
      </c>
      <c r="N254" t="s">
        <v>706</v>
      </c>
      <c r="P254">
        <v>1</v>
      </c>
      <c r="R254">
        <f t="shared" si="14"/>
        <v>4</v>
      </c>
      <c r="S254">
        <f t="shared" si="15"/>
        <v>0</v>
      </c>
    </row>
    <row r="255" spans="1:19" x14ac:dyDescent="0.2">
      <c r="A255">
        <v>287</v>
      </c>
      <c r="B255" t="s">
        <v>702</v>
      </c>
      <c r="C255" t="s">
        <v>703</v>
      </c>
      <c r="D255" t="s">
        <v>704</v>
      </c>
      <c r="F255" t="s">
        <v>707</v>
      </c>
      <c r="G255">
        <v>33.027952664741797</v>
      </c>
      <c r="H255">
        <v>35.095230833853499</v>
      </c>
      <c r="I255">
        <f t="shared" si="12"/>
        <v>2017</v>
      </c>
      <c r="J255">
        <f t="shared" si="13"/>
        <v>5</v>
      </c>
      <c r="K255" s="2">
        <v>42768</v>
      </c>
      <c r="L255" s="2" t="s">
        <v>23</v>
      </c>
      <c r="M255" t="s">
        <v>705</v>
      </c>
      <c r="N255" t="s">
        <v>706</v>
      </c>
      <c r="P255">
        <v>1</v>
      </c>
      <c r="R255">
        <f t="shared" si="14"/>
        <v>4</v>
      </c>
      <c r="S255">
        <f t="shared" si="15"/>
        <v>0</v>
      </c>
    </row>
    <row r="256" spans="1:19" x14ac:dyDescent="0.2">
      <c r="A256">
        <v>106</v>
      </c>
      <c r="B256" t="s">
        <v>708</v>
      </c>
      <c r="C256" t="s">
        <v>709</v>
      </c>
      <c r="D256" t="s">
        <v>710</v>
      </c>
      <c r="F256" t="s">
        <v>241</v>
      </c>
      <c r="G256">
        <v>32.919146191970597</v>
      </c>
      <c r="H256">
        <v>35.079648455010798</v>
      </c>
      <c r="I256">
        <f t="shared" si="12"/>
        <v>2017</v>
      </c>
      <c r="J256">
        <f t="shared" si="13"/>
        <v>6</v>
      </c>
      <c r="K256" s="2">
        <v>42772</v>
      </c>
      <c r="L256" s="2" t="s">
        <v>23</v>
      </c>
      <c r="M256" t="s">
        <v>711</v>
      </c>
      <c r="N256" t="s">
        <v>712</v>
      </c>
      <c r="P256">
        <v>1</v>
      </c>
      <c r="R256">
        <f t="shared" si="14"/>
        <v>1</v>
      </c>
      <c r="S256">
        <f t="shared" si="15"/>
        <v>0</v>
      </c>
    </row>
    <row r="257" spans="1:19" x14ac:dyDescent="0.2">
      <c r="B257" t="s">
        <v>713</v>
      </c>
      <c r="C257" t="s">
        <v>59</v>
      </c>
      <c r="D257" t="s">
        <v>714</v>
      </c>
      <c r="F257" t="s">
        <v>30</v>
      </c>
      <c r="G257">
        <v>32.8371203553017</v>
      </c>
      <c r="H257">
        <v>34.9792189455856</v>
      </c>
      <c r="I257">
        <f t="shared" si="12"/>
        <v>2017</v>
      </c>
      <c r="J257">
        <f t="shared" si="13"/>
        <v>10</v>
      </c>
      <c r="K257" s="2">
        <v>42803</v>
      </c>
      <c r="L257" s="2" t="s">
        <v>23</v>
      </c>
      <c r="M257" t="s">
        <v>715</v>
      </c>
      <c r="N257" t="s">
        <v>716</v>
      </c>
      <c r="P257">
        <v>1</v>
      </c>
      <c r="R257">
        <f t="shared" si="14"/>
        <v>2</v>
      </c>
      <c r="S257">
        <f t="shared" si="15"/>
        <v>0</v>
      </c>
    </row>
    <row r="258" spans="1:19" x14ac:dyDescent="0.2">
      <c r="B258" t="s">
        <v>717</v>
      </c>
      <c r="C258" t="s">
        <v>59</v>
      </c>
      <c r="D258" t="s">
        <v>718</v>
      </c>
      <c r="F258" t="s">
        <v>30</v>
      </c>
      <c r="G258">
        <v>32.8371203553017</v>
      </c>
      <c r="H258">
        <v>34.9792189455856</v>
      </c>
      <c r="I258">
        <f t="shared" ref="I258:I321" si="16">YEAR(K258)</f>
        <v>2017</v>
      </c>
      <c r="J258">
        <f t="shared" ref="J258:J321" si="17">WEEKNUM(K258)</f>
        <v>10</v>
      </c>
      <c r="K258" s="2">
        <v>42803</v>
      </c>
      <c r="L258" s="2" t="s">
        <v>23</v>
      </c>
      <c r="M258" t="s">
        <v>719</v>
      </c>
      <c r="N258" t="s">
        <v>716</v>
      </c>
      <c r="P258">
        <v>1</v>
      </c>
      <c r="R258">
        <f t="shared" si="14"/>
        <v>2</v>
      </c>
      <c r="S258">
        <f t="shared" si="15"/>
        <v>0</v>
      </c>
    </row>
    <row r="259" spans="1:19" x14ac:dyDescent="0.2">
      <c r="A259">
        <v>57</v>
      </c>
      <c r="B259" t="s">
        <v>720</v>
      </c>
      <c r="D259" t="s">
        <v>721</v>
      </c>
      <c r="E259" s="4" t="s">
        <v>21</v>
      </c>
      <c r="F259" t="s">
        <v>70</v>
      </c>
      <c r="G259">
        <v>32.002493003827801</v>
      </c>
      <c r="H259">
        <v>34.731694234364099</v>
      </c>
      <c r="I259">
        <f t="shared" si="16"/>
        <v>2017</v>
      </c>
      <c r="J259">
        <f t="shared" si="17"/>
        <v>22</v>
      </c>
      <c r="K259" s="2">
        <v>42887</v>
      </c>
      <c r="L259" s="2" t="s">
        <v>23</v>
      </c>
      <c r="M259" t="s">
        <v>722</v>
      </c>
      <c r="P259">
        <v>1</v>
      </c>
      <c r="R259">
        <f t="shared" ref="R259:R322" si="18">COUNTIFS($J$2:$J$997,J259,$I$2:$I$997,I259)</f>
        <v>17</v>
      </c>
      <c r="S259">
        <f t="shared" ref="S259:S322" si="19">COUNTIFS($J$2:$J$997,J259,$I$2:$I$997,I259,$E$2:$E$997,E259)</f>
        <v>7</v>
      </c>
    </row>
    <row r="260" spans="1:19" x14ac:dyDescent="0.2">
      <c r="A260" s="1">
        <v>17</v>
      </c>
      <c r="B260" t="s">
        <v>723</v>
      </c>
      <c r="C260" t="s">
        <v>724</v>
      </c>
      <c r="D260" t="s">
        <v>721</v>
      </c>
      <c r="E260" s="4" t="s">
        <v>21</v>
      </c>
      <c r="F260" t="s">
        <v>70</v>
      </c>
      <c r="G260">
        <v>32.002493003827801</v>
      </c>
      <c r="H260">
        <v>34.731694234364099</v>
      </c>
      <c r="I260">
        <f t="shared" si="16"/>
        <v>2017</v>
      </c>
      <c r="J260">
        <f t="shared" si="17"/>
        <v>22</v>
      </c>
      <c r="K260" s="2">
        <v>42887</v>
      </c>
      <c r="L260" s="2" t="s">
        <v>23</v>
      </c>
      <c r="M260" t="s">
        <v>725</v>
      </c>
      <c r="N260" t="s">
        <v>726</v>
      </c>
      <c r="P260">
        <v>1</v>
      </c>
      <c r="R260">
        <f t="shared" si="18"/>
        <v>17</v>
      </c>
      <c r="S260">
        <f t="shared" si="19"/>
        <v>7</v>
      </c>
    </row>
    <row r="261" spans="1:19" x14ac:dyDescent="0.2">
      <c r="A261" s="1">
        <v>135</v>
      </c>
      <c r="B261" t="s">
        <v>727</v>
      </c>
      <c r="C261" t="s">
        <v>62</v>
      </c>
      <c r="D261" t="s">
        <v>728</v>
      </c>
      <c r="E261" s="4" t="s">
        <v>21</v>
      </c>
      <c r="F261" t="s">
        <v>64</v>
      </c>
      <c r="G261">
        <v>31.8169667122236</v>
      </c>
      <c r="H261">
        <v>34.639611775767101</v>
      </c>
      <c r="I261">
        <f t="shared" si="16"/>
        <v>2017</v>
      </c>
      <c r="J261">
        <f t="shared" si="17"/>
        <v>22</v>
      </c>
      <c r="K261" s="2">
        <v>42887</v>
      </c>
      <c r="L261" s="2" t="s">
        <v>23</v>
      </c>
      <c r="M261" t="s">
        <v>729</v>
      </c>
      <c r="N261" t="s">
        <v>730</v>
      </c>
      <c r="P261">
        <v>1</v>
      </c>
      <c r="R261">
        <f t="shared" si="18"/>
        <v>17</v>
      </c>
      <c r="S261">
        <f t="shared" si="19"/>
        <v>7</v>
      </c>
    </row>
    <row r="262" spans="1:19" x14ac:dyDescent="0.2">
      <c r="A262">
        <v>57</v>
      </c>
      <c r="B262" t="s">
        <v>720</v>
      </c>
      <c r="D262" t="s">
        <v>721</v>
      </c>
      <c r="E262" s="4" t="s">
        <v>21</v>
      </c>
      <c r="F262" t="s">
        <v>64</v>
      </c>
      <c r="G262">
        <v>31.8169667122236</v>
      </c>
      <c r="H262">
        <v>34.639611775767101</v>
      </c>
      <c r="I262">
        <f t="shared" si="16"/>
        <v>2017</v>
      </c>
      <c r="J262">
        <f t="shared" si="17"/>
        <v>22</v>
      </c>
      <c r="K262" s="2">
        <v>42887</v>
      </c>
      <c r="L262" s="2" t="s">
        <v>23</v>
      </c>
      <c r="M262" t="s">
        <v>722</v>
      </c>
      <c r="P262">
        <v>1</v>
      </c>
      <c r="R262">
        <f t="shared" si="18"/>
        <v>17</v>
      </c>
      <c r="S262">
        <f t="shared" si="19"/>
        <v>7</v>
      </c>
    </row>
    <row r="263" spans="1:19" x14ac:dyDescent="0.2">
      <c r="A263" s="1">
        <v>17</v>
      </c>
      <c r="B263" t="s">
        <v>723</v>
      </c>
      <c r="C263" t="s">
        <v>724</v>
      </c>
      <c r="D263" t="s">
        <v>721</v>
      </c>
      <c r="E263" s="4" t="s">
        <v>21</v>
      </c>
      <c r="F263" t="s">
        <v>64</v>
      </c>
      <c r="G263">
        <v>31.8169667122236</v>
      </c>
      <c r="H263">
        <v>34.639611775767101</v>
      </c>
      <c r="I263">
        <f t="shared" si="16"/>
        <v>2017</v>
      </c>
      <c r="J263">
        <f t="shared" si="17"/>
        <v>22</v>
      </c>
      <c r="K263" s="2">
        <v>42887</v>
      </c>
      <c r="L263" s="2" t="s">
        <v>23</v>
      </c>
      <c r="M263" t="s">
        <v>725</v>
      </c>
      <c r="N263" t="s">
        <v>726</v>
      </c>
      <c r="P263">
        <v>1</v>
      </c>
      <c r="R263">
        <f t="shared" si="18"/>
        <v>17</v>
      </c>
      <c r="S263">
        <f t="shared" si="19"/>
        <v>7</v>
      </c>
    </row>
    <row r="264" spans="1:19" x14ac:dyDescent="0.2">
      <c r="A264" s="1">
        <v>121</v>
      </c>
      <c r="B264" t="s">
        <v>731</v>
      </c>
      <c r="C264" t="s">
        <v>732</v>
      </c>
      <c r="D264" t="s">
        <v>733</v>
      </c>
      <c r="E264" s="4" t="s">
        <v>21</v>
      </c>
      <c r="F264" t="s">
        <v>22</v>
      </c>
      <c r="G264">
        <v>31.681438420965801</v>
      </c>
      <c r="H264">
        <v>34.554694789741902</v>
      </c>
      <c r="I264">
        <f t="shared" si="16"/>
        <v>2017</v>
      </c>
      <c r="J264">
        <f t="shared" si="17"/>
        <v>22</v>
      </c>
      <c r="K264" s="2">
        <v>42887</v>
      </c>
      <c r="L264" s="2" t="s">
        <v>23</v>
      </c>
      <c r="M264" t="s">
        <v>734</v>
      </c>
      <c r="N264" t="s">
        <v>735</v>
      </c>
      <c r="P264">
        <v>1</v>
      </c>
      <c r="R264">
        <f t="shared" si="18"/>
        <v>17</v>
      </c>
      <c r="S264">
        <f t="shared" si="19"/>
        <v>7</v>
      </c>
    </row>
    <row r="265" spans="1:19" x14ac:dyDescent="0.2">
      <c r="A265">
        <v>57</v>
      </c>
      <c r="B265" t="s">
        <v>720</v>
      </c>
      <c r="D265" t="s">
        <v>721</v>
      </c>
      <c r="F265" t="s">
        <v>242</v>
      </c>
      <c r="G265">
        <v>32.023220011216303</v>
      </c>
      <c r="H265">
        <v>34.738647655010197</v>
      </c>
      <c r="I265">
        <f t="shared" si="16"/>
        <v>2017</v>
      </c>
      <c r="J265">
        <f t="shared" si="17"/>
        <v>22</v>
      </c>
      <c r="K265" s="2">
        <v>42887</v>
      </c>
      <c r="L265" s="2" t="s">
        <v>23</v>
      </c>
      <c r="M265" t="s">
        <v>722</v>
      </c>
      <c r="P265">
        <v>1</v>
      </c>
      <c r="R265">
        <f t="shared" si="18"/>
        <v>17</v>
      </c>
      <c r="S265">
        <f t="shared" si="19"/>
        <v>0</v>
      </c>
    </row>
    <row r="266" spans="1:19" x14ac:dyDescent="0.2">
      <c r="A266" s="1">
        <v>17</v>
      </c>
      <c r="B266" t="s">
        <v>723</v>
      </c>
      <c r="C266" t="s">
        <v>724</v>
      </c>
      <c r="D266" t="s">
        <v>721</v>
      </c>
      <c r="F266" t="s">
        <v>242</v>
      </c>
      <c r="G266">
        <v>32.023220011216303</v>
      </c>
      <c r="H266">
        <v>34.738647655010197</v>
      </c>
      <c r="I266">
        <f t="shared" si="16"/>
        <v>2017</v>
      </c>
      <c r="J266">
        <f t="shared" si="17"/>
        <v>22</v>
      </c>
      <c r="K266" s="2">
        <v>42887</v>
      </c>
      <c r="L266" s="2" t="s">
        <v>23</v>
      </c>
      <c r="M266" t="s">
        <v>725</v>
      </c>
      <c r="N266" t="s">
        <v>726</v>
      </c>
      <c r="P266">
        <v>1</v>
      </c>
      <c r="R266">
        <f t="shared" si="18"/>
        <v>17</v>
      </c>
      <c r="S266">
        <f t="shared" si="19"/>
        <v>0</v>
      </c>
    </row>
    <row r="267" spans="1:19" x14ac:dyDescent="0.2">
      <c r="A267">
        <v>57</v>
      </c>
      <c r="B267" t="s">
        <v>720</v>
      </c>
      <c r="D267" t="s">
        <v>721</v>
      </c>
      <c r="F267" t="s">
        <v>48</v>
      </c>
      <c r="G267">
        <v>32.305869740247999</v>
      </c>
      <c r="H267">
        <v>34.842875660039503</v>
      </c>
      <c r="I267">
        <f t="shared" si="16"/>
        <v>2017</v>
      </c>
      <c r="J267">
        <f t="shared" si="17"/>
        <v>22</v>
      </c>
      <c r="K267" s="2">
        <v>42887</v>
      </c>
      <c r="L267" s="2" t="s">
        <v>23</v>
      </c>
      <c r="M267" t="s">
        <v>722</v>
      </c>
      <c r="P267">
        <v>1</v>
      </c>
      <c r="R267">
        <f t="shared" si="18"/>
        <v>17</v>
      </c>
      <c r="S267">
        <f t="shared" si="19"/>
        <v>0</v>
      </c>
    </row>
    <row r="268" spans="1:19" x14ac:dyDescent="0.2">
      <c r="A268" s="1">
        <v>17</v>
      </c>
      <c r="B268" t="s">
        <v>723</v>
      </c>
      <c r="C268" t="s">
        <v>724</v>
      </c>
      <c r="D268" t="s">
        <v>721</v>
      </c>
      <c r="F268" t="s">
        <v>48</v>
      </c>
      <c r="G268">
        <v>32.305869740247999</v>
      </c>
      <c r="H268">
        <v>34.842875660039503</v>
      </c>
      <c r="I268">
        <f t="shared" si="16"/>
        <v>2017</v>
      </c>
      <c r="J268">
        <f t="shared" si="17"/>
        <v>22</v>
      </c>
      <c r="K268" s="2">
        <v>42887</v>
      </c>
      <c r="L268" s="2" t="s">
        <v>23</v>
      </c>
      <c r="M268" t="s">
        <v>725</v>
      </c>
      <c r="N268" t="s">
        <v>726</v>
      </c>
      <c r="P268">
        <v>1</v>
      </c>
      <c r="R268">
        <f t="shared" si="18"/>
        <v>17</v>
      </c>
      <c r="S268">
        <f t="shared" si="19"/>
        <v>0</v>
      </c>
    </row>
    <row r="269" spans="1:19" x14ac:dyDescent="0.2">
      <c r="A269"/>
      <c r="B269" s="7" t="s">
        <v>736</v>
      </c>
      <c r="C269" s="7" t="s">
        <v>737</v>
      </c>
      <c r="D269" s="7" t="s">
        <v>738</v>
      </c>
      <c r="E269" s="7"/>
      <c r="F269" s="7"/>
      <c r="I269">
        <f t="shared" si="16"/>
        <v>2017</v>
      </c>
      <c r="J269">
        <f t="shared" si="17"/>
        <v>22</v>
      </c>
      <c r="K269" s="8">
        <v>42887</v>
      </c>
      <c r="L269" s="2" t="s">
        <v>23</v>
      </c>
      <c r="M269" s="7" t="s">
        <v>739</v>
      </c>
      <c r="N269" s="7" t="s">
        <v>740</v>
      </c>
      <c r="P269">
        <v>1</v>
      </c>
      <c r="R269">
        <f t="shared" si="18"/>
        <v>17</v>
      </c>
      <c r="S269">
        <f t="shared" si="19"/>
        <v>0</v>
      </c>
    </row>
    <row r="270" spans="1:19" x14ac:dyDescent="0.2">
      <c r="A270" s="1">
        <v>200</v>
      </c>
      <c r="B270" t="s">
        <v>741</v>
      </c>
      <c r="C270" t="s">
        <v>742</v>
      </c>
      <c r="D270" t="s">
        <v>743</v>
      </c>
      <c r="F270" t="s">
        <v>242</v>
      </c>
      <c r="G270">
        <v>32.023220011216303</v>
      </c>
      <c r="H270">
        <v>34.738647655010197</v>
      </c>
      <c r="I270">
        <f t="shared" si="16"/>
        <v>2017</v>
      </c>
      <c r="J270">
        <f t="shared" si="17"/>
        <v>22</v>
      </c>
      <c r="K270" s="2">
        <v>42888</v>
      </c>
      <c r="L270" s="2" t="s">
        <v>23</v>
      </c>
      <c r="M270" t="s">
        <v>744</v>
      </c>
      <c r="N270" t="s">
        <v>745</v>
      </c>
      <c r="P270">
        <v>1</v>
      </c>
      <c r="R270">
        <f t="shared" si="18"/>
        <v>17</v>
      </c>
      <c r="S270">
        <f t="shared" si="19"/>
        <v>0</v>
      </c>
    </row>
    <row r="271" spans="1:19" x14ac:dyDescent="0.2">
      <c r="A271" s="12">
        <v>150</v>
      </c>
      <c r="B271" s="12" t="s">
        <v>746</v>
      </c>
      <c r="C271" s="12" t="s">
        <v>694</v>
      </c>
      <c r="D271" s="13" t="s">
        <v>747</v>
      </c>
      <c r="E271" s="5" t="s">
        <v>47</v>
      </c>
      <c r="F271" s="12" t="s">
        <v>748</v>
      </c>
      <c r="G271" s="12"/>
      <c r="H271" s="12"/>
      <c r="I271">
        <f t="shared" si="16"/>
        <v>2017</v>
      </c>
      <c r="J271">
        <f t="shared" si="17"/>
        <v>22</v>
      </c>
      <c r="K271" s="14">
        <v>42888</v>
      </c>
      <c r="L271" s="2" t="s">
        <v>23</v>
      </c>
      <c r="M271" s="12" t="s">
        <v>749</v>
      </c>
      <c r="N271" s="12" t="s">
        <v>750</v>
      </c>
      <c r="P271">
        <v>1</v>
      </c>
      <c r="R271">
        <f t="shared" si="18"/>
        <v>17</v>
      </c>
      <c r="S271">
        <f t="shared" si="19"/>
        <v>1</v>
      </c>
    </row>
    <row r="272" spans="1:19" x14ac:dyDescent="0.2">
      <c r="A272" s="12">
        <v>150</v>
      </c>
      <c r="B272" s="12" t="s">
        <v>746</v>
      </c>
      <c r="C272" s="12" t="s">
        <v>694</v>
      </c>
      <c r="D272" s="13" t="s">
        <v>747</v>
      </c>
      <c r="E272" s="5" t="s">
        <v>100</v>
      </c>
      <c r="F272" s="12" t="s">
        <v>748</v>
      </c>
      <c r="G272" s="12"/>
      <c r="H272" s="12"/>
      <c r="I272">
        <f t="shared" si="16"/>
        <v>2017</v>
      </c>
      <c r="J272">
        <f t="shared" si="17"/>
        <v>22</v>
      </c>
      <c r="K272" s="14">
        <v>42888</v>
      </c>
      <c r="L272" s="2" t="s">
        <v>23</v>
      </c>
      <c r="M272" s="12" t="s">
        <v>749</v>
      </c>
      <c r="N272" s="12" t="s">
        <v>750</v>
      </c>
      <c r="P272">
        <v>1</v>
      </c>
      <c r="R272">
        <f t="shared" si="18"/>
        <v>17</v>
      </c>
      <c r="S272">
        <f t="shared" si="19"/>
        <v>1</v>
      </c>
    </row>
    <row r="273" spans="1:19" x14ac:dyDescent="0.2">
      <c r="A273" s="12">
        <v>150</v>
      </c>
      <c r="B273" s="12" t="s">
        <v>746</v>
      </c>
      <c r="C273" s="12" t="s">
        <v>694</v>
      </c>
      <c r="D273" s="13" t="s">
        <v>747</v>
      </c>
      <c r="E273" s="10" t="s">
        <v>21</v>
      </c>
      <c r="F273" s="12" t="s">
        <v>748</v>
      </c>
      <c r="G273" s="12"/>
      <c r="H273" s="12"/>
      <c r="I273">
        <f t="shared" si="16"/>
        <v>2017</v>
      </c>
      <c r="J273">
        <f t="shared" si="17"/>
        <v>22</v>
      </c>
      <c r="K273" s="14">
        <v>42888</v>
      </c>
      <c r="L273" s="2" t="s">
        <v>23</v>
      </c>
      <c r="M273" s="12" t="s">
        <v>749</v>
      </c>
      <c r="N273" s="12" t="s">
        <v>750</v>
      </c>
      <c r="P273">
        <v>1</v>
      </c>
      <c r="R273">
        <f t="shared" si="18"/>
        <v>17</v>
      </c>
      <c r="S273">
        <f t="shared" si="19"/>
        <v>7</v>
      </c>
    </row>
    <row r="274" spans="1:19" x14ac:dyDescent="0.2">
      <c r="A274" s="12">
        <v>150</v>
      </c>
      <c r="B274" s="12" t="s">
        <v>746</v>
      </c>
      <c r="C274" s="12" t="s">
        <v>694</v>
      </c>
      <c r="D274" s="13" t="s">
        <v>747</v>
      </c>
      <c r="E274" s="5" t="s">
        <v>73</v>
      </c>
      <c r="F274" s="12" t="s">
        <v>748</v>
      </c>
      <c r="G274" s="12"/>
      <c r="H274" s="12"/>
      <c r="I274">
        <f t="shared" si="16"/>
        <v>2017</v>
      </c>
      <c r="J274">
        <f t="shared" si="17"/>
        <v>22</v>
      </c>
      <c r="K274" s="14">
        <v>42888</v>
      </c>
      <c r="L274" s="2" t="s">
        <v>23</v>
      </c>
      <c r="M274" s="12" t="s">
        <v>749</v>
      </c>
      <c r="N274" s="12" t="s">
        <v>750</v>
      </c>
      <c r="P274">
        <v>1</v>
      </c>
      <c r="R274">
        <f t="shared" si="18"/>
        <v>17</v>
      </c>
      <c r="S274">
        <f t="shared" si="19"/>
        <v>1</v>
      </c>
    </row>
    <row r="275" spans="1:19" x14ac:dyDescent="0.2">
      <c r="A275"/>
      <c r="B275" t="s">
        <v>751</v>
      </c>
      <c r="C275" t="s">
        <v>752</v>
      </c>
      <c r="D275" t="s">
        <v>753</v>
      </c>
      <c r="I275">
        <f t="shared" si="16"/>
        <v>2017</v>
      </c>
      <c r="J275">
        <f t="shared" si="17"/>
        <v>22</v>
      </c>
      <c r="K275" s="2">
        <v>42889</v>
      </c>
      <c r="L275" s="2" t="s">
        <v>23</v>
      </c>
      <c r="M275" t="s">
        <v>754</v>
      </c>
      <c r="N275" t="s">
        <v>755</v>
      </c>
      <c r="P275">
        <v>1</v>
      </c>
      <c r="R275">
        <f t="shared" si="18"/>
        <v>17</v>
      </c>
      <c r="S275">
        <f t="shared" si="19"/>
        <v>0</v>
      </c>
    </row>
    <row r="276" spans="1:19" x14ac:dyDescent="0.2">
      <c r="A276" s="9">
        <v>589</v>
      </c>
      <c r="B276" s="9" t="s">
        <v>756</v>
      </c>
      <c r="C276" s="9" t="s">
        <v>757</v>
      </c>
      <c r="D276" s="10" t="s">
        <v>758</v>
      </c>
      <c r="E276" s="10"/>
      <c r="F276" s="9"/>
      <c r="G276" s="9"/>
      <c r="H276" s="9"/>
      <c r="I276">
        <f t="shared" si="16"/>
        <v>2017</v>
      </c>
      <c r="J276">
        <f t="shared" si="17"/>
        <v>24</v>
      </c>
      <c r="K276" s="11">
        <v>42897</v>
      </c>
      <c r="L276" s="2" t="s">
        <v>23</v>
      </c>
      <c r="M276" s="9" t="s">
        <v>759</v>
      </c>
      <c r="N276" s="9" t="s">
        <v>760</v>
      </c>
      <c r="P276">
        <v>1</v>
      </c>
      <c r="R276">
        <f t="shared" si="18"/>
        <v>2</v>
      </c>
      <c r="S276">
        <f t="shared" si="19"/>
        <v>0</v>
      </c>
    </row>
    <row r="277" spans="1:19" x14ac:dyDescent="0.2">
      <c r="A277" t="s">
        <v>761</v>
      </c>
      <c r="B277" t="s">
        <v>762</v>
      </c>
      <c r="C277" t="s">
        <v>763</v>
      </c>
      <c r="D277" t="s">
        <v>764</v>
      </c>
      <c r="I277">
        <f t="shared" si="16"/>
        <v>2017</v>
      </c>
      <c r="J277">
        <f t="shared" si="17"/>
        <v>24</v>
      </c>
      <c r="K277" s="2">
        <v>42901</v>
      </c>
      <c r="L277" s="2" t="s">
        <v>23</v>
      </c>
      <c r="M277" t="s">
        <v>765</v>
      </c>
      <c r="N277" t="s">
        <v>766</v>
      </c>
      <c r="P277">
        <v>1</v>
      </c>
      <c r="R277">
        <f t="shared" si="18"/>
        <v>2</v>
      </c>
      <c r="S277">
        <f t="shared" si="19"/>
        <v>0</v>
      </c>
    </row>
    <row r="278" spans="1:19" x14ac:dyDescent="0.2">
      <c r="A278" t="s">
        <v>767</v>
      </c>
      <c r="B278" t="s">
        <v>768</v>
      </c>
      <c r="C278" t="s">
        <v>769</v>
      </c>
      <c r="D278" t="s">
        <v>770</v>
      </c>
      <c r="I278">
        <f t="shared" si="16"/>
        <v>2017</v>
      </c>
      <c r="J278">
        <f t="shared" si="17"/>
        <v>25</v>
      </c>
      <c r="K278" s="2">
        <v>42904</v>
      </c>
      <c r="L278" s="2" t="s">
        <v>23</v>
      </c>
      <c r="M278" t="s">
        <v>771</v>
      </c>
      <c r="N278" t="s">
        <v>772</v>
      </c>
      <c r="P278">
        <v>1</v>
      </c>
      <c r="R278">
        <f t="shared" si="18"/>
        <v>24</v>
      </c>
      <c r="S278">
        <f t="shared" si="19"/>
        <v>0</v>
      </c>
    </row>
    <row r="279" spans="1:19" x14ac:dyDescent="0.2">
      <c r="A279" s="12">
        <v>183</v>
      </c>
      <c r="B279" s="12" t="s">
        <v>773</v>
      </c>
      <c r="C279" s="12" t="s">
        <v>774</v>
      </c>
      <c r="D279" s="12" t="s">
        <v>775</v>
      </c>
      <c r="E279" s="12"/>
      <c r="F279" s="12"/>
      <c r="I279">
        <f t="shared" si="16"/>
        <v>2017</v>
      </c>
      <c r="J279">
        <f t="shared" si="17"/>
        <v>25</v>
      </c>
      <c r="K279" s="17">
        <v>42904</v>
      </c>
      <c r="L279" s="2" t="s">
        <v>23</v>
      </c>
      <c r="M279" s="12" t="s">
        <v>776</v>
      </c>
      <c r="N279" s="12" t="s">
        <v>777</v>
      </c>
      <c r="P279">
        <v>1</v>
      </c>
      <c r="R279">
        <f t="shared" si="18"/>
        <v>24</v>
      </c>
      <c r="S279">
        <f t="shared" si="19"/>
        <v>0</v>
      </c>
    </row>
    <row r="280" spans="1:19" x14ac:dyDescent="0.2">
      <c r="A280" s="9">
        <v>10</v>
      </c>
      <c r="B280" s="9" t="s">
        <v>778</v>
      </c>
      <c r="C280" s="9" t="s">
        <v>779</v>
      </c>
      <c r="D280" s="9" t="s">
        <v>780</v>
      </c>
      <c r="E280" s="5" t="s">
        <v>47</v>
      </c>
      <c r="F280" s="9" t="s">
        <v>101</v>
      </c>
      <c r="I280">
        <f t="shared" si="16"/>
        <v>2017</v>
      </c>
      <c r="J280">
        <f t="shared" si="17"/>
        <v>25</v>
      </c>
      <c r="K280" s="16">
        <v>42904</v>
      </c>
      <c r="L280" s="2" t="s">
        <v>23</v>
      </c>
      <c r="M280" s="9" t="s">
        <v>781</v>
      </c>
      <c r="N280" s="9" t="s">
        <v>782</v>
      </c>
      <c r="P280">
        <v>1</v>
      </c>
      <c r="R280">
        <f t="shared" si="18"/>
        <v>24</v>
      </c>
      <c r="S280">
        <f t="shared" si="19"/>
        <v>3</v>
      </c>
    </row>
    <row r="281" spans="1:19" x14ac:dyDescent="0.2">
      <c r="A281" s="9">
        <v>10</v>
      </c>
      <c r="B281" s="9" t="s">
        <v>778</v>
      </c>
      <c r="C281" s="9" t="s">
        <v>779</v>
      </c>
      <c r="D281" s="9" t="s">
        <v>780</v>
      </c>
      <c r="E281" s="5" t="s">
        <v>100</v>
      </c>
      <c r="F281" s="9" t="s">
        <v>101</v>
      </c>
      <c r="I281">
        <f t="shared" si="16"/>
        <v>2017</v>
      </c>
      <c r="J281">
        <f t="shared" si="17"/>
        <v>25</v>
      </c>
      <c r="K281" s="16">
        <v>42904</v>
      </c>
      <c r="L281" s="2" t="s">
        <v>23</v>
      </c>
      <c r="M281" s="9" t="s">
        <v>781</v>
      </c>
      <c r="N281" s="9" t="s">
        <v>782</v>
      </c>
      <c r="P281">
        <v>1</v>
      </c>
      <c r="R281">
        <f t="shared" si="18"/>
        <v>24</v>
      </c>
      <c r="S281">
        <f t="shared" si="19"/>
        <v>3</v>
      </c>
    </row>
    <row r="282" spans="1:19" x14ac:dyDescent="0.2">
      <c r="A282" s="9">
        <v>10</v>
      </c>
      <c r="B282" s="9" t="s">
        <v>778</v>
      </c>
      <c r="C282" s="9" t="s">
        <v>779</v>
      </c>
      <c r="D282" s="9" t="s">
        <v>780</v>
      </c>
      <c r="E282" s="10" t="s">
        <v>21</v>
      </c>
      <c r="F282" s="9" t="s">
        <v>101</v>
      </c>
      <c r="I282">
        <f t="shared" si="16"/>
        <v>2017</v>
      </c>
      <c r="J282">
        <f t="shared" si="17"/>
        <v>25</v>
      </c>
      <c r="K282" s="16">
        <v>42904</v>
      </c>
      <c r="L282" s="2" t="s">
        <v>23</v>
      </c>
      <c r="M282" s="9" t="s">
        <v>781</v>
      </c>
      <c r="N282" s="9" t="s">
        <v>782</v>
      </c>
      <c r="P282">
        <v>1</v>
      </c>
      <c r="R282">
        <f t="shared" si="18"/>
        <v>24</v>
      </c>
      <c r="S282">
        <f t="shared" si="19"/>
        <v>8</v>
      </c>
    </row>
    <row r="283" spans="1:19" x14ac:dyDescent="0.2">
      <c r="A283" s="9">
        <v>10</v>
      </c>
      <c r="B283" s="9" t="s">
        <v>778</v>
      </c>
      <c r="C283" s="9" t="s">
        <v>779</v>
      </c>
      <c r="D283" s="9" t="s">
        <v>780</v>
      </c>
      <c r="E283" s="5" t="s">
        <v>73</v>
      </c>
      <c r="F283" s="9" t="s">
        <v>101</v>
      </c>
      <c r="I283">
        <f t="shared" si="16"/>
        <v>2017</v>
      </c>
      <c r="J283">
        <f t="shared" si="17"/>
        <v>25</v>
      </c>
      <c r="K283" s="16">
        <v>42904</v>
      </c>
      <c r="L283" s="2" t="s">
        <v>23</v>
      </c>
      <c r="M283" s="9" t="s">
        <v>781</v>
      </c>
      <c r="N283" s="9" t="s">
        <v>782</v>
      </c>
      <c r="P283">
        <v>1</v>
      </c>
      <c r="R283">
        <f t="shared" si="18"/>
        <v>24</v>
      </c>
      <c r="S283">
        <f t="shared" si="19"/>
        <v>5</v>
      </c>
    </row>
    <row r="284" spans="1:19" x14ac:dyDescent="0.2">
      <c r="A284" s="12">
        <v>161</v>
      </c>
      <c r="B284" s="12" t="s">
        <v>783</v>
      </c>
      <c r="C284" s="12" t="s">
        <v>784</v>
      </c>
      <c r="D284" s="12" t="s">
        <v>785</v>
      </c>
      <c r="E284" s="5" t="s">
        <v>47</v>
      </c>
      <c r="F284" s="12" t="s">
        <v>101</v>
      </c>
      <c r="I284">
        <f t="shared" si="16"/>
        <v>2017</v>
      </c>
      <c r="J284">
        <f t="shared" si="17"/>
        <v>25</v>
      </c>
      <c r="K284" s="17">
        <v>42904</v>
      </c>
      <c r="L284" s="2" t="s">
        <v>23</v>
      </c>
      <c r="M284" s="12" t="s">
        <v>786</v>
      </c>
      <c r="N284" s="12" t="s">
        <v>787</v>
      </c>
      <c r="P284">
        <v>1</v>
      </c>
      <c r="R284">
        <f t="shared" si="18"/>
        <v>24</v>
      </c>
      <c r="S284">
        <f t="shared" si="19"/>
        <v>3</v>
      </c>
    </row>
    <row r="285" spans="1:19" x14ac:dyDescent="0.2">
      <c r="A285" s="12">
        <v>161</v>
      </c>
      <c r="B285" s="12" t="s">
        <v>783</v>
      </c>
      <c r="C285" s="12" t="s">
        <v>784</v>
      </c>
      <c r="D285" s="12" t="s">
        <v>785</v>
      </c>
      <c r="E285" s="5" t="s">
        <v>100</v>
      </c>
      <c r="F285" s="12" t="s">
        <v>101</v>
      </c>
      <c r="I285">
        <f t="shared" si="16"/>
        <v>2017</v>
      </c>
      <c r="J285">
        <f t="shared" si="17"/>
        <v>25</v>
      </c>
      <c r="K285" s="17">
        <v>42904</v>
      </c>
      <c r="L285" s="2" t="s">
        <v>23</v>
      </c>
      <c r="M285" s="12" t="s">
        <v>786</v>
      </c>
      <c r="N285" s="12" t="s">
        <v>787</v>
      </c>
      <c r="P285">
        <v>1</v>
      </c>
      <c r="R285">
        <f t="shared" si="18"/>
        <v>24</v>
      </c>
      <c r="S285">
        <f t="shared" si="19"/>
        <v>3</v>
      </c>
    </row>
    <row r="286" spans="1:19" x14ac:dyDescent="0.2">
      <c r="A286" s="12">
        <v>161</v>
      </c>
      <c r="B286" s="12" t="s">
        <v>783</v>
      </c>
      <c r="C286" s="12" t="s">
        <v>784</v>
      </c>
      <c r="D286" s="12" t="s">
        <v>785</v>
      </c>
      <c r="E286" s="10" t="s">
        <v>21</v>
      </c>
      <c r="F286" s="12" t="s">
        <v>101</v>
      </c>
      <c r="I286">
        <f t="shared" si="16"/>
        <v>2017</v>
      </c>
      <c r="J286">
        <f t="shared" si="17"/>
        <v>25</v>
      </c>
      <c r="K286" s="17">
        <v>42904</v>
      </c>
      <c r="L286" s="2" t="s">
        <v>23</v>
      </c>
      <c r="M286" s="12" t="s">
        <v>786</v>
      </c>
      <c r="N286" s="12" t="s">
        <v>787</v>
      </c>
      <c r="P286">
        <v>1</v>
      </c>
      <c r="R286">
        <f t="shared" si="18"/>
        <v>24</v>
      </c>
      <c r="S286">
        <f t="shared" si="19"/>
        <v>8</v>
      </c>
    </row>
    <row r="287" spans="1:19" x14ac:dyDescent="0.2">
      <c r="A287" s="12">
        <v>161</v>
      </c>
      <c r="B287" s="12" t="s">
        <v>783</v>
      </c>
      <c r="C287" s="12" t="s">
        <v>784</v>
      </c>
      <c r="D287" s="12" t="s">
        <v>785</v>
      </c>
      <c r="E287" s="5" t="s">
        <v>73</v>
      </c>
      <c r="F287" s="12" t="s">
        <v>101</v>
      </c>
      <c r="I287">
        <f t="shared" si="16"/>
        <v>2017</v>
      </c>
      <c r="J287">
        <f t="shared" si="17"/>
        <v>25</v>
      </c>
      <c r="K287" s="17">
        <v>42904</v>
      </c>
      <c r="L287" s="2" t="s">
        <v>23</v>
      </c>
      <c r="M287" s="12" t="s">
        <v>786</v>
      </c>
      <c r="N287" s="12" t="s">
        <v>787</v>
      </c>
      <c r="P287">
        <v>1</v>
      </c>
      <c r="R287">
        <f t="shared" si="18"/>
        <v>24</v>
      </c>
      <c r="S287">
        <f t="shared" si="19"/>
        <v>5</v>
      </c>
    </row>
    <row r="288" spans="1:19" x14ac:dyDescent="0.2">
      <c r="A288" s="9">
        <v>79</v>
      </c>
      <c r="B288" s="9" t="s">
        <v>788</v>
      </c>
      <c r="C288" s="9" t="s">
        <v>789</v>
      </c>
      <c r="D288" s="10" t="s">
        <v>790</v>
      </c>
      <c r="E288" s="5" t="s">
        <v>73</v>
      </c>
      <c r="F288" s="9" t="s">
        <v>74</v>
      </c>
      <c r="G288" s="9"/>
      <c r="H288" s="9"/>
      <c r="I288">
        <f t="shared" si="16"/>
        <v>2017</v>
      </c>
      <c r="J288">
        <f t="shared" si="17"/>
        <v>25</v>
      </c>
      <c r="K288" s="11">
        <v>42905</v>
      </c>
      <c r="L288" s="2" t="s">
        <v>23</v>
      </c>
      <c r="M288" s="9" t="s">
        <v>791</v>
      </c>
      <c r="N288" s="9" t="s">
        <v>792</v>
      </c>
      <c r="P288">
        <v>1</v>
      </c>
      <c r="R288">
        <f t="shared" si="18"/>
        <v>24</v>
      </c>
      <c r="S288">
        <f t="shared" si="19"/>
        <v>5</v>
      </c>
    </row>
    <row r="289" spans="1:19" x14ac:dyDescent="0.2">
      <c r="A289" s="12">
        <v>410</v>
      </c>
      <c r="B289" s="12" t="s">
        <v>793</v>
      </c>
      <c r="C289" s="12" t="s">
        <v>520</v>
      </c>
      <c r="D289" s="13" t="s">
        <v>794</v>
      </c>
      <c r="E289" s="4" t="s">
        <v>21</v>
      </c>
      <c r="F289" s="12" t="s">
        <v>795</v>
      </c>
      <c r="G289" s="12"/>
      <c r="H289" s="12"/>
      <c r="I289">
        <f t="shared" si="16"/>
        <v>2017</v>
      </c>
      <c r="J289">
        <f t="shared" si="17"/>
        <v>25</v>
      </c>
      <c r="K289" s="14">
        <v>42905</v>
      </c>
      <c r="L289" s="2" t="s">
        <v>23</v>
      </c>
      <c r="M289" s="12" t="s">
        <v>796</v>
      </c>
      <c r="N289" s="12" t="s">
        <v>797</v>
      </c>
      <c r="P289">
        <v>1</v>
      </c>
      <c r="R289">
        <f t="shared" si="18"/>
        <v>24</v>
      </c>
      <c r="S289">
        <f t="shared" si="19"/>
        <v>8</v>
      </c>
    </row>
    <row r="290" spans="1:19" x14ac:dyDescent="0.2">
      <c r="A290" s="9">
        <v>48</v>
      </c>
      <c r="B290" s="9" t="s">
        <v>798</v>
      </c>
      <c r="C290" s="9" t="s">
        <v>799</v>
      </c>
      <c r="D290" s="9" t="s">
        <v>800</v>
      </c>
      <c r="E290" s="9"/>
      <c r="F290" s="9"/>
      <c r="I290">
        <f t="shared" si="16"/>
        <v>2017</v>
      </c>
      <c r="J290">
        <f t="shared" si="17"/>
        <v>25</v>
      </c>
      <c r="K290" s="16">
        <v>42905</v>
      </c>
      <c r="L290" s="2" t="s">
        <v>23</v>
      </c>
      <c r="M290" s="9" t="s">
        <v>801</v>
      </c>
      <c r="N290" s="9" t="s">
        <v>802</v>
      </c>
      <c r="P290">
        <v>1</v>
      </c>
      <c r="R290">
        <f t="shared" si="18"/>
        <v>24</v>
      </c>
      <c r="S290">
        <f t="shared" si="19"/>
        <v>0</v>
      </c>
    </row>
    <row r="291" spans="1:19" x14ac:dyDescent="0.2">
      <c r="A291" s="12">
        <v>32</v>
      </c>
      <c r="B291" s="12" t="s">
        <v>803</v>
      </c>
      <c r="C291" s="12" t="s">
        <v>804</v>
      </c>
      <c r="D291" s="12" t="s">
        <v>805</v>
      </c>
      <c r="E291" s="5" t="s">
        <v>73</v>
      </c>
      <c r="F291" s="12" t="s">
        <v>101</v>
      </c>
      <c r="I291">
        <f t="shared" si="16"/>
        <v>2017</v>
      </c>
      <c r="J291">
        <f t="shared" si="17"/>
        <v>25</v>
      </c>
      <c r="K291" s="17">
        <v>42905</v>
      </c>
      <c r="L291" s="2" t="s">
        <v>23</v>
      </c>
      <c r="M291" s="12" t="s">
        <v>806</v>
      </c>
      <c r="N291" s="12" t="s">
        <v>807</v>
      </c>
      <c r="P291">
        <v>1</v>
      </c>
      <c r="R291">
        <f t="shared" si="18"/>
        <v>24</v>
      </c>
      <c r="S291">
        <f t="shared" si="19"/>
        <v>5</v>
      </c>
    </row>
    <row r="292" spans="1:19" x14ac:dyDescent="0.2">
      <c r="A292" s="12">
        <v>32</v>
      </c>
      <c r="B292" s="12" t="s">
        <v>803</v>
      </c>
      <c r="C292" s="12" t="s">
        <v>804</v>
      </c>
      <c r="D292" s="12" t="s">
        <v>805</v>
      </c>
      <c r="E292" s="5" t="s">
        <v>100</v>
      </c>
      <c r="F292" s="12" t="s">
        <v>101</v>
      </c>
      <c r="I292">
        <f t="shared" si="16"/>
        <v>2017</v>
      </c>
      <c r="J292">
        <f t="shared" si="17"/>
        <v>25</v>
      </c>
      <c r="K292" s="17">
        <v>42905</v>
      </c>
      <c r="L292" s="2" t="s">
        <v>23</v>
      </c>
      <c r="M292" s="12" t="s">
        <v>806</v>
      </c>
      <c r="N292" s="12" t="s">
        <v>807</v>
      </c>
      <c r="P292">
        <v>1</v>
      </c>
      <c r="R292">
        <f t="shared" si="18"/>
        <v>24</v>
      </c>
      <c r="S292">
        <f t="shared" si="19"/>
        <v>3</v>
      </c>
    </row>
    <row r="293" spans="1:19" x14ac:dyDescent="0.2">
      <c r="A293" s="12">
        <v>32</v>
      </c>
      <c r="B293" s="12" t="s">
        <v>803</v>
      </c>
      <c r="C293" s="12" t="s">
        <v>804</v>
      </c>
      <c r="D293" s="12" t="s">
        <v>805</v>
      </c>
      <c r="E293" s="5" t="s">
        <v>47</v>
      </c>
      <c r="F293" s="12" t="s">
        <v>101</v>
      </c>
      <c r="I293">
        <f t="shared" si="16"/>
        <v>2017</v>
      </c>
      <c r="J293">
        <f t="shared" si="17"/>
        <v>25</v>
      </c>
      <c r="K293" s="17">
        <v>42905</v>
      </c>
      <c r="L293" s="2" t="s">
        <v>23</v>
      </c>
      <c r="M293" s="12" t="s">
        <v>806</v>
      </c>
      <c r="N293" s="12" t="s">
        <v>807</v>
      </c>
      <c r="P293">
        <v>1</v>
      </c>
      <c r="R293">
        <f t="shared" si="18"/>
        <v>24</v>
      </c>
      <c r="S293">
        <f t="shared" si="19"/>
        <v>3</v>
      </c>
    </row>
    <row r="294" spans="1:19" x14ac:dyDescent="0.2">
      <c r="A294" s="12">
        <v>32</v>
      </c>
      <c r="B294" s="12" t="s">
        <v>803</v>
      </c>
      <c r="C294" s="12" t="s">
        <v>804</v>
      </c>
      <c r="D294" s="12" t="s">
        <v>805</v>
      </c>
      <c r="E294" s="12" t="s">
        <v>21</v>
      </c>
      <c r="F294" s="12" t="s">
        <v>101</v>
      </c>
      <c r="I294">
        <f t="shared" si="16"/>
        <v>2017</v>
      </c>
      <c r="J294">
        <f t="shared" si="17"/>
        <v>25</v>
      </c>
      <c r="K294" s="17">
        <v>42905</v>
      </c>
      <c r="L294" s="2" t="s">
        <v>23</v>
      </c>
      <c r="M294" s="12" t="s">
        <v>806</v>
      </c>
      <c r="N294" s="12" t="s">
        <v>807</v>
      </c>
      <c r="P294">
        <v>1</v>
      </c>
      <c r="R294">
        <f t="shared" si="18"/>
        <v>24</v>
      </c>
      <c r="S294">
        <f t="shared" si="19"/>
        <v>8</v>
      </c>
    </row>
    <row r="295" spans="1:19" x14ac:dyDescent="0.2">
      <c r="A295" s="1">
        <v>80</v>
      </c>
      <c r="B295" t="s">
        <v>808</v>
      </c>
      <c r="C295" t="s">
        <v>809</v>
      </c>
      <c r="D295" t="s">
        <v>810</v>
      </c>
      <c r="F295" t="s">
        <v>48</v>
      </c>
      <c r="G295">
        <v>32.305869740247999</v>
      </c>
      <c r="H295">
        <v>34.842875660039503</v>
      </c>
      <c r="I295">
        <f t="shared" si="16"/>
        <v>2017</v>
      </c>
      <c r="J295">
        <f t="shared" si="17"/>
        <v>25</v>
      </c>
      <c r="K295" s="2">
        <v>42907</v>
      </c>
      <c r="L295" s="2" t="s">
        <v>23</v>
      </c>
      <c r="M295" t="s">
        <v>811</v>
      </c>
      <c r="N295" t="s">
        <v>812</v>
      </c>
      <c r="P295">
        <v>1</v>
      </c>
      <c r="R295">
        <f t="shared" si="18"/>
        <v>24</v>
      </c>
      <c r="S295">
        <f t="shared" si="19"/>
        <v>0</v>
      </c>
    </row>
    <row r="296" spans="1:19" x14ac:dyDescent="0.2">
      <c r="A296">
        <v>74</v>
      </c>
      <c r="B296" t="s">
        <v>813</v>
      </c>
      <c r="C296" t="s">
        <v>814</v>
      </c>
      <c r="D296" t="s">
        <v>815</v>
      </c>
      <c r="E296" s="4" t="s">
        <v>21</v>
      </c>
      <c r="F296" t="s">
        <v>64</v>
      </c>
      <c r="G296">
        <v>31.8169667122236</v>
      </c>
      <c r="H296">
        <v>34.639611775767101</v>
      </c>
      <c r="I296">
        <f t="shared" si="16"/>
        <v>2017</v>
      </c>
      <c r="J296">
        <f t="shared" si="17"/>
        <v>25</v>
      </c>
      <c r="K296" s="2">
        <v>42908</v>
      </c>
      <c r="L296" s="2" t="s">
        <v>23</v>
      </c>
      <c r="M296" t="s">
        <v>816</v>
      </c>
      <c r="N296" t="s">
        <v>817</v>
      </c>
      <c r="P296">
        <v>1</v>
      </c>
      <c r="R296">
        <f t="shared" si="18"/>
        <v>24</v>
      </c>
      <c r="S296">
        <f t="shared" si="19"/>
        <v>8</v>
      </c>
    </row>
    <row r="297" spans="1:19" x14ac:dyDescent="0.2">
      <c r="A297">
        <v>327</v>
      </c>
      <c r="B297" t="s">
        <v>818</v>
      </c>
      <c r="C297" t="s">
        <v>19</v>
      </c>
      <c r="D297" t="s">
        <v>819</v>
      </c>
      <c r="E297" s="5" t="s">
        <v>73</v>
      </c>
      <c r="F297" t="s">
        <v>74</v>
      </c>
      <c r="G297">
        <v>32.093438590230903</v>
      </c>
      <c r="H297">
        <v>34.767717357132298</v>
      </c>
      <c r="I297">
        <f t="shared" si="16"/>
        <v>2017</v>
      </c>
      <c r="J297">
        <f t="shared" si="17"/>
        <v>25</v>
      </c>
      <c r="K297" s="2">
        <v>42908</v>
      </c>
      <c r="L297" s="2" t="s">
        <v>23</v>
      </c>
      <c r="M297" t="s">
        <v>820</v>
      </c>
      <c r="N297" t="s">
        <v>821</v>
      </c>
      <c r="P297">
        <v>1</v>
      </c>
      <c r="R297">
        <f t="shared" si="18"/>
        <v>24</v>
      </c>
      <c r="S297">
        <f t="shared" si="19"/>
        <v>5</v>
      </c>
    </row>
    <row r="298" spans="1:19" x14ac:dyDescent="0.2">
      <c r="A298">
        <v>63</v>
      </c>
      <c r="B298" t="s">
        <v>822</v>
      </c>
      <c r="C298" t="s">
        <v>823</v>
      </c>
      <c r="D298" t="s">
        <v>824</v>
      </c>
      <c r="E298" s="4" t="s">
        <v>21</v>
      </c>
      <c r="F298" t="s">
        <v>64</v>
      </c>
      <c r="G298">
        <v>31.8169667122236</v>
      </c>
      <c r="H298">
        <v>34.639611775767101</v>
      </c>
      <c r="I298">
        <f t="shared" si="16"/>
        <v>2017</v>
      </c>
      <c r="J298">
        <f t="shared" si="17"/>
        <v>25</v>
      </c>
      <c r="K298" s="2">
        <v>42909</v>
      </c>
      <c r="L298" s="2" t="s">
        <v>23</v>
      </c>
      <c r="M298" t="s">
        <v>825</v>
      </c>
      <c r="N298" t="s">
        <v>826</v>
      </c>
      <c r="P298">
        <v>1</v>
      </c>
      <c r="R298">
        <f t="shared" si="18"/>
        <v>24</v>
      </c>
      <c r="S298">
        <f t="shared" si="19"/>
        <v>8</v>
      </c>
    </row>
    <row r="299" spans="1:19" x14ac:dyDescent="0.2">
      <c r="A299" t="s">
        <v>827</v>
      </c>
      <c r="B299" t="s">
        <v>828</v>
      </c>
      <c r="C299" t="s">
        <v>68</v>
      </c>
      <c r="D299" t="s">
        <v>829</v>
      </c>
      <c r="I299">
        <f t="shared" si="16"/>
        <v>2017</v>
      </c>
      <c r="J299">
        <f t="shared" si="17"/>
        <v>25</v>
      </c>
      <c r="K299" s="2">
        <v>42909</v>
      </c>
      <c r="L299" s="2" t="s">
        <v>23</v>
      </c>
      <c r="M299" t="s">
        <v>830</v>
      </c>
      <c r="N299" t="s">
        <v>831</v>
      </c>
      <c r="P299">
        <v>1</v>
      </c>
      <c r="R299">
        <f t="shared" si="18"/>
        <v>24</v>
      </c>
      <c r="S299">
        <f t="shared" si="19"/>
        <v>0</v>
      </c>
    </row>
    <row r="300" spans="1:19" x14ac:dyDescent="0.2">
      <c r="A300">
        <v>21</v>
      </c>
      <c r="B300" t="s">
        <v>832</v>
      </c>
      <c r="C300" t="s">
        <v>370</v>
      </c>
      <c r="D300" t="s">
        <v>833</v>
      </c>
      <c r="E300" s="4" t="s">
        <v>21</v>
      </c>
      <c r="F300" t="s">
        <v>64</v>
      </c>
      <c r="G300">
        <v>31.8169667122236</v>
      </c>
      <c r="H300">
        <v>34.639611775767101</v>
      </c>
      <c r="I300">
        <f t="shared" si="16"/>
        <v>2017</v>
      </c>
      <c r="J300">
        <f t="shared" si="17"/>
        <v>25</v>
      </c>
      <c r="K300" s="2">
        <v>42910</v>
      </c>
      <c r="L300" s="2" t="s">
        <v>23</v>
      </c>
      <c r="M300" t="s">
        <v>834</v>
      </c>
      <c r="N300" t="s">
        <v>835</v>
      </c>
      <c r="P300">
        <v>1</v>
      </c>
      <c r="R300">
        <f t="shared" si="18"/>
        <v>24</v>
      </c>
      <c r="S300">
        <f t="shared" si="19"/>
        <v>8</v>
      </c>
    </row>
    <row r="301" spans="1:19" x14ac:dyDescent="0.2">
      <c r="A301">
        <v>35</v>
      </c>
      <c r="B301" t="s">
        <v>836</v>
      </c>
      <c r="D301" t="s">
        <v>837</v>
      </c>
      <c r="E301" s="4" t="s">
        <v>21</v>
      </c>
      <c r="F301" t="s">
        <v>64</v>
      </c>
      <c r="G301">
        <v>31.8169667122236</v>
      </c>
      <c r="H301">
        <v>34.639611775767101</v>
      </c>
      <c r="I301">
        <f t="shared" si="16"/>
        <v>2017</v>
      </c>
      <c r="J301">
        <f t="shared" si="17"/>
        <v>25</v>
      </c>
      <c r="K301" s="2">
        <v>42910</v>
      </c>
      <c r="L301" s="2" t="s">
        <v>23</v>
      </c>
      <c r="M301" t="s">
        <v>838</v>
      </c>
      <c r="N301" t="s">
        <v>622</v>
      </c>
      <c r="P301">
        <v>1</v>
      </c>
      <c r="R301">
        <f t="shared" si="18"/>
        <v>24</v>
      </c>
      <c r="S301">
        <f t="shared" si="19"/>
        <v>8</v>
      </c>
    </row>
    <row r="302" spans="1:19" x14ac:dyDescent="0.2">
      <c r="A302">
        <v>38</v>
      </c>
      <c r="B302" t="s">
        <v>839</v>
      </c>
      <c r="C302" t="s">
        <v>840</v>
      </c>
      <c r="D302" t="s">
        <v>841</v>
      </c>
      <c r="E302" s="4" t="s">
        <v>21</v>
      </c>
      <c r="F302" t="s">
        <v>64</v>
      </c>
      <c r="G302">
        <v>31.8169667122236</v>
      </c>
      <c r="H302">
        <v>34.639611775767101</v>
      </c>
      <c r="I302">
        <f t="shared" si="16"/>
        <v>2017</v>
      </c>
      <c r="J302">
        <f t="shared" si="17"/>
        <v>26</v>
      </c>
      <c r="K302" s="2">
        <v>42911</v>
      </c>
      <c r="L302" s="2" t="s">
        <v>23</v>
      </c>
      <c r="M302" t="s">
        <v>842</v>
      </c>
      <c r="N302" t="s">
        <v>843</v>
      </c>
      <c r="P302">
        <v>1</v>
      </c>
      <c r="R302">
        <f t="shared" si="18"/>
        <v>39</v>
      </c>
      <c r="S302">
        <f t="shared" si="19"/>
        <v>12</v>
      </c>
    </row>
    <row r="303" spans="1:19" x14ac:dyDescent="0.2">
      <c r="A303">
        <v>381</v>
      </c>
      <c r="B303" t="s">
        <v>844</v>
      </c>
      <c r="C303" t="s">
        <v>845</v>
      </c>
      <c r="D303" t="s">
        <v>846</v>
      </c>
      <c r="F303" t="s">
        <v>30</v>
      </c>
      <c r="G303">
        <v>32.8371203553017</v>
      </c>
      <c r="H303">
        <v>34.9792189455856</v>
      </c>
      <c r="I303">
        <f t="shared" si="16"/>
        <v>2017</v>
      </c>
      <c r="J303">
        <f t="shared" si="17"/>
        <v>26</v>
      </c>
      <c r="K303" s="2">
        <v>42911</v>
      </c>
      <c r="L303" s="2" t="s">
        <v>23</v>
      </c>
      <c r="M303" t="s">
        <v>847</v>
      </c>
      <c r="N303" t="s">
        <v>848</v>
      </c>
      <c r="P303">
        <v>1</v>
      </c>
      <c r="R303">
        <f t="shared" si="18"/>
        <v>39</v>
      </c>
      <c r="S303">
        <f t="shared" si="19"/>
        <v>0</v>
      </c>
    </row>
    <row r="304" spans="1:19" x14ac:dyDescent="0.2">
      <c r="A304">
        <v>20</v>
      </c>
      <c r="B304" t="s">
        <v>849</v>
      </c>
      <c r="C304" t="s">
        <v>615</v>
      </c>
      <c r="D304" t="s">
        <v>850</v>
      </c>
      <c r="E304" s="5" t="s">
        <v>73</v>
      </c>
      <c r="F304" t="s">
        <v>74</v>
      </c>
      <c r="G304">
        <v>32.093438590230903</v>
      </c>
      <c r="H304">
        <v>34.767717357132298</v>
      </c>
      <c r="I304">
        <f t="shared" si="16"/>
        <v>2017</v>
      </c>
      <c r="J304">
        <f t="shared" si="17"/>
        <v>26</v>
      </c>
      <c r="K304" s="2">
        <v>42911</v>
      </c>
      <c r="L304" s="2" t="s">
        <v>23</v>
      </c>
      <c r="M304" t="s">
        <v>851</v>
      </c>
      <c r="N304" t="s">
        <v>852</v>
      </c>
      <c r="P304">
        <v>1</v>
      </c>
      <c r="R304">
        <f t="shared" si="18"/>
        <v>39</v>
      </c>
      <c r="S304">
        <f t="shared" si="19"/>
        <v>1</v>
      </c>
    </row>
    <row r="305" spans="1:19" x14ac:dyDescent="0.2">
      <c r="A305">
        <v>366</v>
      </c>
      <c r="B305" t="s">
        <v>853</v>
      </c>
      <c r="C305" t="s">
        <v>854</v>
      </c>
      <c r="D305" t="s">
        <v>855</v>
      </c>
      <c r="E305" s="4" t="s">
        <v>21</v>
      </c>
      <c r="F305" t="s">
        <v>70</v>
      </c>
      <c r="G305">
        <v>32.002493003827801</v>
      </c>
      <c r="H305">
        <v>34.731694234364099</v>
      </c>
      <c r="I305">
        <f t="shared" si="16"/>
        <v>2017</v>
      </c>
      <c r="J305">
        <f t="shared" si="17"/>
        <v>26</v>
      </c>
      <c r="K305" s="2">
        <v>42912</v>
      </c>
      <c r="L305" s="2" t="s">
        <v>23</v>
      </c>
      <c r="M305" t="s">
        <v>856</v>
      </c>
      <c r="N305" t="s">
        <v>857</v>
      </c>
      <c r="P305">
        <v>1</v>
      </c>
      <c r="R305">
        <f t="shared" si="18"/>
        <v>39</v>
      </c>
      <c r="S305">
        <f t="shared" si="19"/>
        <v>12</v>
      </c>
    </row>
    <row r="306" spans="1:19" x14ac:dyDescent="0.2">
      <c r="A306">
        <v>121</v>
      </c>
      <c r="B306" t="s">
        <v>858</v>
      </c>
      <c r="C306" t="s">
        <v>859</v>
      </c>
      <c r="D306" t="s">
        <v>860</v>
      </c>
      <c r="E306" s="4" t="s">
        <v>21</v>
      </c>
      <c r="F306" t="s">
        <v>70</v>
      </c>
      <c r="G306">
        <v>32.002493003827801</v>
      </c>
      <c r="H306">
        <v>34.731694234364099</v>
      </c>
      <c r="I306">
        <f t="shared" si="16"/>
        <v>2017</v>
      </c>
      <c r="J306">
        <f t="shared" si="17"/>
        <v>26</v>
      </c>
      <c r="K306" s="2">
        <v>42912</v>
      </c>
      <c r="L306" s="2" t="s">
        <v>23</v>
      </c>
      <c r="M306" t="s">
        <v>861</v>
      </c>
      <c r="N306" t="s">
        <v>862</v>
      </c>
      <c r="P306">
        <v>1</v>
      </c>
      <c r="R306">
        <f t="shared" si="18"/>
        <v>39</v>
      </c>
      <c r="S306">
        <f t="shared" si="19"/>
        <v>12</v>
      </c>
    </row>
    <row r="307" spans="1:19" x14ac:dyDescent="0.2">
      <c r="A307" s="1">
        <v>4</v>
      </c>
      <c r="B307" t="s">
        <v>863</v>
      </c>
      <c r="C307" t="s">
        <v>864</v>
      </c>
      <c r="D307" t="s">
        <v>860</v>
      </c>
      <c r="E307" s="4" t="s">
        <v>21</v>
      </c>
      <c r="F307" t="s">
        <v>70</v>
      </c>
      <c r="G307">
        <v>32.002493003827801</v>
      </c>
      <c r="H307">
        <v>34.731694234364099</v>
      </c>
      <c r="I307">
        <f t="shared" si="16"/>
        <v>2017</v>
      </c>
      <c r="J307">
        <f t="shared" si="17"/>
        <v>26</v>
      </c>
      <c r="K307" s="2">
        <v>42912</v>
      </c>
      <c r="L307" s="2" t="s">
        <v>23</v>
      </c>
      <c r="M307" t="s">
        <v>865</v>
      </c>
      <c r="N307" t="s">
        <v>862</v>
      </c>
      <c r="P307">
        <v>1</v>
      </c>
      <c r="R307">
        <f t="shared" si="18"/>
        <v>39</v>
      </c>
      <c r="S307">
        <f t="shared" si="19"/>
        <v>12</v>
      </c>
    </row>
    <row r="308" spans="1:19" x14ac:dyDescent="0.2">
      <c r="A308">
        <v>189</v>
      </c>
      <c r="B308" t="s">
        <v>866</v>
      </c>
      <c r="C308" t="s">
        <v>867</v>
      </c>
      <c r="D308" t="s">
        <v>868</v>
      </c>
      <c r="E308" s="4" t="s">
        <v>21</v>
      </c>
      <c r="F308" t="s">
        <v>22</v>
      </c>
      <c r="G308">
        <v>31.681438420965801</v>
      </c>
      <c r="H308">
        <v>34.554694789741902</v>
      </c>
      <c r="I308">
        <f t="shared" si="16"/>
        <v>2017</v>
      </c>
      <c r="J308">
        <f t="shared" si="17"/>
        <v>26</v>
      </c>
      <c r="K308" s="2">
        <v>42912</v>
      </c>
      <c r="L308" s="2" t="s">
        <v>23</v>
      </c>
      <c r="M308" t="s">
        <v>869</v>
      </c>
      <c r="N308" t="s">
        <v>870</v>
      </c>
      <c r="P308">
        <v>1</v>
      </c>
      <c r="R308">
        <f t="shared" si="18"/>
        <v>39</v>
      </c>
      <c r="S308">
        <f t="shared" si="19"/>
        <v>12</v>
      </c>
    </row>
    <row r="309" spans="1:19" x14ac:dyDescent="0.2">
      <c r="A309">
        <v>79</v>
      </c>
      <c r="B309" t="s">
        <v>871</v>
      </c>
      <c r="C309" t="s">
        <v>872</v>
      </c>
      <c r="D309" t="s">
        <v>873</v>
      </c>
      <c r="E309" s="5" t="s">
        <v>100</v>
      </c>
      <c r="F309" t="s">
        <v>623</v>
      </c>
      <c r="G309">
        <v>32.515814807338202</v>
      </c>
      <c r="H309">
        <v>34.896646884804703</v>
      </c>
      <c r="I309">
        <f t="shared" si="16"/>
        <v>2017</v>
      </c>
      <c r="J309">
        <f t="shared" si="17"/>
        <v>26</v>
      </c>
      <c r="K309" s="2">
        <v>42912</v>
      </c>
      <c r="L309" s="2" t="s">
        <v>23</v>
      </c>
      <c r="M309" t="s">
        <v>874</v>
      </c>
      <c r="N309" t="s">
        <v>875</v>
      </c>
      <c r="P309">
        <v>1</v>
      </c>
      <c r="R309">
        <f t="shared" si="18"/>
        <v>39</v>
      </c>
      <c r="S309">
        <f t="shared" si="19"/>
        <v>3</v>
      </c>
    </row>
    <row r="310" spans="1:19" x14ac:dyDescent="0.2">
      <c r="A310">
        <v>79</v>
      </c>
      <c r="B310" t="s">
        <v>871</v>
      </c>
      <c r="C310" t="s">
        <v>872</v>
      </c>
      <c r="D310" t="s">
        <v>873</v>
      </c>
      <c r="E310" s="5" t="s">
        <v>47</v>
      </c>
      <c r="F310" t="s">
        <v>75</v>
      </c>
      <c r="G310">
        <v>32.439273327223297</v>
      </c>
      <c r="H310">
        <v>34.878068554773698</v>
      </c>
      <c r="I310">
        <f t="shared" si="16"/>
        <v>2017</v>
      </c>
      <c r="J310">
        <f t="shared" si="17"/>
        <v>26</v>
      </c>
      <c r="K310" s="2">
        <v>42912</v>
      </c>
      <c r="L310" s="2" t="s">
        <v>23</v>
      </c>
      <c r="M310" t="s">
        <v>874</v>
      </c>
      <c r="N310" t="s">
        <v>875</v>
      </c>
      <c r="P310">
        <v>1</v>
      </c>
      <c r="R310">
        <f t="shared" si="18"/>
        <v>39</v>
      </c>
      <c r="S310">
        <f t="shared" si="19"/>
        <v>11</v>
      </c>
    </row>
    <row r="311" spans="1:19" x14ac:dyDescent="0.2">
      <c r="A311">
        <v>78</v>
      </c>
      <c r="B311" t="s">
        <v>876</v>
      </c>
      <c r="C311" t="s">
        <v>877</v>
      </c>
      <c r="D311" t="s">
        <v>878</v>
      </c>
      <c r="E311" s="5" t="s">
        <v>47</v>
      </c>
      <c r="F311" t="s">
        <v>75</v>
      </c>
      <c r="G311">
        <v>32.439273327223297</v>
      </c>
      <c r="H311">
        <v>34.878068554773698</v>
      </c>
      <c r="I311">
        <f t="shared" si="16"/>
        <v>2017</v>
      </c>
      <c r="J311">
        <f t="shared" si="17"/>
        <v>26</v>
      </c>
      <c r="K311" s="2">
        <v>42912</v>
      </c>
      <c r="L311" s="2" t="s">
        <v>23</v>
      </c>
      <c r="M311" t="s">
        <v>879</v>
      </c>
      <c r="N311" t="s">
        <v>880</v>
      </c>
      <c r="P311">
        <v>1</v>
      </c>
      <c r="R311">
        <f t="shared" si="18"/>
        <v>39</v>
      </c>
      <c r="S311">
        <f t="shared" si="19"/>
        <v>11</v>
      </c>
    </row>
    <row r="312" spans="1:19" x14ac:dyDescent="0.2">
      <c r="A312">
        <v>14</v>
      </c>
      <c r="B312" t="s">
        <v>881</v>
      </c>
      <c r="D312" t="s">
        <v>882</v>
      </c>
      <c r="E312" s="5" t="s">
        <v>47</v>
      </c>
      <c r="F312" t="s">
        <v>75</v>
      </c>
      <c r="G312">
        <v>32.439273327223297</v>
      </c>
      <c r="H312">
        <v>34.878068554773698</v>
      </c>
      <c r="I312">
        <f t="shared" si="16"/>
        <v>2017</v>
      </c>
      <c r="J312">
        <f t="shared" si="17"/>
        <v>26</v>
      </c>
      <c r="K312" s="2">
        <v>42912</v>
      </c>
      <c r="L312" s="2" t="s">
        <v>23</v>
      </c>
      <c r="M312" t="s">
        <v>883</v>
      </c>
      <c r="N312" t="s">
        <v>884</v>
      </c>
      <c r="P312">
        <v>1</v>
      </c>
      <c r="R312">
        <f t="shared" si="18"/>
        <v>39</v>
      </c>
      <c r="S312">
        <f t="shared" si="19"/>
        <v>11</v>
      </c>
    </row>
    <row r="313" spans="1:19" x14ac:dyDescent="0.2">
      <c r="A313">
        <v>79</v>
      </c>
      <c r="B313" t="s">
        <v>871</v>
      </c>
      <c r="C313" t="s">
        <v>872</v>
      </c>
      <c r="D313" t="s">
        <v>873</v>
      </c>
      <c r="E313" s="5" t="s">
        <v>100</v>
      </c>
      <c r="F313" t="s">
        <v>676</v>
      </c>
      <c r="G313">
        <v>32.708964182181099</v>
      </c>
      <c r="H313">
        <v>34.940899754832301</v>
      </c>
      <c r="I313">
        <f t="shared" si="16"/>
        <v>2017</v>
      </c>
      <c r="J313">
        <f t="shared" si="17"/>
        <v>26</v>
      </c>
      <c r="K313" s="2">
        <v>42912</v>
      </c>
      <c r="L313" s="2" t="s">
        <v>23</v>
      </c>
      <c r="M313" t="s">
        <v>874</v>
      </c>
      <c r="N313" t="s">
        <v>875</v>
      </c>
      <c r="P313">
        <v>1</v>
      </c>
      <c r="R313">
        <f t="shared" si="18"/>
        <v>39</v>
      </c>
      <c r="S313">
        <f t="shared" si="19"/>
        <v>3</v>
      </c>
    </row>
    <row r="314" spans="1:19" x14ac:dyDescent="0.2">
      <c r="A314">
        <v>79</v>
      </c>
      <c r="B314" t="s">
        <v>871</v>
      </c>
      <c r="C314" t="s">
        <v>872</v>
      </c>
      <c r="D314" t="s">
        <v>873</v>
      </c>
      <c r="E314" s="5" t="s">
        <v>100</v>
      </c>
      <c r="F314" t="s">
        <v>885</v>
      </c>
      <c r="G314">
        <v>32.515814807338202</v>
      </c>
      <c r="H314">
        <v>34.896646884804703</v>
      </c>
      <c r="I314">
        <f t="shared" si="16"/>
        <v>2017</v>
      </c>
      <c r="J314">
        <f t="shared" si="17"/>
        <v>26</v>
      </c>
      <c r="K314" s="2">
        <v>42912</v>
      </c>
      <c r="L314" s="2" t="s">
        <v>23</v>
      </c>
      <c r="M314" t="s">
        <v>874</v>
      </c>
      <c r="N314" t="s">
        <v>875</v>
      </c>
      <c r="P314">
        <v>1</v>
      </c>
      <c r="R314">
        <f t="shared" si="18"/>
        <v>39</v>
      </c>
      <c r="S314">
        <f t="shared" si="19"/>
        <v>3</v>
      </c>
    </row>
    <row r="315" spans="1:19" x14ac:dyDescent="0.2">
      <c r="A315"/>
      <c r="B315" s="7" t="s">
        <v>886</v>
      </c>
      <c r="C315" s="7" t="s">
        <v>887</v>
      </c>
      <c r="D315" s="7" t="s">
        <v>888</v>
      </c>
      <c r="E315" s="7"/>
      <c r="F315" s="7"/>
      <c r="I315">
        <f t="shared" si="16"/>
        <v>2017</v>
      </c>
      <c r="J315">
        <f t="shared" si="17"/>
        <v>26</v>
      </c>
      <c r="K315" s="8">
        <v>42912</v>
      </c>
      <c r="L315" s="2" t="s">
        <v>23</v>
      </c>
      <c r="M315" s="7" t="s">
        <v>889</v>
      </c>
      <c r="N315" s="7" t="s">
        <v>890</v>
      </c>
      <c r="P315">
        <v>1</v>
      </c>
      <c r="R315">
        <f t="shared" si="18"/>
        <v>39</v>
      </c>
      <c r="S315">
        <f t="shared" si="19"/>
        <v>0</v>
      </c>
    </row>
    <row r="316" spans="1:19" x14ac:dyDescent="0.2">
      <c r="A316"/>
      <c r="B316" t="s">
        <v>891</v>
      </c>
      <c r="C316" t="s">
        <v>887</v>
      </c>
      <c r="D316" t="s">
        <v>892</v>
      </c>
      <c r="I316">
        <f t="shared" si="16"/>
        <v>2017</v>
      </c>
      <c r="J316">
        <f t="shared" si="17"/>
        <v>26</v>
      </c>
      <c r="K316" s="2">
        <v>42912</v>
      </c>
      <c r="L316" s="2" t="s">
        <v>23</v>
      </c>
      <c r="M316" t="s">
        <v>893</v>
      </c>
      <c r="N316" t="s">
        <v>890</v>
      </c>
      <c r="P316">
        <v>1</v>
      </c>
      <c r="R316">
        <f t="shared" si="18"/>
        <v>39</v>
      </c>
      <c r="S316">
        <f t="shared" si="19"/>
        <v>0</v>
      </c>
    </row>
    <row r="317" spans="1:19" x14ac:dyDescent="0.2">
      <c r="A317" s="9">
        <v>337</v>
      </c>
      <c r="B317" s="9" t="s">
        <v>894</v>
      </c>
      <c r="C317" s="9" t="s">
        <v>887</v>
      </c>
      <c r="D317" s="10" t="s">
        <v>895</v>
      </c>
      <c r="E317" s="10"/>
      <c r="F317" s="9"/>
      <c r="G317" s="9"/>
      <c r="H317" s="9"/>
      <c r="I317">
        <f t="shared" si="16"/>
        <v>2017</v>
      </c>
      <c r="J317">
        <f t="shared" si="17"/>
        <v>26</v>
      </c>
      <c r="K317" s="11">
        <v>42912</v>
      </c>
      <c r="L317" s="2" t="s">
        <v>23</v>
      </c>
      <c r="M317" s="9" t="s">
        <v>896</v>
      </c>
      <c r="N317" s="9" t="s">
        <v>897</v>
      </c>
      <c r="P317">
        <v>1</v>
      </c>
      <c r="R317">
        <f t="shared" si="18"/>
        <v>39</v>
      </c>
      <c r="S317">
        <f t="shared" si="19"/>
        <v>0</v>
      </c>
    </row>
    <row r="318" spans="1:19" x14ac:dyDescent="0.2">
      <c r="A318" s="1">
        <v>92</v>
      </c>
      <c r="B318" t="s">
        <v>898</v>
      </c>
      <c r="C318" t="s">
        <v>40</v>
      </c>
      <c r="D318" t="s">
        <v>899</v>
      </c>
      <c r="E318" s="4" t="s">
        <v>21</v>
      </c>
      <c r="F318" t="s">
        <v>70</v>
      </c>
      <c r="G318">
        <v>32.002493003827801</v>
      </c>
      <c r="H318">
        <v>34.731694234364099</v>
      </c>
      <c r="I318">
        <f t="shared" si="16"/>
        <v>2017</v>
      </c>
      <c r="J318">
        <f t="shared" si="17"/>
        <v>26</v>
      </c>
      <c r="K318" s="2">
        <v>42913</v>
      </c>
      <c r="L318" s="2" t="s">
        <v>23</v>
      </c>
      <c r="M318" t="s">
        <v>900</v>
      </c>
      <c r="N318" t="s">
        <v>901</v>
      </c>
      <c r="P318">
        <v>1</v>
      </c>
      <c r="R318">
        <f t="shared" si="18"/>
        <v>39</v>
      </c>
      <c r="S318">
        <f t="shared" si="19"/>
        <v>12</v>
      </c>
    </row>
    <row r="319" spans="1:19" x14ac:dyDescent="0.2">
      <c r="A319" s="1">
        <v>382</v>
      </c>
      <c r="B319" t="s">
        <v>902</v>
      </c>
      <c r="C319" t="s">
        <v>40</v>
      </c>
      <c r="D319" t="s">
        <v>903</v>
      </c>
      <c r="E319" s="4" t="s">
        <v>21</v>
      </c>
      <c r="F319" t="s">
        <v>70</v>
      </c>
      <c r="G319">
        <v>32.002493003827801</v>
      </c>
      <c r="H319">
        <v>34.731694234364099</v>
      </c>
      <c r="I319">
        <f t="shared" si="16"/>
        <v>2017</v>
      </c>
      <c r="J319">
        <f t="shared" si="17"/>
        <v>26</v>
      </c>
      <c r="K319" s="2">
        <v>42913</v>
      </c>
      <c r="L319" s="2" t="s">
        <v>23</v>
      </c>
      <c r="M319" t="s">
        <v>904</v>
      </c>
      <c r="N319" t="s">
        <v>905</v>
      </c>
      <c r="P319">
        <v>1</v>
      </c>
      <c r="R319">
        <f t="shared" si="18"/>
        <v>39</v>
      </c>
      <c r="S319">
        <f t="shared" si="19"/>
        <v>12</v>
      </c>
    </row>
    <row r="320" spans="1:19" x14ac:dyDescent="0.2">
      <c r="B320" t="s">
        <v>906</v>
      </c>
      <c r="C320" t="s">
        <v>190</v>
      </c>
      <c r="D320" t="s">
        <v>907</v>
      </c>
      <c r="E320" s="5" t="s">
        <v>47</v>
      </c>
      <c r="F320" t="s">
        <v>75</v>
      </c>
      <c r="G320">
        <v>32.439273327223297</v>
      </c>
      <c r="H320">
        <v>34.878068554773698</v>
      </c>
      <c r="I320">
        <f t="shared" si="16"/>
        <v>2017</v>
      </c>
      <c r="J320">
        <f t="shared" si="17"/>
        <v>26</v>
      </c>
      <c r="K320" s="2">
        <v>42913</v>
      </c>
      <c r="L320" s="2" t="s">
        <v>23</v>
      </c>
      <c r="M320" t="s">
        <v>908</v>
      </c>
      <c r="N320" t="s">
        <v>909</v>
      </c>
      <c r="P320">
        <v>1</v>
      </c>
      <c r="R320">
        <f t="shared" si="18"/>
        <v>39</v>
      </c>
      <c r="S320">
        <f t="shared" si="19"/>
        <v>11</v>
      </c>
    </row>
    <row r="321" spans="1:19" x14ac:dyDescent="0.2">
      <c r="B321" t="s">
        <v>910</v>
      </c>
      <c r="C321" t="s">
        <v>911</v>
      </c>
      <c r="D321" t="s">
        <v>912</v>
      </c>
      <c r="E321" s="5" t="s">
        <v>47</v>
      </c>
      <c r="F321" t="s">
        <v>75</v>
      </c>
      <c r="G321">
        <v>32.439273327223297</v>
      </c>
      <c r="H321">
        <v>34.878068554773698</v>
      </c>
      <c r="I321">
        <f t="shared" si="16"/>
        <v>2017</v>
      </c>
      <c r="J321">
        <f t="shared" si="17"/>
        <v>26</v>
      </c>
      <c r="K321" s="2">
        <v>42913</v>
      </c>
      <c r="L321" s="2" t="s">
        <v>23</v>
      </c>
      <c r="M321" t="s">
        <v>913</v>
      </c>
      <c r="N321" t="s">
        <v>914</v>
      </c>
      <c r="P321">
        <v>1</v>
      </c>
      <c r="R321">
        <f t="shared" si="18"/>
        <v>39</v>
      </c>
      <c r="S321">
        <f t="shared" si="19"/>
        <v>11</v>
      </c>
    </row>
    <row r="322" spans="1:19" x14ac:dyDescent="0.2">
      <c r="B322" t="s">
        <v>915</v>
      </c>
      <c r="C322" t="s">
        <v>45</v>
      </c>
      <c r="D322" t="s">
        <v>916</v>
      </c>
      <c r="E322" s="5" t="s">
        <v>47</v>
      </c>
      <c r="F322" t="s">
        <v>75</v>
      </c>
      <c r="G322">
        <v>32.439273327223297</v>
      </c>
      <c r="H322">
        <v>34.878068554773698</v>
      </c>
      <c r="I322">
        <f t="shared" ref="I322:I385" si="20">YEAR(K322)</f>
        <v>2017</v>
      </c>
      <c r="J322">
        <f t="shared" ref="J322:J385" si="21">WEEKNUM(K322)</f>
        <v>26</v>
      </c>
      <c r="K322" s="2">
        <v>42913</v>
      </c>
      <c r="L322" s="2" t="s">
        <v>23</v>
      </c>
      <c r="M322" t="s">
        <v>917</v>
      </c>
      <c r="N322" t="s">
        <v>918</v>
      </c>
      <c r="P322">
        <v>1</v>
      </c>
      <c r="R322">
        <f t="shared" si="18"/>
        <v>39</v>
      </c>
      <c r="S322">
        <f t="shared" si="19"/>
        <v>11</v>
      </c>
    </row>
    <row r="323" spans="1:19" x14ac:dyDescent="0.2">
      <c r="A323" s="12">
        <v>249</v>
      </c>
      <c r="B323" s="12" t="s">
        <v>919</v>
      </c>
      <c r="C323" s="12" t="s">
        <v>920</v>
      </c>
      <c r="D323" s="12" t="s">
        <v>921</v>
      </c>
      <c r="E323" s="5" t="s">
        <v>47</v>
      </c>
      <c r="F323" s="12" t="s">
        <v>75</v>
      </c>
      <c r="I323">
        <f t="shared" si="20"/>
        <v>2017</v>
      </c>
      <c r="J323">
        <f t="shared" si="21"/>
        <v>26</v>
      </c>
      <c r="K323" s="17">
        <v>42913</v>
      </c>
      <c r="L323" s="2" t="s">
        <v>23</v>
      </c>
      <c r="M323" s="12" t="s">
        <v>922</v>
      </c>
      <c r="N323" s="12" t="s">
        <v>923</v>
      </c>
      <c r="P323">
        <v>1</v>
      </c>
      <c r="R323">
        <f t="shared" ref="R323:R386" si="22">COUNTIFS($J$2:$J$997,J323,$I$2:$I$997,I323)</f>
        <v>39</v>
      </c>
      <c r="S323">
        <f t="shared" ref="S323:S386" si="23">COUNTIFS($J$2:$J$997,J323,$I$2:$I$997,I323,$E$2:$E$997,E323)</f>
        <v>11</v>
      </c>
    </row>
    <row r="324" spans="1:19" x14ac:dyDescent="0.2">
      <c r="A324" s="9">
        <v>110</v>
      </c>
      <c r="B324" s="9" t="s">
        <v>924</v>
      </c>
      <c r="C324" s="9" t="s">
        <v>774</v>
      </c>
      <c r="D324" s="9" t="s">
        <v>925</v>
      </c>
      <c r="E324" s="5" t="s">
        <v>47</v>
      </c>
      <c r="F324" s="9" t="s">
        <v>75</v>
      </c>
      <c r="I324">
        <f t="shared" si="20"/>
        <v>2017</v>
      </c>
      <c r="J324">
        <f t="shared" si="21"/>
        <v>26</v>
      </c>
      <c r="K324" s="16">
        <v>42913</v>
      </c>
      <c r="L324" s="2" t="s">
        <v>23</v>
      </c>
      <c r="M324" s="9" t="s">
        <v>926</v>
      </c>
      <c r="N324" s="9" t="s">
        <v>927</v>
      </c>
      <c r="P324">
        <v>1</v>
      </c>
      <c r="R324">
        <f t="shared" si="22"/>
        <v>39</v>
      </c>
      <c r="S324">
        <f t="shared" si="23"/>
        <v>11</v>
      </c>
    </row>
    <row r="325" spans="1:19" x14ac:dyDescent="0.2">
      <c r="A325" s="12">
        <v>28</v>
      </c>
      <c r="B325" s="12" t="s">
        <v>928</v>
      </c>
      <c r="C325" s="12" t="s">
        <v>752</v>
      </c>
      <c r="D325" s="12" t="s">
        <v>929</v>
      </c>
      <c r="E325" s="4" t="s">
        <v>21</v>
      </c>
      <c r="F325" s="12" t="s">
        <v>22</v>
      </c>
      <c r="I325">
        <f t="shared" si="20"/>
        <v>2017</v>
      </c>
      <c r="J325">
        <f t="shared" si="21"/>
        <v>26</v>
      </c>
      <c r="K325" s="17">
        <v>42913</v>
      </c>
      <c r="L325" s="2" t="s">
        <v>23</v>
      </c>
      <c r="M325" s="12" t="s">
        <v>930</v>
      </c>
      <c r="N325" s="12" t="s">
        <v>931</v>
      </c>
      <c r="P325">
        <v>1</v>
      </c>
      <c r="R325">
        <f t="shared" si="22"/>
        <v>39</v>
      </c>
      <c r="S325">
        <f t="shared" si="23"/>
        <v>12</v>
      </c>
    </row>
    <row r="326" spans="1:19" x14ac:dyDescent="0.2">
      <c r="A326" s="1">
        <v>99</v>
      </c>
      <c r="B326" t="s">
        <v>932</v>
      </c>
      <c r="C326" t="s">
        <v>933</v>
      </c>
      <c r="D326" t="s">
        <v>934</v>
      </c>
      <c r="E326" s="4" t="s">
        <v>21</v>
      </c>
      <c r="F326" t="s">
        <v>70</v>
      </c>
      <c r="G326">
        <v>32.002493003827801</v>
      </c>
      <c r="H326">
        <v>34.731694234364099</v>
      </c>
      <c r="I326">
        <f t="shared" si="20"/>
        <v>2017</v>
      </c>
      <c r="J326">
        <f t="shared" si="21"/>
        <v>26</v>
      </c>
      <c r="K326" s="2">
        <v>42914</v>
      </c>
      <c r="L326" s="2" t="s">
        <v>23</v>
      </c>
      <c r="M326" t="s">
        <v>935</v>
      </c>
      <c r="N326" t="s">
        <v>936</v>
      </c>
      <c r="P326">
        <v>1</v>
      </c>
      <c r="R326">
        <f t="shared" si="22"/>
        <v>39</v>
      </c>
      <c r="S326">
        <f t="shared" si="23"/>
        <v>12</v>
      </c>
    </row>
    <row r="327" spans="1:19" x14ac:dyDescent="0.2">
      <c r="A327" s="9">
        <v>471</v>
      </c>
      <c r="B327" s="9" t="s">
        <v>937</v>
      </c>
      <c r="C327" s="9" t="s">
        <v>520</v>
      </c>
      <c r="D327" s="10" t="s">
        <v>938</v>
      </c>
      <c r="E327" s="5" t="s">
        <v>47</v>
      </c>
      <c r="F327" s="9" t="s">
        <v>75</v>
      </c>
      <c r="G327" s="9"/>
      <c r="H327" s="9"/>
      <c r="I327">
        <f t="shared" si="20"/>
        <v>2017</v>
      </c>
      <c r="J327">
        <f t="shared" si="21"/>
        <v>26</v>
      </c>
      <c r="K327" s="11">
        <v>42914</v>
      </c>
      <c r="L327" s="2" t="s">
        <v>23</v>
      </c>
      <c r="M327" s="9" t="s">
        <v>939</v>
      </c>
      <c r="N327" s="9" t="s">
        <v>940</v>
      </c>
      <c r="P327">
        <v>1</v>
      </c>
      <c r="R327">
        <f t="shared" si="22"/>
        <v>39</v>
      </c>
      <c r="S327">
        <f t="shared" si="23"/>
        <v>11</v>
      </c>
    </row>
    <row r="328" spans="1:19" x14ac:dyDescent="0.2">
      <c r="A328" s="9">
        <v>181</v>
      </c>
      <c r="B328" s="9" t="s">
        <v>941</v>
      </c>
      <c r="C328" s="9" t="s">
        <v>942</v>
      </c>
      <c r="D328" s="9" t="s">
        <v>943</v>
      </c>
      <c r="E328" s="9"/>
      <c r="F328" s="9"/>
      <c r="I328">
        <f t="shared" si="20"/>
        <v>2017</v>
      </c>
      <c r="J328">
        <f t="shared" si="21"/>
        <v>26</v>
      </c>
      <c r="K328" s="16">
        <v>42914</v>
      </c>
      <c r="L328" s="2" t="s">
        <v>23</v>
      </c>
      <c r="M328" s="10" t="s">
        <v>944</v>
      </c>
      <c r="N328" s="9" t="s">
        <v>945</v>
      </c>
      <c r="P328">
        <v>1</v>
      </c>
      <c r="R328">
        <f t="shared" si="22"/>
        <v>39</v>
      </c>
      <c r="S328">
        <f t="shared" si="23"/>
        <v>0</v>
      </c>
    </row>
    <row r="329" spans="1:19" x14ac:dyDescent="0.2">
      <c r="A329" s="12">
        <v>294</v>
      </c>
      <c r="B329" s="12" t="s">
        <v>946</v>
      </c>
      <c r="C329" s="12" t="s">
        <v>947</v>
      </c>
      <c r="D329" s="12" t="s">
        <v>948</v>
      </c>
      <c r="E329" s="12"/>
      <c r="F329" s="12"/>
      <c r="I329">
        <f t="shared" si="20"/>
        <v>2017</v>
      </c>
      <c r="J329">
        <f t="shared" si="21"/>
        <v>26</v>
      </c>
      <c r="K329" s="17">
        <v>42914</v>
      </c>
      <c r="L329" s="2" t="s">
        <v>23</v>
      </c>
      <c r="M329" s="13" t="s">
        <v>949</v>
      </c>
      <c r="N329" s="12" t="s">
        <v>950</v>
      </c>
      <c r="P329">
        <v>1</v>
      </c>
      <c r="R329">
        <f t="shared" si="22"/>
        <v>39</v>
      </c>
      <c r="S329">
        <f t="shared" si="23"/>
        <v>0</v>
      </c>
    </row>
    <row r="330" spans="1:19" x14ac:dyDescent="0.2">
      <c r="A330" s="9">
        <v>109</v>
      </c>
      <c r="B330" s="9" t="s">
        <v>951</v>
      </c>
      <c r="C330" s="9" t="s">
        <v>952</v>
      </c>
      <c r="D330" s="9" t="s">
        <v>953</v>
      </c>
      <c r="E330" s="4" t="s">
        <v>21</v>
      </c>
      <c r="F330" s="9" t="s">
        <v>448</v>
      </c>
      <c r="I330">
        <f t="shared" si="20"/>
        <v>2017</v>
      </c>
      <c r="J330">
        <f t="shared" si="21"/>
        <v>26</v>
      </c>
      <c r="K330" s="16">
        <v>42914</v>
      </c>
      <c r="L330" s="2" t="s">
        <v>23</v>
      </c>
      <c r="M330" s="9" t="s">
        <v>954</v>
      </c>
      <c r="N330" s="9" t="s">
        <v>955</v>
      </c>
      <c r="P330">
        <v>1</v>
      </c>
      <c r="R330">
        <f t="shared" si="22"/>
        <v>39</v>
      </c>
      <c r="S330">
        <f t="shared" si="23"/>
        <v>12</v>
      </c>
    </row>
    <row r="331" spans="1:19" x14ac:dyDescent="0.2">
      <c r="A331" s="12">
        <v>348</v>
      </c>
      <c r="B331" s="12" t="s">
        <v>956</v>
      </c>
      <c r="C331" s="12" t="s">
        <v>957</v>
      </c>
      <c r="D331" s="13" t="s">
        <v>958</v>
      </c>
      <c r="E331" s="5" t="s">
        <v>47</v>
      </c>
      <c r="F331" s="12" t="s">
        <v>75</v>
      </c>
      <c r="G331" s="12"/>
      <c r="H331" s="12"/>
      <c r="I331">
        <f t="shared" si="20"/>
        <v>2017</v>
      </c>
      <c r="J331">
        <f t="shared" si="21"/>
        <v>26</v>
      </c>
      <c r="K331" s="14">
        <v>42915</v>
      </c>
      <c r="L331" s="2" t="s">
        <v>23</v>
      </c>
      <c r="M331" s="12" t="s">
        <v>959</v>
      </c>
      <c r="N331" s="12" t="s">
        <v>960</v>
      </c>
      <c r="P331">
        <v>1</v>
      </c>
      <c r="R331">
        <f t="shared" si="22"/>
        <v>39</v>
      </c>
      <c r="S331">
        <f t="shared" si="23"/>
        <v>11</v>
      </c>
    </row>
    <row r="332" spans="1:19" x14ac:dyDescent="0.2">
      <c r="A332" s="9">
        <v>293</v>
      </c>
      <c r="B332" s="9" t="s">
        <v>961</v>
      </c>
      <c r="C332" s="9" t="s">
        <v>962</v>
      </c>
      <c r="D332" s="10" t="s">
        <v>963</v>
      </c>
      <c r="E332" s="5" t="s">
        <v>47</v>
      </c>
      <c r="F332" s="9" t="s">
        <v>75</v>
      </c>
      <c r="G332" s="9"/>
      <c r="H332" s="9"/>
      <c r="I332">
        <f t="shared" si="20"/>
        <v>2017</v>
      </c>
      <c r="J332">
        <f t="shared" si="21"/>
        <v>26</v>
      </c>
      <c r="K332" s="11">
        <v>42915</v>
      </c>
      <c r="L332" s="2" t="s">
        <v>23</v>
      </c>
      <c r="M332" s="9" t="s">
        <v>964</v>
      </c>
      <c r="N332" s="9" t="s">
        <v>965</v>
      </c>
      <c r="P332">
        <v>1</v>
      </c>
      <c r="R332">
        <f t="shared" si="22"/>
        <v>39</v>
      </c>
      <c r="S332">
        <f t="shared" si="23"/>
        <v>11</v>
      </c>
    </row>
    <row r="333" spans="1:19" x14ac:dyDescent="0.2">
      <c r="A333" s="9">
        <v>232</v>
      </c>
      <c r="B333" s="9" t="s">
        <v>966</v>
      </c>
      <c r="C333" s="9" t="s">
        <v>967</v>
      </c>
      <c r="D333" s="9" t="s">
        <v>968</v>
      </c>
      <c r="E333" s="9"/>
      <c r="F333" s="9"/>
      <c r="I333">
        <f t="shared" si="20"/>
        <v>2017</v>
      </c>
      <c r="J333">
        <f t="shared" si="21"/>
        <v>26</v>
      </c>
      <c r="K333" s="16">
        <v>42915</v>
      </c>
      <c r="L333" s="2" t="s">
        <v>23</v>
      </c>
      <c r="M333" s="9" t="s">
        <v>969</v>
      </c>
      <c r="N333" s="9" t="s">
        <v>970</v>
      </c>
      <c r="P333">
        <v>1</v>
      </c>
      <c r="R333">
        <f t="shared" si="22"/>
        <v>39</v>
      </c>
      <c r="S333">
        <f t="shared" si="23"/>
        <v>0</v>
      </c>
    </row>
    <row r="334" spans="1:19" x14ac:dyDescent="0.2">
      <c r="A334" s="12">
        <v>198</v>
      </c>
      <c r="B334" s="12" t="s">
        <v>971</v>
      </c>
      <c r="C334" s="12" t="s">
        <v>972</v>
      </c>
      <c r="D334" s="12" t="s">
        <v>973</v>
      </c>
      <c r="E334" s="12"/>
      <c r="F334" s="12"/>
      <c r="I334">
        <f t="shared" si="20"/>
        <v>2017</v>
      </c>
      <c r="J334">
        <f t="shared" si="21"/>
        <v>26</v>
      </c>
      <c r="K334" s="17">
        <v>42915</v>
      </c>
      <c r="L334" s="2" t="s">
        <v>23</v>
      </c>
      <c r="M334" s="12" t="s">
        <v>974</v>
      </c>
      <c r="N334" s="12" t="s">
        <v>975</v>
      </c>
      <c r="P334">
        <v>1</v>
      </c>
      <c r="R334">
        <f t="shared" si="22"/>
        <v>39</v>
      </c>
      <c r="S334">
        <f t="shared" si="23"/>
        <v>0</v>
      </c>
    </row>
    <row r="335" spans="1:19" x14ac:dyDescent="0.2">
      <c r="A335" s="9">
        <v>159</v>
      </c>
      <c r="B335" s="9" t="s">
        <v>976</v>
      </c>
      <c r="C335" s="9" t="s">
        <v>600</v>
      </c>
      <c r="D335" s="9" t="s">
        <v>977</v>
      </c>
      <c r="E335" s="9"/>
      <c r="F335" s="9"/>
      <c r="I335">
        <f t="shared" si="20"/>
        <v>2017</v>
      </c>
      <c r="J335">
        <f t="shared" si="21"/>
        <v>26</v>
      </c>
      <c r="K335" s="16">
        <v>42915</v>
      </c>
      <c r="L335" s="2" t="s">
        <v>23</v>
      </c>
      <c r="M335" s="9" t="s">
        <v>978</v>
      </c>
      <c r="N335" s="9" t="s">
        <v>979</v>
      </c>
      <c r="P335">
        <v>1</v>
      </c>
      <c r="R335">
        <f t="shared" si="22"/>
        <v>39</v>
      </c>
      <c r="S335">
        <f t="shared" si="23"/>
        <v>0</v>
      </c>
    </row>
    <row r="336" spans="1:19" x14ac:dyDescent="0.2">
      <c r="A336" s="12">
        <v>7</v>
      </c>
      <c r="B336" s="12" t="s">
        <v>980</v>
      </c>
      <c r="C336" s="12" t="s">
        <v>981</v>
      </c>
      <c r="D336" s="12" t="s">
        <v>982</v>
      </c>
      <c r="E336" s="12"/>
      <c r="F336" s="12"/>
      <c r="I336">
        <f t="shared" si="20"/>
        <v>2017</v>
      </c>
      <c r="J336">
        <f t="shared" si="21"/>
        <v>26</v>
      </c>
      <c r="K336" s="17">
        <v>42915</v>
      </c>
      <c r="L336" s="2" t="s">
        <v>23</v>
      </c>
      <c r="M336" s="12" t="s">
        <v>983</v>
      </c>
      <c r="N336" s="12" t="s">
        <v>984</v>
      </c>
      <c r="P336">
        <v>1</v>
      </c>
      <c r="R336">
        <f t="shared" si="22"/>
        <v>39</v>
      </c>
      <c r="S336">
        <f t="shared" si="23"/>
        <v>0</v>
      </c>
    </row>
    <row r="337" spans="1:19" x14ac:dyDescent="0.2">
      <c r="A337" s="9">
        <v>169</v>
      </c>
      <c r="B337" s="9" t="s">
        <v>985</v>
      </c>
      <c r="C337" s="9" t="s">
        <v>986</v>
      </c>
      <c r="D337" s="9" t="s">
        <v>987</v>
      </c>
      <c r="E337" s="4" t="s">
        <v>21</v>
      </c>
      <c r="F337" s="9" t="s">
        <v>22</v>
      </c>
      <c r="I337">
        <f t="shared" si="20"/>
        <v>2017</v>
      </c>
      <c r="J337">
        <f t="shared" si="21"/>
        <v>26</v>
      </c>
      <c r="K337" s="16">
        <v>42917</v>
      </c>
      <c r="L337" s="2" t="s">
        <v>23</v>
      </c>
      <c r="M337" s="9" t="s">
        <v>988</v>
      </c>
      <c r="N337" s="9" t="s">
        <v>989</v>
      </c>
      <c r="P337">
        <v>1</v>
      </c>
      <c r="R337">
        <f t="shared" si="22"/>
        <v>39</v>
      </c>
      <c r="S337">
        <f t="shared" si="23"/>
        <v>12</v>
      </c>
    </row>
    <row r="338" spans="1:19" x14ac:dyDescent="0.2">
      <c r="A338" s="12">
        <v>286</v>
      </c>
      <c r="B338" s="12" t="s">
        <v>990</v>
      </c>
      <c r="C338" s="12" t="s">
        <v>942</v>
      </c>
      <c r="D338" s="12" t="s">
        <v>991</v>
      </c>
      <c r="E338" s="12"/>
      <c r="F338" s="12"/>
      <c r="I338">
        <f t="shared" si="20"/>
        <v>2017</v>
      </c>
      <c r="J338">
        <f t="shared" si="21"/>
        <v>26</v>
      </c>
      <c r="K338" s="17">
        <v>42917</v>
      </c>
      <c r="L338" s="2" t="s">
        <v>23</v>
      </c>
      <c r="M338" s="13" t="s">
        <v>992</v>
      </c>
      <c r="N338" s="12" t="s">
        <v>993</v>
      </c>
      <c r="P338">
        <v>1</v>
      </c>
      <c r="R338">
        <f t="shared" si="22"/>
        <v>39</v>
      </c>
      <c r="S338">
        <f t="shared" si="23"/>
        <v>0</v>
      </c>
    </row>
    <row r="339" spans="1:19" x14ac:dyDescent="0.2">
      <c r="A339" s="9">
        <v>287</v>
      </c>
      <c r="B339" s="9" t="s">
        <v>994</v>
      </c>
      <c r="C339" s="9" t="s">
        <v>995</v>
      </c>
      <c r="D339" s="9" t="s">
        <v>996</v>
      </c>
      <c r="E339" s="9"/>
      <c r="F339" s="9"/>
      <c r="I339">
        <f t="shared" si="20"/>
        <v>2017</v>
      </c>
      <c r="J339">
        <f t="shared" si="21"/>
        <v>26</v>
      </c>
      <c r="K339" s="16">
        <v>42917</v>
      </c>
      <c r="L339" s="2" t="s">
        <v>23</v>
      </c>
      <c r="M339" s="9" t="s">
        <v>997</v>
      </c>
      <c r="N339" s="9" t="s">
        <v>998</v>
      </c>
      <c r="P339">
        <v>1</v>
      </c>
      <c r="R339">
        <f t="shared" si="22"/>
        <v>39</v>
      </c>
      <c r="S339">
        <f t="shared" si="23"/>
        <v>0</v>
      </c>
    </row>
    <row r="340" spans="1:19" x14ac:dyDescent="0.2">
      <c r="A340" s="12">
        <v>283</v>
      </c>
      <c r="B340" s="12" t="s">
        <v>999</v>
      </c>
      <c r="C340" s="12" t="s">
        <v>1000</v>
      </c>
      <c r="D340" s="12" t="s">
        <v>1001</v>
      </c>
      <c r="E340" s="4" t="s">
        <v>21</v>
      </c>
      <c r="F340" s="12" t="s">
        <v>22</v>
      </c>
      <c r="I340">
        <f t="shared" si="20"/>
        <v>2017</v>
      </c>
      <c r="J340">
        <f t="shared" si="21"/>
        <v>26</v>
      </c>
      <c r="K340" s="17">
        <v>42917</v>
      </c>
      <c r="L340" s="2" t="s">
        <v>23</v>
      </c>
      <c r="M340" s="12" t="s">
        <v>1002</v>
      </c>
      <c r="N340" s="12" t="s">
        <v>1003</v>
      </c>
      <c r="P340">
        <v>1</v>
      </c>
      <c r="R340">
        <f t="shared" si="22"/>
        <v>39</v>
      </c>
      <c r="S340">
        <f t="shared" si="23"/>
        <v>12</v>
      </c>
    </row>
    <row r="341" spans="1:19" x14ac:dyDescent="0.2">
      <c r="A341" s="9"/>
      <c r="B341" s="9"/>
      <c r="C341" s="9" t="s">
        <v>1004</v>
      </c>
      <c r="D341" s="9" t="s">
        <v>1005</v>
      </c>
      <c r="E341" s="4" t="s">
        <v>21</v>
      </c>
      <c r="F341" s="9" t="s">
        <v>22</v>
      </c>
      <c r="I341">
        <f t="shared" si="20"/>
        <v>2017</v>
      </c>
      <c r="J341">
        <f t="shared" si="21"/>
        <v>27</v>
      </c>
      <c r="K341" s="16">
        <v>42918</v>
      </c>
      <c r="L341" s="2" t="s">
        <v>23</v>
      </c>
      <c r="M341" s="9"/>
      <c r="N341" s="9"/>
      <c r="P341">
        <v>1</v>
      </c>
      <c r="R341">
        <f t="shared" si="22"/>
        <v>8</v>
      </c>
      <c r="S341">
        <f t="shared" si="23"/>
        <v>5</v>
      </c>
    </row>
    <row r="342" spans="1:19" x14ac:dyDescent="0.2">
      <c r="A342" s="12">
        <v>91</v>
      </c>
      <c r="B342" s="12" t="s">
        <v>1006</v>
      </c>
      <c r="C342" s="12" t="s">
        <v>1004</v>
      </c>
      <c r="D342" s="12" t="s">
        <v>1007</v>
      </c>
      <c r="E342" s="12"/>
      <c r="F342" s="12"/>
      <c r="I342">
        <f t="shared" si="20"/>
        <v>2017</v>
      </c>
      <c r="J342">
        <f t="shared" si="21"/>
        <v>27</v>
      </c>
      <c r="K342" s="17">
        <v>42918</v>
      </c>
      <c r="L342" s="2" t="s">
        <v>23</v>
      </c>
      <c r="M342" s="13" t="s">
        <v>1008</v>
      </c>
      <c r="N342" s="12" t="s">
        <v>1009</v>
      </c>
      <c r="P342">
        <v>1</v>
      </c>
      <c r="R342">
        <f t="shared" si="22"/>
        <v>8</v>
      </c>
      <c r="S342">
        <f t="shared" si="23"/>
        <v>0</v>
      </c>
    </row>
    <row r="343" spans="1:19" x14ac:dyDescent="0.2">
      <c r="A343" s="1">
        <v>1</v>
      </c>
      <c r="B343" t="s">
        <v>1010</v>
      </c>
      <c r="C343" t="s">
        <v>1011</v>
      </c>
      <c r="D343" t="s">
        <v>1012</v>
      </c>
      <c r="E343" s="4" t="s">
        <v>21</v>
      </c>
      <c r="F343" t="s">
        <v>70</v>
      </c>
      <c r="G343">
        <v>32.002493003827801</v>
      </c>
      <c r="H343">
        <v>34.731694234364099</v>
      </c>
      <c r="I343">
        <f t="shared" si="20"/>
        <v>2017</v>
      </c>
      <c r="J343">
        <f t="shared" si="21"/>
        <v>27</v>
      </c>
      <c r="K343" s="2">
        <v>42919</v>
      </c>
      <c r="L343" s="2" t="s">
        <v>23</v>
      </c>
      <c r="M343" t="s">
        <v>1013</v>
      </c>
      <c r="N343" t="s">
        <v>1014</v>
      </c>
      <c r="P343">
        <v>1</v>
      </c>
      <c r="R343">
        <f t="shared" si="22"/>
        <v>8</v>
      </c>
      <c r="S343">
        <f t="shared" si="23"/>
        <v>5</v>
      </c>
    </row>
    <row r="344" spans="1:19" x14ac:dyDescent="0.2">
      <c r="A344">
        <v>191</v>
      </c>
      <c r="B344" t="s">
        <v>1015</v>
      </c>
      <c r="C344" t="s">
        <v>62</v>
      </c>
      <c r="D344" t="s">
        <v>1016</v>
      </c>
      <c r="E344" s="4" t="s">
        <v>21</v>
      </c>
      <c r="F344" t="s">
        <v>64</v>
      </c>
      <c r="G344">
        <v>31.8169667122236</v>
      </c>
      <c r="H344">
        <v>34.639611775767101</v>
      </c>
      <c r="I344">
        <f t="shared" si="20"/>
        <v>2017</v>
      </c>
      <c r="J344">
        <f t="shared" si="21"/>
        <v>27</v>
      </c>
      <c r="K344" s="2">
        <v>42921</v>
      </c>
      <c r="L344" s="2" t="s">
        <v>23</v>
      </c>
      <c r="M344" t="s">
        <v>1017</v>
      </c>
      <c r="N344" t="s">
        <v>1018</v>
      </c>
      <c r="P344">
        <v>1</v>
      </c>
      <c r="R344">
        <f t="shared" si="22"/>
        <v>8</v>
      </c>
      <c r="S344">
        <f t="shared" si="23"/>
        <v>5</v>
      </c>
    </row>
    <row r="345" spans="1:19" x14ac:dyDescent="0.2">
      <c r="A345">
        <v>11</v>
      </c>
      <c r="B345" t="s">
        <v>1019</v>
      </c>
      <c r="C345" t="s">
        <v>688</v>
      </c>
      <c r="D345" t="s">
        <v>1020</v>
      </c>
      <c r="E345" s="4" t="s">
        <v>21</v>
      </c>
      <c r="F345" t="s">
        <v>64</v>
      </c>
      <c r="G345">
        <v>31.8169667122236</v>
      </c>
      <c r="H345">
        <v>34.639611775767101</v>
      </c>
      <c r="I345">
        <f t="shared" si="20"/>
        <v>2017</v>
      </c>
      <c r="J345">
        <f t="shared" si="21"/>
        <v>27</v>
      </c>
      <c r="K345" s="2">
        <v>42921</v>
      </c>
      <c r="L345" s="2" t="s">
        <v>23</v>
      </c>
      <c r="M345" t="s">
        <v>1021</v>
      </c>
      <c r="N345" t="s">
        <v>1022</v>
      </c>
      <c r="P345">
        <v>1</v>
      </c>
      <c r="R345">
        <f t="shared" si="22"/>
        <v>8</v>
      </c>
      <c r="S345">
        <f t="shared" si="23"/>
        <v>5</v>
      </c>
    </row>
    <row r="346" spans="1:19" x14ac:dyDescent="0.2">
      <c r="A346" t="s">
        <v>1023</v>
      </c>
      <c r="B346" t="s">
        <v>1024</v>
      </c>
      <c r="C346" t="s">
        <v>1025</v>
      </c>
      <c r="D346" t="s">
        <v>1026</v>
      </c>
      <c r="I346">
        <f t="shared" si="20"/>
        <v>2017</v>
      </c>
      <c r="J346">
        <f t="shared" si="21"/>
        <v>27</v>
      </c>
      <c r="K346" s="2">
        <v>42923</v>
      </c>
      <c r="L346" s="2" t="s">
        <v>23</v>
      </c>
      <c r="M346" t="s">
        <v>1027</v>
      </c>
      <c r="N346" t="s">
        <v>1028</v>
      </c>
      <c r="P346">
        <v>1</v>
      </c>
      <c r="R346">
        <f t="shared" si="22"/>
        <v>8</v>
      </c>
      <c r="S346">
        <f t="shared" si="23"/>
        <v>0</v>
      </c>
    </row>
    <row r="347" spans="1:19" x14ac:dyDescent="0.2">
      <c r="A347" s="9"/>
      <c r="B347" s="9"/>
      <c r="C347" s="9" t="s">
        <v>1029</v>
      </c>
      <c r="D347" s="9" t="s">
        <v>1030</v>
      </c>
      <c r="E347" s="4" t="s">
        <v>21</v>
      </c>
      <c r="F347" s="9" t="s">
        <v>22</v>
      </c>
      <c r="I347">
        <f t="shared" si="20"/>
        <v>2017</v>
      </c>
      <c r="J347">
        <f t="shared" si="21"/>
        <v>27</v>
      </c>
      <c r="K347" s="16">
        <v>42924</v>
      </c>
      <c r="L347" s="2" t="s">
        <v>23</v>
      </c>
      <c r="M347" s="9"/>
      <c r="N347" s="9"/>
      <c r="P347">
        <v>1</v>
      </c>
      <c r="R347">
        <f t="shared" si="22"/>
        <v>8</v>
      </c>
      <c r="S347">
        <f t="shared" si="23"/>
        <v>5</v>
      </c>
    </row>
    <row r="348" spans="1:19" x14ac:dyDescent="0.2">
      <c r="A348" s="12">
        <v>106</v>
      </c>
      <c r="B348" s="12" t="s">
        <v>1031</v>
      </c>
      <c r="C348" s="12" t="s">
        <v>1032</v>
      </c>
      <c r="D348" s="12" t="s">
        <v>1033</v>
      </c>
      <c r="E348" s="5" t="s">
        <v>47</v>
      </c>
      <c r="F348" s="12" t="s">
        <v>75</v>
      </c>
      <c r="I348">
        <f t="shared" si="20"/>
        <v>2017</v>
      </c>
      <c r="J348">
        <f t="shared" si="21"/>
        <v>27</v>
      </c>
      <c r="K348" s="17">
        <v>42924</v>
      </c>
      <c r="L348" s="2" t="s">
        <v>23</v>
      </c>
      <c r="M348" s="12" t="s">
        <v>1034</v>
      </c>
      <c r="N348" s="12" t="s">
        <v>1035</v>
      </c>
      <c r="P348">
        <v>1</v>
      </c>
      <c r="R348">
        <f t="shared" si="22"/>
        <v>8</v>
      </c>
      <c r="S348">
        <f t="shared" si="23"/>
        <v>1</v>
      </c>
    </row>
    <row r="349" spans="1:19" x14ac:dyDescent="0.2">
      <c r="A349" s="9">
        <v>146</v>
      </c>
      <c r="B349" s="9" t="s">
        <v>1036</v>
      </c>
      <c r="C349" s="9" t="s">
        <v>1037</v>
      </c>
      <c r="D349" s="10" t="s">
        <v>1038</v>
      </c>
      <c r="E349" s="10"/>
      <c r="F349" s="9"/>
      <c r="G349" s="9"/>
      <c r="H349" s="9"/>
      <c r="I349">
        <f t="shared" si="20"/>
        <v>2017</v>
      </c>
      <c r="J349">
        <f t="shared" si="21"/>
        <v>28</v>
      </c>
      <c r="K349" s="11">
        <v>42926</v>
      </c>
      <c r="L349" s="2" t="s">
        <v>23</v>
      </c>
      <c r="M349" s="9" t="s">
        <v>1039</v>
      </c>
      <c r="N349" s="9" t="s">
        <v>1040</v>
      </c>
      <c r="P349">
        <v>1</v>
      </c>
      <c r="R349">
        <f t="shared" si="22"/>
        <v>5</v>
      </c>
      <c r="S349">
        <f t="shared" si="23"/>
        <v>0</v>
      </c>
    </row>
    <row r="350" spans="1:19" x14ac:dyDescent="0.2">
      <c r="A350">
        <v>222</v>
      </c>
      <c r="B350" t="s">
        <v>1041</v>
      </c>
      <c r="C350" t="s">
        <v>1042</v>
      </c>
      <c r="D350" t="s">
        <v>1043</v>
      </c>
      <c r="E350" s="4" t="s">
        <v>21</v>
      </c>
      <c r="F350" t="s">
        <v>64</v>
      </c>
      <c r="G350">
        <v>31.8169667122236</v>
      </c>
      <c r="H350">
        <v>34.639611775767101</v>
      </c>
      <c r="I350">
        <f t="shared" si="20"/>
        <v>2017</v>
      </c>
      <c r="J350">
        <f t="shared" si="21"/>
        <v>28</v>
      </c>
      <c r="K350" s="2">
        <v>42927</v>
      </c>
      <c r="L350" s="2" t="s">
        <v>23</v>
      </c>
      <c r="M350" t="s">
        <v>1044</v>
      </c>
      <c r="N350" t="s">
        <v>1045</v>
      </c>
      <c r="P350">
        <v>1</v>
      </c>
      <c r="R350">
        <f t="shared" si="22"/>
        <v>5</v>
      </c>
      <c r="S350">
        <f t="shared" si="23"/>
        <v>3</v>
      </c>
    </row>
    <row r="351" spans="1:19" x14ac:dyDescent="0.2">
      <c r="A351">
        <v>61</v>
      </c>
      <c r="B351" t="s">
        <v>1046</v>
      </c>
      <c r="C351" t="s">
        <v>840</v>
      </c>
      <c r="D351" t="s">
        <v>841</v>
      </c>
      <c r="E351" s="4" t="s">
        <v>21</v>
      </c>
      <c r="F351" t="s">
        <v>64</v>
      </c>
      <c r="G351">
        <v>31.8169667122236</v>
      </c>
      <c r="H351">
        <v>34.639611775767101</v>
      </c>
      <c r="I351">
        <f t="shared" si="20"/>
        <v>2017</v>
      </c>
      <c r="J351">
        <f t="shared" si="21"/>
        <v>28</v>
      </c>
      <c r="K351" s="2">
        <v>42927</v>
      </c>
      <c r="L351" s="2" t="s">
        <v>23</v>
      </c>
      <c r="M351" s="18" t="s">
        <v>1047</v>
      </c>
      <c r="N351" t="s">
        <v>843</v>
      </c>
      <c r="P351">
        <v>1</v>
      </c>
      <c r="R351">
        <f t="shared" si="22"/>
        <v>5</v>
      </c>
      <c r="S351">
        <f t="shared" si="23"/>
        <v>3</v>
      </c>
    </row>
    <row r="352" spans="1:19" x14ac:dyDescent="0.2">
      <c r="A352">
        <v>94</v>
      </c>
      <c r="B352" t="s">
        <v>1048</v>
      </c>
      <c r="C352" t="s">
        <v>1049</v>
      </c>
      <c r="D352" t="s">
        <v>1050</v>
      </c>
      <c r="E352" s="4" t="s">
        <v>21</v>
      </c>
      <c r="F352" t="s">
        <v>22</v>
      </c>
      <c r="G352">
        <v>31.681438420965801</v>
      </c>
      <c r="H352">
        <v>34.554694789741902</v>
      </c>
      <c r="I352">
        <f t="shared" si="20"/>
        <v>2017</v>
      </c>
      <c r="J352">
        <f t="shared" si="21"/>
        <v>28</v>
      </c>
      <c r="K352" s="2">
        <v>42929</v>
      </c>
      <c r="L352" s="2" t="s">
        <v>23</v>
      </c>
      <c r="M352" t="s">
        <v>1051</v>
      </c>
      <c r="N352" t="s">
        <v>1052</v>
      </c>
      <c r="P352">
        <v>1</v>
      </c>
      <c r="R352">
        <f t="shared" si="22"/>
        <v>5</v>
      </c>
      <c r="S352">
        <f t="shared" si="23"/>
        <v>3</v>
      </c>
    </row>
    <row r="353" spans="1:19" x14ac:dyDescent="0.2">
      <c r="A353">
        <v>11</v>
      </c>
      <c r="B353" t="s">
        <v>1053</v>
      </c>
      <c r="C353" t="s">
        <v>1054</v>
      </c>
      <c r="D353" t="s">
        <v>1055</v>
      </c>
      <c r="E353" s="5" t="s">
        <v>73</v>
      </c>
      <c r="F353" t="s">
        <v>74</v>
      </c>
      <c r="G353">
        <v>32.093438590230903</v>
      </c>
      <c r="H353">
        <v>34.767717357132298</v>
      </c>
      <c r="I353">
        <f t="shared" si="20"/>
        <v>2017</v>
      </c>
      <c r="J353">
        <f t="shared" si="21"/>
        <v>28</v>
      </c>
      <c r="K353" s="2">
        <v>42929</v>
      </c>
      <c r="L353" s="2" t="s">
        <v>23</v>
      </c>
      <c r="M353" s="18" t="s">
        <v>1056</v>
      </c>
      <c r="N353" t="s">
        <v>1057</v>
      </c>
      <c r="P353">
        <v>1</v>
      </c>
      <c r="R353">
        <f t="shared" si="22"/>
        <v>5</v>
      </c>
      <c r="S353">
        <f t="shared" si="23"/>
        <v>1</v>
      </c>
    </row>
    <row r="354" spans="1:19" x14ac:dyDescent="0.2">
      <c r="A354">
        <v>13</v>
      </c>
      <c r="B354" t="s">
        <v>1058</v>
      </c>
      <c r="C354" t="s">
        <v>752</v>
      </c>
      <c r="D354" t="s">
        <v>1059</v>
      </c>
      <c r="E354" s="4" t="s">
        <v>21</v>
      </c>
      <c r="F354" t="s">
        <v>64</v>
      </c>
      <c r="G354">
        <v>31.8169667122236</v>
      </c>
      <c r="H354">
        <v>34.639611775767101</v>
      </c>
      <c r="I354">
        <f t="shared" si="20"/>
        <v>2017</v>
      </c>
      <c r="J354">
        <f t="shared" si="21"/>
        <v>30</v>
      </c>
      <c r="K354" s="2">
        <v>42943</v>
      </c>
      <c r="L354" s="2" t="s">
        <v>23</v>
      </c>
      <c r="M354" t="s">
        <v>1060</v>
      </c>
      <c r="N354" t="s">
        <v>1061</v>
      </c>
      <c r="P354">
        <v>1</v>
      </c>
      <c r="R354">
        <f t="shared" si="22"/>
        <v>2</v>
      </c>
      <c r="S354">
        <f t="shared" si="23"/>
        <v>1</v>
      </c>
    </row>
    <row r="355" spans="1:19" x14ac:dyDescent="0.2">
      <c r="A355" s="1">
        <v>449</v>
      </c>
      <c r="B355" t="s">
        <v>1062</v>
      </c>
      <c r="C355" t="s">
        <v>45</v>
      </c>
      <c r="D355" t="s">
        <v>1063</v>
      </c>
      <c r="E355" s="5" t="s">
        <v>47</v>
      </c>
      <c r="F355" t="s">
        <v>75</v>
      </c>
      <c r="G355">
        <v>32.439273327223297</v>
      </c>
      <c r="H355">
        <v>34.878068554773698</v>
      </c>
      <c r="I355">
        <f t="shared" si="20"/>
        <v>2017</v>
      </c>
      <c r="J355">
        <f t="shared" si="21"/>
        <v>30</v>
      </c>
      <c r="K355" s="2">
        <v>42943</v>
      </c>
      <c r="L355" s="2" t="s">
        <v>23</v>
      </c>
      <c r="M355" t="s">
        <v>1064</v>
      </c>
      <c r="N355" t="s">
        <v>918</v>
      </c>
      <c r="P355">
        <v>1</v>
      </c>
      <c r="R355">
        <f t="shared" si="22"/>
        <v>2</v>
      </c>
      <c r="S355">
        <f t="shared" si="23"/>
        <v>1</v>
      </c>
    </row>
    <row r="356" spans="1:19" x14ac:dyDescent="0.2">
      <c r="A356">
        <v>462</v>
      </c>
      <c r="B356" t="s">
        <v>1065</v>
      </c>
      <c r="C356" t="s">
        <v>1066</v>
      </c>
      <c r="D356" t="s">
        <v>1067</v>
      </c>
      <c r="F356" t="s">
        <v>1068</v>
      </c>
      <c r="G356">
        <v>32.8371203553017</v>
      </c>
      <c r="H356">
        <v>34.9792189455856</v>
      </c>
      <c r="I356">
        <f t="shared" si="20"/>
        <v>2018</v>
      </c>
      <c r="J356">
        <f t="shared" si="21"/>
        <v>6</v>
      </c>
      <c r="K356" s="2">
        <v>43137</v>
      </c>
      <c r="L356" s="2" t="s">
        <v>23</v>
      </c>
      <c r="M356" t="s">
        <v>1069</v>
      </c>
      <c r="N356" t="s">
        <v>1070</v>
      </c>
      <c r="P356">
        <v>1</v>
      </c>
      <c r="R356">
        <f t="shared" si="22"/>
        <v>1</v>
      </c>
      <c r="S356">
        <f t="shared" si="23"/>
        <v>0</v>
      </c>
    </row>
    <row r="357" spans="1:19" x14ac:dyDescent="0.2">
      <c r="A357">
        <v>99</v>
      </c>
      <c r="B357" t="s">
        <v>1071</v>
      </c>
      <c r="C357" t="s">
        <v>1072</v>
      </c>
      <c r="D357" t="s">
        <v>1073</v>
      </c>
      <c r="F357" t="s">
        <v>48</v>
      </c>
      <c r="G357">
        <v>32.305869740247999</v>
      </c>
      <c r="H357">
        <v>34.842875660039503</v>
      </c>
      <c r="I357">
        <f t="shared" si="20"/>
        <v>2018</v>
      </c>
      <c r="J357">
        <f t="shared" si="21"/>
        <v>10</v>
      </c>
      <c r="K357" s="2">
        <v>43164</v>
      </c>
      <c r="L357" s="2" t="s">
        <v>23</v>
      </c>
      <c r="M357" t="s">
        <v>1074</v>
      </c>
      <c r="N357" t="s">
        <v>1075</v>
      </c>
      <c r="P357">
        <v>1</v>
      </c>
      <c r="R357">
        <f t="shared" si="22"/>
        <v>3</v>
      </c>
      <c r="S357">
        <f t="shared" si="23"/>
        <v>0</v>
      </c>
    </row>
    <row r="358" spans="1:19" x14ac:dyDescent="0.2">
      <c r="A358">
        <v>199</v>
      </c>
      <c r="B358" t="s">
        <v>1076</v>
      </c>
      <c r="C358" t="s">
        <v>1077</v>
      </c>
      <c r="D358" t="s">
        <v>1073</v>
      </c>
      <c r="F358" t="s">
        <v>48</v>
      </c>
      <c r="G358">
        <v>32.305869740247999</v>
      </c>
      <c r="H358">
        <v>34.842875660039503</v>
      </c>
      <c r="I358">
        <f t="shared" si="20"/>
        <v>2018</v>
      </c>
      <c r="J358">
        <f t="shared" si="21"/>
        <v>10</v>
      </c>
      <c r="K358" s="2">
        <v>43164</v>
      </c>
      <c r="L358" s="2" t="s">
        <v>23</v>
      </c>
      <c r="M358" t="s">
        <v>1078</v>
      </c>
      <c r="N358" t="s">
        <v>1075</v>
      </c>
      <c r="P358">
        <v>1</v>
      </c>
      <c r="R358">
        <f t="shared" si="22"/>
        <v>3</v>
      </c>
      <c r="S358">
        <f t="shared" si="23"/>
        <v>0</v>
      </c>
    </row>
    <row r="359" spans="1:19" x14ac:dyDescent="0.2">
      <c r="A359">
        <v>469</v>
      </c>
      <c r="B359" t="s">
        <v>1079</v>
      </c>
      <c r="C359" t="s">
        <v>1080</v>
      </c>
      <c r="D359" t="s">
        <v>1081</v>
      </c>
      <c r="E359" s="5" t="s">
        <v>47</v>
      </c>
      <c r="F359" t="s">
        <v>75</v>
      </c>
      <c r="G359">
        <v>32.439273327223297</v>
      </c>
      <c r="H359">
        <v>34.878068554773698</v>
      </c>
      <c r="I359">
        <f t="shared" si="20"/>
        <v>2018</v>
      </c>
      <c r="J359">
        <f t="shared" si="21"/>
        <v>10</v>
      </c>
      <c r="K359" s="2">
        <v>43169</v>
      </c>
      <c r="L359" s="2" t="s">
        <v>23</v>
      </c>
      <c r="M359" t="s">
        <v>1082</v>
      </c>
      <c r="N359" t="s">
        <v>1083</v>
      </c>
      <c r="P359">
        <v>1</v>
      </c>
      <c r="R359">
        <f t="shared" si="22"/>
        <v>3</v>
      </c>
      <c r="S359">
        <f t="shared" si="23"/>
        <v>1</v>
      </c>
    </row>
    <row r="360" spans="1:19" x14ac:dyDescent="0.2">
      <c r="A360">
        <v>89</v>
      </c>
      <c r="B360" t="s">
        <v>1084</v>
      </c>
      <c r="C360" t="s">
        <v>68</v>
      </c>
      <c r="D360" t="s">
        <v>1085</v>
      </c>
      <c r="E360" s="5" t="s">
        <v>47</v>
      </c>
      <c r="F360" t="s">
        <v>243</v>
      </c>
      <c r="G360">
        <v>32.177466819907004</v>
      </c>
      <c r="H360">
        <v>34.801354466376203</v>
      </c>
      <c r="I360">
        <f t="shared" si="20"/>
        <v>2018</v>
      </c>
      <c r="J360">
        <f t="shared" si="21"/>
        <v>14</v>
      </c>
      <c r="K360" s="2">
        <v>43194</v>
      </c>
      <c r="L360" s="2" t="s">
        <v>23</v>
      </c>
      <c r="M360" t="s">
        <v>1086</v>
      </c>
      <c r="N360" t="s">
        <v>1087</v>
      </c>
      <c r="P360">
        <v>1</v>
      </c>
      <c r="R360">
        <f t="shared" si="22"/>
        <v>16</v>
      </c>
      <c r="S360">
        <f t="shared" si="23"/>
        <v>4</v>
      </c>
    </row>
    <row r="361" spans="1:19" x14ac:dyDescent="0.2">
      <c r="A361" s="9">
        <v>17</v>
      </c>
      <c r="B361" s="9" t="s">
        <v>1088</v>
      </c>
      <c r="C361" s="9" t="s">
        <v>555</v>
      </c>
      <c r="D361" s="10" t="s">
        <v>1089</v>
      </c>
      <c r="E361" s="5" t="s">
        <v>73</v>
      </c>
      <c r="F361" s="9" t="s">
        <v>643</v>
      </c>
      <c r="G361" s="9"/>
      <c r="H361" s="9"/>
      <c r="I361">
        <f t="shared" si="20"/>
        <v>2018</v>
      </c>
      <c r="J361">
        <f t="shared" si="21"/>
        <v>14</v>
      </c>
      <c r="K361" s="11">
        <v>43195</v>
      </c>
      <c r="L361" s="2" t="s">
        <v>23</v>
      </c>
      <c r="M361" s="9" t="s">
        <v>1090</v>
      </c>
      <c r="N361" s="9" t="s">
        <v>1091</v>
      </c>
      <c r="P361">
        <v>1</v>
      </c>
      <c r="R361">
        <f t="shared" si="22"/>
        <v>16</v>
      </c>
      <c r="S361">
        <f t="shared" si="23"/>
        <v>3</v>
      </c>
    </row>
    <row r="362" spans="1:19" x14ac:dyDescent="0.2">
      <c r="A362" s="12">
        <v>292</v>
      </c>
      <c r="B362" s="12" t="s">
        <v>1092</v>
      </c>
      <c r="C362" s="12" t="s">
        <v>1093</v>
      </c>
      <c r="D362" s="13" t="s">
        <v>1094</v>
      </c>
      <c r="E362" s="5" t="s">
        <v>73</v>
      </c>
      <c r="F362" s="12" t="s">
        <v>1095</v>
      </c>
      <c r="G362" s="12"/>
      <c r="H362" s="12"/>
      <c r="I362">
        <f t="shared" si="20"/>
        <v>2018</v>
      </c>
      <c r="J362">
        <f t="shared" si="21"/>
        <v>14</v>
      </c>
      <c r="K362" s="14">
        <v>43196</v>
      </c>
      <c r="L362" s="2" t="s">
        <v>23</v>
      </c>
      <c r="M362" s="12" t="s">
        <v>1096</v>
      </c>
      <c r="N362" s="12" t="s">
        <v>1097</v>
      </c>
      <c r="P362">
        <v>1</v>
      </c>
      <c r="R362">
        <f t="shared" si="22"/>
        <v>16</v>
      </c>
      <c r="S362">
        <f t="shared" si="23"/>
        <v>3</v>
      </c>
    </row>
    <row r="363" spans="1:19" x14ac:dyDescent="0.2">
      <c r="A363" s="12">
        <v>514</v>
      </c>
      <c r="B363" s="12" t="s">
        <v>1098</v>
      </c>
      <c r="C363" s="12" t="s">
        <v>1099</v>
      </c>
      <c r="D363" s="13" t="s">
        <v>1100</v>
      </c>
      <c r="E363" s="5" t="s">
        <v>73</v>
      </c>
      <c r="F363" s="12" t="s">
        <v>1095</v>
      </c>
      <c r="G363" s="12"/>
      <c r="H363" s="12"/>
      <c r="I363">
        <f t="shared" si="20"/>
        <v>2018</v>
      </c>
      <c r="J363">
        <f t="shared" si="21"/>
        <v>14</v>
      </c>
      <c r="K363" s="14">
        <v>43196</v>
      </c>
      <c r="L363" s="2" t="s">
        <v>23</v>
      </c>
      <c r="M363" s="12" t="s">
        <v>1101</v>
      </c>
      <c r="N363" s="12" t="s">
        <v>1102</v>
      </c>
      <c r="P363">
        <v>1</v>
      </c>
      <c r="R363">
        <f t="shared" si="22"/>
        <v>16</v>
      </c>
      <c r="S363">
        <f t="shared" si="23"/>
        <v>3</v>
      </c>
    </row>
    <row r="364" spans="1:19" x14ac:dyDescent="0.2">
      <c r="A364" s="9">
        <v>17</v>
      </c>
      <c r="B364" s="9" t="s">
        <v>1088</v>
      </c>
      <c r="C364" s="9" t="s">
        <v>555</v>
      </c>
      <c r="D364" s="10" t="s">
        <v>1089</v>
      </c>
      <c r="E364" s="5" t="s">
        <v>100</v>
      </c>
      <c r="F364" s="9" t="s">
        <v>643</v>
      </c>
      <c r="G364" s="9"/>
      <c r="H364" s="9"/>
      <c r="I364">
        <f t="shared" si="20"/>
        <v>2018</v>
      </c>
      <c r="J364">
        <f t="shared" si="21"/>
        <v>14</v>
      </c>
      <c r="K364" s="11">
        <v>43195</v>
      </c>
      <c r="L364" s="2" t="s">
        <v>23</v>
      </c>
      <c r="M364" s="9" t="s">
        <v>1090</v>
      </c>
      <c r="N364" s="9" t="s">
        <v>1091</v>
      </c>
      <c r="P364">
        <v>1</v>
      </c>
      <c r="R364">
        <f t="shared" si="22"/>
        <v>16</v>
      </c>
      <c r="S364">
        <f t="shared" si="23"/>
        <v>3</v>
      </c>
    </row>
    <row r="365" spans="1:19" x14ac:dyDescent="0.2">
      <c r="A365" s="12">
        <v>292</v>
      </c>
      <c r="B365" s="12" t="s">
        <v>1092</v>
      </c>
      <c r="C365" s="12" t="s">
        <v>1093</v>
      </c>
      <c r="D365" s="13" t="s">
        <v>1094</v>
      </c>
      <c r="E365" s="5" t="s">
        <v>100</v>
      </c>
      <c r="F365" s="12" t="s">
        <v>1095</v>
      </c>
      <c r="G365" s="12"/>
      <c r="H365" s="12"/>
      <c r="I365">
        <f t="shared" si="20"/>
        <v>2018</v>
      </c>
      <c r="J365">
        <f t="shared" si="21"/>
        <v>14</v>
      </c>
      <c r="K365" s="14">
        <v>43196</v>
      </c>
      <c r="L365" s="2" t="s">
        <v>23</v>
      </c>
      <c r="M365" s="12" t="s">
        <v>1096</v>
      </c>
      <c r="N365" s="12" t="s">
        <v>1097</v>
      </c>
      <c r="P365">
        <v>1</v>
      </c>
      <c r="R365">
        <f t="shared" si="22"/>
        <v>16</v>
      </c>
      <c r="S365">
        <f t="shared" si="23"/>
        <v>3</v>
      </c>
    </row>
    <row r="366" spans="1:19" x14ac:dyDescent="0.2">
      <c r="A366" s="12">
        <v>514</v>
      </c>
      <c r="B366" s="12" t="s">
        <v>1098</v>
      </c>
      <c r="C366" s="12" t="s">
        <v>1099</v>
      </c>
      <c r="D366" s="13" t="s">
        <v>1100</v>
      </c>
      <c r="E366" s="5" t="s">
        <v>100</v>
      </c>
      <c r="F366" s="12" t="s">
        <v>1095</v>
      </c>
      <c r="G366" s="12"/>
      <c r="H366" s="12"/>
      <c r="I366">
        <f t="shared" si="20"/>
        <v>2018</v>
      </c>
      <c r="J366">
        <f t="shared" si="21"/>
        <v>14</v>
      </c>
      <c r="K366" s="14">
        <v>43196</v>
      </c>
      <c r="L366" s="2" t="s">
        <v>23</v>
      </c>
      <c r="M366" s="12" t="s">
        <v>1101</v>
      </c>
      <c r="N366" s="12" t="s">
        <v>1102</v>
      </c>
      <c r="P366">
        <v>1</v>
      </c>
      <c r="R366">
        <f t="shared" si="22"/>
        <v>16</v>
      </c>
      <c r="S366">
        <f t="shared" si="23"/>
        <v>3</v>
      </c>
    </row>
    <row r="367" spans="1:19" x14ac:dyDescent="0.2">
      <c r="A367" s="9">
        <v>17</v>
      </c>
      <c r="B367" s="9" t="s">
        <v>1088</v>
      </c>
      <c r="C367" s="9" t="s">
        <v>555</v>
      </c>
      <c r="D367" s="10" t="s">
        <v>1089</v>
      </c>
      <c r="E367" s="5" t="s">
        <v>47</v>
      </c>
      <c r="F367" s="9" t="s">
        <v>643</v>
      </c>
      <c r="G367" s="9"/>
      <c r="H367" s="9"/>
      <c r="I367">
        <f t="shared" si="20"/>
        <v>2018</v>
      </c>
      <c r="J367">
        <f t="shared" si="21"/>
        <v>14</v>
      </c>
      <c r="K367" s="11">
        <v>43195</v>
      </c>
      <c r="L367" s="2" t="s">
        <v>23</v>
      </c>
      <c r="M367" s="9" t="s">
        <v>1090</v>
      </c>
      <c r="N367" s="9" t="s">
        <v>1091</v>
      </c>
      <c r="P367">
        <v>1</v>
      </c>
      <c r="R367">
        <f t="shared" si="22"/>
        <v>16</v>
      </c>
      <c r="S367">
        <f t="shared" si="23"/>
        <v>4</v>
      </c>
    </row>
    <row r="368" spans="1:19" x14ac:dyDescent="0.2">
      <c r="A368" s="12">
        <v>292</v>
      </c>
      <c r="B368" s="12" t="s">
        <v>1092</v>
      </c>
      <c r="C368" s="12" t="s">
        <v>1093</v>
      </c>
      <c r="D368" s="13" t="s">
        <v>1094</v>
      </c>
      <c r="E368" s="5" t="s">
        <v>47</v>
      </c>
      <c r="F368" s="12" t="s">
        <v>1095</v>
      </c>
      <c r="G368" s="12"/>
      <c r="H368" s="12"/>
      <c r="I368">
        <f t="shared" si="20"/>
        <v>2018</v>
      </c>
      <c r="J368">
        <f t="shared" si="21"/>
        <v>14</v>
      </c>
      <c r="K368" s="14">
        <v>43196</v>
      </c>
      <c r="L368" s="2" t="s">
        <v>23</v>
      </c>
      <c r="M368" s="12" t="s">
        <v>1096</v>
      </c>
      <c r="N368" s="12" t="s">
        <v>1097</v>
      </c>
      <c r="P368">
        <v>1</v>
      </c>
      <c r="R368">
        <f t="shared" si="22"/>
        <v>16</v>
      </c>
      <c r="S368">
        <f t="shared" si="23"/>
        <v>4</v>
      </c>
    </row>
    <row r="369" spans="1:19" x14ac:dyDescent="0.2">
      <c r="A369" s="12">
        <v>514</v>
      </c>
      <c r="B369" s="12" t="s">
        <v>1098</v>
      </c>
      <c r="C369" s="12" t="s">
        <v>1099</v>
      </c>
      <c r="D369" s="13" t="s">
        <v>1100</v>
      </c>
      <c r="E369" s="5" t="s">
        <v>47</v>
      </c>
      <c r="F369" s="12" t="s">
        <v>1095</v>
      </c>
      <c r="G369" s="12"/>
      <c r="H369" s="12"/>
      <c r="I369">
        <f t="shared" si="20"/>
        <v>2018</v>
      </c>
      <c r="J369">
        <f t="shared" si="21"/>
        <v>14</v>
      </c>
      <c r="K369" s="14">
        <v>43196</v>
      </c>
      <c r="L369" s="2" t="s">
        <v>23</v>
      </c>
      <c r="M369" s="12" t="s">
        <v>1101</v>
      </c>
      <c r="N369" s="12" t="s">
        <v>1102</v>
      </c>
      <c r="P369">
        <v>1</v>
      </c>
      <c r="R369">
        <f t="shared" si="22"/>
        <v>16</v>
      </c>
      <c r="S369">
        <f t="shared" si="23"/>
        <v>4</v>
      </c>
    </row>
    <row r="370" spans="1:19" x14ac:dyDescent="0.2">
      <c r="A370" s="9">
        <v>17</v>
      </c>
      <c r="B370" s="9" t="s">
        <v>1088</v>
      </c>
      <c r="C370" s="9" t="s">
        <v>555</v>
      </c>
      <c r="D370" s="10" t="s">
        <v>1089</v>
      </c>
      <c r="E370" s="12" t="s">
        <v>21</v>
      </c>
      <c r="F370" s="9" t="s">
        <v>643</v>
      </c>
      <c r="G370" s="9"/>
      <c r="H370" s="9"/>
      <c r="I370">
        <f t="shared" si="20"/>
        <v>2018</v>
      </c>
      <c r="J370">
        <f t="shared" si="21"/>
        <v>14</v>
      </c>
      <c r="K370" s="11">
        <v>43195</v>
      </c>
      <c r="L370" s="2" t="s">
        <v>23</v>
      </c>
      <c r="M370" s="9" t="s">
        <v>1090</v>
      </c>
      <c r="N370" s="9" t="s">
        <v>1091</v>
      </c>
      <c r="P370">
        <v>1</v>
      </c>
      <c r="R370">
        <f t="shared" si="22"/>
        <v>16</v>
      </c>
      <c r="S370">
        <f t="shared" si="23"/>
        <v>3</v>
      </c>
    </row>
    <row r="371" spans="1:19" x14ac:dyDescent="0.2">
      <c r="A371" s="12">
        <v>292</v>
      </c>
      <c r="B371" s="12" t="s">
        <v>1092</v>
      </c>
      <c r="C371" s="12" t="s">
        <v>1093</v>
      </c>
      <c r="D371" s="13" t="s">
        <v>1094</v>
      </c>
      <c r="E371" s="12" t="s">
        <v>21</v>
      </c>
      <c r="F371" s="12" t="s">
        <v>1095</v>
      </c>
      <c r="G371" s="12"/>
      <c r="H371" s="12"/>
      <c r="I371">
        <f t="shared" si="20"/>
        <v>2018</v>
      </c>
      <c r="J371">
        <f t="shared" si="21"/>
        <v>14</v>
      </c>
      <c r="K371" s="14">
        <v>43196</v>
      </c>
      <c r="L371" s="2" t="s">
        <v>23</v>
      </c>
      <c r="M371" s="12" t="s">
        <v>1096</v>
      </c>
      <c r="N371" s="12" t="s">
        <v>1097</v>
      </c>
      <c r="P371">
        <v>1</v>
      </c>
      <c r="R371">
        <f t="shared" si="22"/>
        <v>16</v>
      </c>
      <c r="S371">
        <f t="shared" si="23"/>
        <v>3</v>
      </c>
    </row>
    <row r="372" spans="1:19" x14ac:dyDescent="0.2">
      <c r="A372" s="12">
        <v>514</v>
      </c>
      <c r="B372" s="12" t="s">
        <v>1098</v>
      </c>
      <c r="C372" s="12" t="s">
        <v>1099</v>
      </c>
      <c r="D372" s="13" t="s">
        <v>1100</v>
      </c>
      <c r="E372" s="12" t="s">
        <v>21</v>
      </c>
      <c r="F372" s="12" t="s">
        <v>1095</v>
      </c>
      <c r="G372" s="12"/>
      <c r="H372" s="12"/>
      <c r="I372">
        <f t="shared" si="20"/>
        <v>2018</v>
      </c>
      <c r="J372">
        <f t="shared" si="21"/>
        <v>14</v>
      </c>
      <c r="K372" s="14">
        <v>43196</v>
      </c>
      <c r="L372" s="2" t="s">
        <v>23</v>
      </c>
      <c r="M372" s="12" t="s">
        <v>1101</v>
      </c>
      <c r="N372" s="12" t="s">
        <v>1102</v>
      </c>
      <c r="P372">
        <v>1</v>
      </c>
      <c r="R372">
        <f t="shared" si="22"/>
        <v>16</v>
      </c>
      <c r="S372">
        <f t="shared" si="23"/>
        <v>3</v>
      </c>
    </row>
    <row r="373" spans="1:19" x14ac:dyDescent="0.2">
      <c r="A373" s="9">
        <v>17</v>
      </c>
      <c r="B373" s="9" t="s">
        <v>1088</v>
      </c>
      <c r="C373" s="9" t="s">
        <v>555</v>
      </c>
      <c r="D373" s="10" t="s">
        <v>1089</v>
      </c>
      <c r="E373" s="12" t="s">
        <v>29</v>
      </c>
      <c r="F373" s="9" t="s">
        <v>643</v>
      </c>
      <c r="G373" s="9"/>
      <c r="H373" s="9"/>
      <c r="I373">
        <f t="shared" si="20"/>
        <v>2018</v>
      </c>
      <c r="J373">
        <f t="shared" si="21"/>
        <v>14</v>
      </c>
      <c r="K373" s="11">
        <v>43195</v>
      </c>
      <c r="L373" s="2" t="s">
        <v>23</v>
      </c>
      <c r="M373" s="9" t="s">
        <v>1090</v>
      </c>
      <c r="N373" s="9" t="s">
        <v>1091</v>
      </c>
      <c r="P373">
        <v>1</v>
      </c>
      <c r="R373">
        <f t="shared" si="22"/>
        <v>16</v>
      </c>
      <c r="S373">
        <f t="shared" si="23"/>
        <v>3</v>
      </c>
    </row>
    <row r="374" spans="1:19" x14ac:dyDescent="0.2">
      <c r="A374" s="12">
        <v>292</v>
      </c>
      <c r="B374" s="12" t="s">
        <v>1092</v>
      </c>
      <c r="C374" s="12" t="s">
        <v>1093</v>
      </c>
      <c r="D374" s="13" t="s">
        <v>1094</v>
      </c>
      <c r="E374" s="12" t="s">
        <v>29</v>
      </c>
      <c r="F374" s="12" t="s">
        <v>1095</v>
      </c>
      <c r="G374" s="12"/>
      <c r="H374" s="12"/>
      <c r="I374">
        <f t="shared" si="20"/>
        <v>2018</v>
      </c>
      <c r="J374">
        <f t="shared" si="21"/>
        <v>14</v>
      </c>
      <c r="K374" s="14">
        <v>43196</v>
      </c>
      <c r="L374" s="2" t="s">
        <v>23</v>
      </c>
      <c r="M374" s="12" t="s">
        <v>1096</v>
      </c>
      <c r="N374" s="12" t="s">
        <v>1097</v>
      </c>
      <c r="P374">
        <v>1</v>
      </c>
      <c r="R374">
        <f t="shared" si="22"/>
        <v>16</v>
      </c>
      <c r="S374">
        <f t="shared" si="23"/>
        <v>3</v>
      </c>
    </row>
    <row r="375" spans="1:19" x14ac:dyDescent="0.2">
      <c r="A375" s="12">
        <v>514</v>
      </c>
      <c r="B375" s="12" t="s">
        <v>1098</v>
      </c>
      <c r="C375" s="12" t="s">
        <v>1099</v>
      </c>
      <c r="D375" s="13" t="s">
        <v>1100</v>
      </c>
      <c r="E375" s="12" t="s">
        <v>29</v>
      </c>
      <c r="F375" s="12" t="s">
        <v>1095</v>
      </c>
      <c r="G375" s="12"/>
      <c r="H375" s="12"/>
      <c r="I375">
        <f t="shared" si="20"/>
        <v>2018</v>
      </c>
      <c r="J375">
        <f t="shared" si="21"/>
        <v>14</v>
      </c>
      <c r="K375" s="14">
        <v>43196</v>
      </c>
      <c r="L375" s="2" t="s">
        <v>23</v>
      </c>
      <c r="M375" s="12" t="s">
        <v>1101</v>
      </c>
      <c r="N375" s="12" t="s">
        <v>1102</v>
      </c>
      <c r="P375">
        <v>1</v>
      </c>
      <c r="R375">
        <f t="shared" si="22"/>
        <v>16</v>
      </c>
      <c r="S375">
        <f t="shared" si="23"/>
        <v>3</v>
      </c>
    </row>
    <row r="376" spans="1:19" x14ac:dyDescent="0.2">
      <c r="A376">
        <v>36</v>
      </c>
      <c r="B376" t="s">
        <v>1103</v>
      </c>
      <c r="C376" t="s">
        <v>1104</v>
      </c>
      <c r="D376" t="s">
        <v>1105</v>
      </c>
      <c r="E376" s="4" t="s">
        <v>21</v>
      </c>
      <c r="F376" t="s">
        <v>22</v>
      </c>
      <c r="G376">
        <v>31.681438420965801</v>
      </c>
      <c r="H376">
        <v>34.554694789741902</v>
      </c>
      <c r="I376">
        <f t="shared" si="20"/>
        <v>2018</v>
      </c>
      <c r="J376">
        <f t="shared" si="21"/>
        <v>23</v>
      </c>
      <c r="K376" s="2">
        <v>43260</v>
      </c>
      <c r="L376" s="2" t="s">
        <v>23</v>
      </c>
      <c r="M376" t="s">
        <v>1106</v>
      </c>
      <c r="N376" t="s">
        <v>1107</v>
      </c>
      <c r="P376">
        <v>1</v>
      </c>
      <c r="R376">
        <f t="shared" si="22"/>
        <v>1</v>
      </c>
      <c r="S376">
        <f t="shared" si="23"/>
        <v>1</v>
      </c>
    </row>
    <row r="377" spans="1:19" x14ac:dyDescent="0.2">
      <c r="A377" s="1">
        <v>69</v>
      </c>
      <c r="B377" t="s">
        <v>1108</v>
      </c>
      <c r="C377" t="s">
        <v>1109</v>
      </c>
      <c r="D377" t="s">
        <v>1110</v>
      </c>
      <c r="F377" t="s">
        <v>30</v>
      </c>
      <c r="G377">
        <v>32.8371203553017</v>
      </c>
      <c r="H377">
        <v>34.9792189455856</v>
      </c>
      <c r="I377">
        <f t="shared" si="20"/>
        <v>2018</v>
      </c>
      <c r="J377">
        <f t="shared" si="21"/>
        <v>24</v>
      </c>
      <c r="K377" s="2">
        <v>43261</v>
      </c>
      <c r="L377" s="2" t="s">
        <v>23</v>
      </c>
      <c r="M377" t="s">
        <v>1111</v>
      </c>
      <c r="N377" t="s">
        <v>1112</v>
      </c>
      <c r="P377">
        <v>1</v>
      </c>
      <c r="R377">
        <f t="shared" si="22"/>
        <v>28</v>
      </c>
      <c r="S377">
        <f t="shared" si="23"/>
        <v>0</v>
      </c>
    </row>
    <row r="378" spans="1:19" x14ac:dyDescent="0.2">
      <c r="A378" s="1">
        <v>69</v>
      </c>
      <c r="B378" t="s">
        <v>1108</v>
      </c>
      <c r="C378" t="s">
        <v>1109</v>
      </c>
      <c r="D378" t="s">
        <v>1110</v>
      </c>
      <c r="E378" s="4" t="s">
        <v>21</v>
      </c>
      <c r="F378" t="s">
        <v>64</v>
      </c>
      <c r="G378">
        <v>31.8169667122236</v>
      </c>
      <c r="H378">
        <v>34.639611775767101</v>
      </c>
      <c r="I378">
        <f t="shared" si="20"/>
        <v>2018</v>
      </c>
      <c r="J378">
        <f t="shared" si="21"/>
        <v>24</v>
      </c>
      <c r="K378" s="2">
        <v>43261</v>
      </c>
      <c r="L378" s="2" t="s">
        <v>23</v>
      </c>
      <c r="M378" t="s">
        <v>1111</v>
      </c>
      <c r="N378" t="s">
        <v>1112</v>
      </c>
      <c r="P378">
        <v>1</v>
      </c>
      <c r="R378">
        <f t="shared" si="22"/>
        <v>28</v>
      </c>
      <c r="S378">
        <f t="shared" si="23"/>
        <v>8</v>
      </c>
    </row>
    <row r="379" spans="1:19" x14ac:dyDescent="0.2">
      <c r="A379" s="1">
        <v>69</v>
      </c>
      <c r="B379" t="s">
        <v>1108</v>
      </c>
      <c r="C379" t="s">
        <v>1109</v>
      </c>
      <c r="D379" t="s">
        <v>1110</v>
      </c>
      <c r="E379" s="4" t="s">
        <v>21</v>
      </c>
      <c r="F379" t="s">
        <v>22</v>
      </c>
      <c r="G379">
        <v>31.681438420965801</v>
      </c>
      <c r="H379">
        <v>34.554694789741902</v>
      </c>
      <c r="I379">
        <f t="shared" si="20"/>
        <v>2018</v>
      </c>
      <c r="J379">
        <f t="shared" si="21"/>
        <v>24</v>
      </c>
      <c r="K379" s="2">
        <v>43261</v>
      </c>
      <c r="L379" s="2" t="s">
        <v>23</v>
      </c>
      <c r="M379" t="s">
        <v>1111</v>
      </c>
      <c r="N379" t="s">
        <v>1112</v>
      </c>
      <c r="P379">
        <v>1</v>
      </c>
      <c r="R379">
        <f t="shared" si="22"/>
        <v>28</v>
      </c>
      <c r="S379">
        <f t="shared" si="23"/>
        <v>8</v>
      </c>
    </row>
    <row r="380" spans="1:19" x14ac:dyDescent="0.2">
      <c r="A380" s="1">
        <v>69</v>
      </c>
      <c r="B380" t="s">
        <v>1108</v>
      </c>
      <c r="C380" t="s">
        <v>1109</v>
      </c>
      <c r="D380" t="s">
        <v>1110</v>
      </c>
      <c r="E380" s="5" t="s">
        <v>100</v>
      </c>
      <c r="F380" t="s">
        <v>676</v>
      </c>
      <c r="G380">
        <v>32.708964182181099</v>
      </c>
      <c r="H380">
        <v>34.940899754832301</v>
      </c>
      <c r="I380">
        <f t="shared" si="20"/>
        <v>2018</v>
      </c>
      <c r="J380">
        <f t="shared" si="21"/>
        <v>24</v>
      </c>
      <c r="K380" s="2">
        <v>43261</v>
      </c>
      <c r="L380" s="2" t="s">
        <v>23</v>
      </c>
      <c r="M380" t="s">
        <v>1111</v>
      </c>
      <c r="N380" t="s">
        <v>1112</v>
      </c>
      <c r="P380">
        <v>1</v>
      </c>
      <c r="R380">
        <f t="shared" si="22"/>
        <v>28</v>
      </c>
      <c r="S380">
        <f t="shared" si="23"/>
        <v>3</v>
      </c>
    </row>
    <row r="381" spans="1:19" x14ac:dyDescent="0.2">
      <c r="A381" s="1">
        <v>69</v>
      </c>
      <c r="B381" t="s">
        <v>1108</v>
      </c>
      <c r="C381" t="s">
        <v>1109</v>
      </c>
      <c r="D381" t="s">
        <v>1110</v>
      </c>
      <c r="F381" t="s">
        <v>707</v>
      </c>
      <c r="G381">
        <v>33.027952664741797</v>
      </c>
      <c r="H381">
        <v>35.095230833853499</v>
      </c>
      <c r="I381">
        <f t="shared" si="20"/>
        <v>2018</v>
      </c>
      <c r="J381">
        <f t="shared" si="21"/>
        <v>24</v>
      </c>
      <c r="K381" s="2">
        <v>43261</v>
      </c>
      <c r="L381" s="2" t="s">
        <v>23</v>
      </c>
      <c r="M381" t="s">
        <v>1111</v>
      </c>
      <c r="N381" t="s">
        <v>1112</v>
      </c>
      <c r="P381">
        <v>1</v>
      </c>
      <c r="R381">
        <f t="shared" si="22"/>
        <v>28</v>
      </c>
      <c r="S381">
        <f t="shared" si="23"/>
        <v>0</v>
      </c>
    </row>
    <row r="382" spans="1:19" x14ac:dyDescent="0.2">
      <c r="A382" s="1">
        <v>69</v>
      </c>
      <c r="B382" t="s">
        <v>1108</v>
      </c>
      <c r="C382" t="s">
        <v>1109</v>
      </c>
      <c r="D382" t="s">
        <v>1110</v>
      </c>
      <c r="E382" s="5" t="s">
        <v>73</v>
      </c>
      <c r="F382" t="s">
        <v>74</v>
      </c>
      <c r="G382">
        <v>32.093438590230903</v>
      </c>
      <c r="H382">
        <v>34.767717357132298</v>
      </c>
      <c r="I382">
        <f t="shared" si="20"/>
        <v>2018</v>
      </c>
      <c r="J382">
        <f t="shared" si="21"/>
        <v>24</v>
      </c>
      <c r="K382" s="2">
        <v>43261</v>
      </c>
      <c r="L382" s="2" t="s">
        <v>23</v>
      </c>
      <c r="M382" t="s">
        <v>1111</v>
      </c>
      <c r="N382" t="s">
        <v>1112</v>
      </c>
      <c r="P382">
        <v>1</v>
      </c>
      <c r="R382">
        <f t="shared" si="22"/>
        <v>28</v>
      </c>
      <c r="S382">
        <f t="shared" si="23"/>
        <v>4</v>
      </c>
    </row>
    <row r="383" spans="1:19" x14ac:dyDescent="0.2">
      <c r="A383" s="9">
        <v>555</v>
      </c>
      <c r="B383" s="9" t="s">
        <v>1113</v>
      </c>
      <c r="C383" s="9" t="s">
        <v>625</v>
      </c>
      <c r="D383" s="10" t="s">
        <v>1114</v>
      </c>
      <c r="E383" s="5" t="s">
        <v>73</v>
      </c>
      <c r="F383" s="9" t="s">
        <v>101</v>
      </c>
      <c r="G383" s="9"/>
      <c r="H383" s="9"/>
      <c r="I383">
        <f t="shared" si="20"/>
        <v>2018</v>
      </c>
      <c r="J383">
        <f t="shared" si="21"/>
        <v>24</v>
      </c>
      <c r="K383" s="11">
        <v>43262</v>
      </c>
      <c r="L383" s="2" t="s">
        <v>23</v>
      </c>
      <c r="M383" s="9" t="s">
        <v>1115</v>
      </c>
      <c r="N383" s="9" t="s">
        <v>1116</v>
      </c>
      <c r="P383">
        <v>1</v>
      </c>
      <c r="R383">
        <f t="shared" si="22"/>
        <v>28</v>
      </c>
      <c r="S383">
        <f t="shared" si="23"/>
        <v>4</v>
      </c>
    </row>
    <row r="384" spans="1:19" x14ac:dyDescent="0.2">
      <c r="A384" s="9">
        <v>555</v>
      </c>
      <c r="B384" s="9" t="s">
        <v>1113</v>
      </c>
      <c r="C384" s="9" t="s">
        <v>625</v>
      </c>
      <c r="D384" s="10" t="s">
        <v>1114</v>
      </c>
      <c r="E384" s="5" t="s">
        <v>100</v>
      </c>
      <c r="F384" s="9" t="s">
        <v>101</v>
      </c>
      <c r="G384" s="9"/>
      <c r="H384" s="9"/>
      <c r="I384">
        <f t="shared" si="20"/>
        <v>2018</v>
      </c>
      <c r="J384">
        <f t="shared" si="21"/>
        <v>24</v>
      </c>
      <c r="K384" s="11">
        <v>43262</v>
      </c>
      <c r="L384" s="2" t="s">
        <v>23</v>
      </c>
      <c r="M384" s="9" t="s">
        <v>1115</v>
      </c>
      <c r="N384" s="9" t="s">
        <v>1116</v>
      </c>
      <c r="P384">
        <v>1</v>
      </c>
      <c r="R384">
        <f t="shared" si="22"/>
        <v>28</v>
      </c>
      <c r="S384">
        <f t="shared" si="23"/>
        <v>3</v>
      </c>
    </row>
    <row r="385" spans="1:19" x14ac:dyDescent="0.2">
      <c r="A385" s="9">
        <v>555</v>
      </c>
      <c r="B385" s="9" t="s">
        <v>1113</v>
      </c>
      <c r="C385" s="9" t="s">
        <v>625</v>
      </c>
      <c r="D385" s="10" t="s">
        <v>1114</v>
      </c>
      <c r="E385" s="5" t="s">
        <v>47</v>
      </c>
      <c r="F385" s="9" t="s">
        <v>101</v>
      </c>
      <c r="G385" s="9"/>
      <c r="H385" s="9"/>
      <c r="I385">
        <f t="shared" si="20"/>
        <v>2018</v>
      </c>
      <c r="J385">
        <f t="shared" si="21"/>
        <v>24</v>
      </c>
      <c r="K385" s="11">
        <v>43262</v>
      </c>
      <c r="L385" s="2" t="s">
        <v>23</v>
      </c>
      <c r="M385" s="9" t="s">
        <v>1115</v>
      </c>
      <c r="N385" s="9" t="s">
        <v>1116</v>
      </c>
      <c r="P385">
        <v>1</v>
      </c>
      <c r="R385">
        <f t="shared" si="22"/>
        <v>28</v>
      </c>
      <c r="S385">
        <f t="shared" si="23"/>
        <v>4</v>
      </c>
    </row>
    <row r="386" spans="1:19" x14ac:dyDescent="0.2">
      <c r="A386" s="9">
        <v>555</v>
      </c>
      <c r="B386" s="9" t="s">
        <v>1113</v>
      </c>
      <c r="C386" s="9" t="s">
        <v>625</v>
      </c>
      <c r="D386" s="10" t="s">
        <v>1114</v>
      </c>
      <c r="E386" s="12" t="s">
        <v>21</v>
      </c>
      <c r="F386" s="9" t="s">
        <v>101</v>
      </c>
      <c r="G386" s="9"/>
      <c r="H386" s="9"/>
      <c r="I386">
        <f t="shared" ref="I386:I449" si="24">YEAR(K386)</f>
        <v>2018</v>
      </c>
      <c r="J386">
        <f t="shared" ref="J386:J449" si="25">WEEKNUM(K386)</f>
        <v>24</v>
      </c>
      <c r="K386" s="11">
        <v>43262</v>
      </c>
      <c r="L386" s="2" t="s">
        <v>23</v>
      </c>
      <c r="M386" s="9" t="s">
        <v>1115</v>
      </c>
      <c r="N386" s="9" t="s">
        <v>1116</v>
      </c>
      <c r="P386">
        <v>1</v>
      </c>
      <c r="R386">
        <f t="shared" si="22"/>
        <v>28</v>
      </c>
      <c r="S386">
        <f t="shared" si="23"/>
        <v>8</v>
      </c>
    </row>
    <row r="387" spans="1:19" x14ac:dyDescent="0.2">
      <c r="A387">
        <v>564</v>
      </c>
      <c r="B387" t="s">
        <v>1117</v>
      </c>
      <c r="C387" t="s">
        <v>1118</v>
      </c>
      <c r="D387" t="s">
        <v>1119</v>
      </c>
      <c r="E387" s="4" t="s">
        <v>21</v>
      </c>
      <c r="F387" t="s">
        <v>70</v>
      </c>
      <c r="G387">
        <v>32.002493003827801</v>
      </c>
      <c r="H387">
        <v>34.731694234364099</v>
      </c>
      <c r="I387">
        <f t="shared" si="24"/>
        <v>2018</v>
      </c>
      <c r="J387">
        <f t="shared" si="25"/>
        <v>24</v>
      </c>
      <c r="K387" s="2">
        <v>43263</v>
      </c>
      <c r="L387" s="2" t="s">
        <v>23</v>
      </c>
      <c r="M387" t="s">
        <v>1120</v>
      </c>
      <c r="N387" t="s">
        <v>1121</v>
      </c>
      <c r="P387">
        <v>1</v>
      </c>
      <c r="R387">
        <f t="shared" ref="R387:R450" si="26">COUNTIFS($J$2:$J$997,J387,$I$2:$I$997,I387)</f>
        <v>28</v>
      </c>
      <c r="S387">
        <f t="shared" ref="S387:S450" si="27">COUNTIFS($J$2:$J$997,J387,$I$2:$I$997,I387,$E$2:$E$997,E387)</f>
        <v>8</v>
      </c>
    </row>
    <row r="388" spans="1:19" x14ac:dyDescent="0.2">
      <c r="A388">
        <v>564</v>
      </c>
      <c r="B388" t="s">
        <v>1117</v>
      </c>
      <c r="C388" t="s">
        <v>1118</v>
      </c>
      <c r="D388" t="s">
        <v>1119</v>
      </c>
      <c r="F388" t="s">
        <v>150</v>
      </c>
      <c r="G388">
        <v>33.045236837092403</v>
      </c>
      <c r="H388">
        <v>35.1004249845763</v>
      </c>
      <c r="I388">
        <f t="shared" si="24"/>
        <v>2018</v>
      </c>
      <c r="J388">
        <f t="shared" si="25"/>
        <v>24</v>
      </c>
      <c r="K388" s="2">
        <v>43263</v>
      </c>
      <c r="L388" s="2" t="s">
        <v>23</v>
      </c>
      <c r="M388" t="s">
        <v>1120</v>
      </c>
      <c r="N388" t="s">
        <v>1121</v>
      </c>
      <c r="P388">
        <v>1</v>
      </c>
      <c r="R388">
        <f t="shared" si="26"/>
        <v>28</v>
      </c>
      <c r="S388">
        <f t="shared" si="27"/>
        <v>0</v>
      </c>
    </row>
    <row r="389" spans="1:19" x14ac:dyDescent="0.2">
      <c r="A389">
        <v>564</v>
      </c>
      <c r="B389" t="s">
        <v>1117</v>
      </c>
      <c r="C389" t="s">
        <v>1118</v>
      </c>
      <c r="D389" t="s">
        <v>1119</v>
      </c>
      <c r="F389" t="s">
        <v>241</v>
      </c>
      <c r="G389">
        <v>32.919146191970597</v>
      </c>
      <c r="H389">
        <v>35.079648455010798</v>
      </c>
      <c r="I389">
        <f t="shared" si="24"/>
        <v>2018</v>
      </c>
      <c r="J389">
        <f t="shared" si="25"/>
        <v>24</v>
      </c>
      <c r="K389" s="2">
        <v>43263</v>
      </c>
      <c r="L389" s="2" t="s">
        <v>23</v>
      </c>
      <c r="M389" t="s">
        <v>1120</v>
      </c>
      <c r="N389" t="s">
        <v>1121</v>
      </c>
      <c r="P389">
        <v>1</v>
      </c>
      <c r="R389">
        <f t="shared" si="26"/>
        <v>28</v>
      </c>
      <c r="S389">
        <f t="shared" si="27"/>
        <v>0</v>
      </c>
    </row>
    <row r="390" spans="1:19" x14ac:dyDescent="0.2">
      <c r="A390">
        <v>564</v>
      </c>
      <c r="B390" t="s">
        <v>1117</v>
      </c>
      <c r="C390" t="s">
        <v>1118</v>
      </c>
      <c r="D390" t="s">
        <v>1119</v>
      </c>
      <c r="E390" s="4" t="s">
        <v>21</v>
      </c>
      <c r="F390" t="s">
        <v>64</v>
      </c>
      <c r="G390">
        <v>31.8169667122236</v>
      </c>
      <c r="H390">
        <v>34.639611775767101</v>
      </c>
      <c r="I390">
        <f t="shared" si="24"/>
        <v>2018</v>
      </c>
      <c r="J390">
        <f t="shared" si="25"/>
        <v>24</v>
      </c>
      <c r="K390" s="2">
        <v>43263</v>
      </c>
      <c r="L390" s="2" t="s">
        <v>23</v>
      </c>
      <c r="M390" t="s">
        <v>1120</v>
      </c>
      <c r="N390" t="s">
        <v>1121</v>
      </c>
      <c r="P390">
        <v>1</v>
      </c>
      <c r="R390">
        <f t="shared" si="26"/>
        <v>28</v>
      </c>
      <c r="S390">
        <f t="shared" si="27"/>
        <v>8</v>
      </c>
    </row>
    <row r="391" spans="1:19" x14ac:dyDescent="0.2">
      <c r="A391">
        <v>564</v>
      </c>
      <c r="B391" t="s">
        <v>1117</v>
      </c>
      <c r="C391" t="s">
        <v>1118</v>
      </c>
      <c r="D391" t="s">
        <v>1119</v>
      </c>
      <c r="E391" s="4" t="s">
        <v>21</v>
      </c>
      <c r="F391" t="s">
        <v>22</v>
      </c>
      <c r="G391">
        <v>31.681438420965801</v>
      </c>
      <c r="H391">
        <v>34.554694789741902</v>
      </c>
      <c r="I391">
        <f t="shared" si="24"/>
        <v>2018</v>
      </c>
      <c r="J391">
        <f t="shared" si="25"/>
        <v>24</v>
      </c>
      <c r="K391" s="2">
        <v>43263</v>
      </c>
      <c r="L391" s="2" t="s">
        <v>23</v>
      </c>
      <c r="M391" t="s">
        <v>1120</v>
      </c>
      <c r="N391" t="s">
        <v>1121</v>
      </c>
      <c r="P391">
        <v>1</v>
      </c>
      <c r="R391">
        <f t="shared" si="26"/>
        <v>28</v>
      </c>
      <c r="S391">
        <f t="shared" si="27"/>
        <v>8</v>
      </c>
    </row>
    <row r="392" spans="1:19" x14ac:dyDescent="0.2">
      <c r="A392">
        <v>564</v>
      </c>
      <c r="B392" t="s">
        <v>1117</v>
      </c>
      <c r="C392" t="s">
        <v>1118</v>
      </c>
      <c r="D392" t="s">
        <v>1119</v>
      </c>
      <c r="F392" t="s">
        <v>242</v>
      </c>
      <c r="G392">
        <v>32.023220011216303</v>
      </c>
      <c r="H392">
        <v>34.738647655010197</v>
      </c>
      <c r="I392">
        <f t="shared" si="24"/>
        <v>2018</v>
      </c>
      <c r="J392">
        <f t="shared" si="25"/>
        <v>24</v>
      </c>
      <c r="K392" s="2">
        <v>43263</v>
      </c>
      <c r="L392" s="2" t="s">
        <v>23</v>
      </c>
      <c r="M392" t="s">
        <v>1120</v>
      </c>
      <c r="N392" t="s">
        <v>1121</v>
      </c>
      <c r="P392">
        <v>1</v>
      </c>
      <c r="R392">
        <f t="shared" si="26"/>
        <v>28</v>
      </c>
      <c r="S392">
        <f t="shared" si="27"/>
        <v>0</v>
      </c>
    </row>
    <row r="393" spans="1:19" x14ac:dyDescent="0.2">
      <c r="A393">
        <v>564</v>
      </c>
      <c r="B393" t="s">
        <v>1117</v>
      </c>
      <c r="C393" t="s">
        <v>1118</v>
      </c>
      <c r="D393" t="s">
        <v>1119</v>
      </c>
      <c r="E393" s="5" t="s">
        <v>47</v>
      </c>
      <c r="F393" t="s">
        <v>75</v>
      </c>
      <c r="G393">
        <v>32.439273327223297</v>
      </c>
      <c r="H393">
        <v>34.878068554773698</v>
      </c>
      <c r="I393">
        <f t="shared" si="24"/>
        <v>2018</v>
      </c>
      <c r="J393">
        <f t="shared" si="25"/>
        <v>24</v>
      </c>
      <c r="K393" s="2">
        <v>43263</v>
      </c>
      <c r="L393" s="2" t="s">
        <v>23</v>
      </c>
      <c r="M393" t="s">
        <v>1120</v>
      </c>
      <c r="N393" t="s">
        <v>1121</v>
      </c>
      <c r="P393">
        <v>1</v>
      </c>
      <c r="R393">
        <f t="shared" si="26"/>
        <v>28</v>
      </c>
      <c r="S393">
        <f t="shared" si="27"/>
        <v>4</v>
      </c>
    </row>
    <row r="394" spans="1:19" x14ac:dyDescent="0.2">
      <c r="A394">
        <v>564</v>
      </c>
      <c r="B394" t="s">
        <v>1117</v>
      </c>
      <c r="C394" t="s">
        <v>1118</v>
      </c>
      <c r="D394" t="s">
        <v>1119</v>
      </c>
      <c r="F394" t="s">
        <v>30</v>
      </c>
      <c r="G394">
        <v>32.8371203553017</v>
      </c>
      <c r="H394">
        <v>34.9792189455856</v>
      </c>
      <c r="I394">
        <f t="shared" si="24"/>
        <v>2018</v>
      </c>
      <c r="J394">
        <f t="shared" si="25"/>
        <v>24</v>
      </c>
      <c r="K394" s="2">
        <v>43263</v>
      </c>
      <c r="L394" s="2" t="s">
        <v>23</v>
      </c>
      <c r="M394" t="s">
        <v>1120</v>
      </c>
      <c r="N394" t="s">
        <v>1121</v>
      </c>
      <c r="P394">
        <v>1</v>
      </c>
      <c r="R394">
        <f t="shared" si="26"/>
        <v>28</v>
      </c>
      <c r="S394">
        <f t="shared" si="27"/>
        <v>0</v>
      </c>
    </row>
    <row r="395" spans="1:19" x14ac:dyDescent="0.2">
      <c r="A395">
        <v>564</v>
      </c>
      <c r="B395" t="s">
        <v>1117</v>
      </c>
      <c r="C395" t="s">
        <v>1118</v>
      </c>
      <c r="D395" t="s">
        <v>1119</v>
      </c>
      <c r="E395" s="5" t="s">
        <v>47</v>
      </c>
      <c r="F395" t="s">
        <v>243</v>
      </c>
      <c r="G395">
        <v>32.177466819907004</v>
      </c>
      <c r="H395">
        <v>34.801354466376203</v>
      </c>
      <c r="I395">
        <f t="shared" si="24"/>
        <v>2018</v>
      </c>
      <c r="J395">
        <f t="shared" si="25"/>
        <v>24</v>
      </c>
      <c r="K395" s="2">
        <v>43263</v>
      </c>
      <c r="L395" s="2" t="s">
        <v>23</v>
      </c>
      <c r="M395" t="s">
        <v>1120</v>
      </c>
      <c r="N395" t="s">
        <v>1121</v>
      </c>
      <c r="P395">
        <v>1</v>
      </c>
      <c r="R395">
        <f t="shared" si="26"/>
        <v>28</v>
      </c>
      <c r="S395">
        <f t="shared" si="27"/>
        <v>4</v>
      </c>
    </row>
    <row r="396" spans="1:19" x14ac:dyDescent="0.2">
      <c r="A396">
        <v>564</v>
      </c>
      <c r="B396" t="s">
        <v>1117</v>
      </c>
      <c r="C396" t="s">
        <v>1118</v>
      </c>
      <c r="D396" t="s">
        <v>1119</v>
      </c>
      <c r="F396" t="s">
        <v>707</v>
      </c>
      <c r="G396">
        <v>33.027952664741797</v>
      </c>
      <c r="H396">
        <v>35.095230833853499</v>
      </c>
      <c r="I396">
        <f t="shared" si="24"/>
        <v>2018</v>
      </c>
      <c r="J396">
        <f t="shared" si="25"/>
        <v>24</v>
      </c>
      <c r="K396" s="2">
        <v>43263</v>
      </c>
      <c r="L396" s="2" t="s">
        <v>23</v>
      </c>
      <c r="M396" t="s">
        <v>1120</v>
      </c>
      <c r="N396" t="s">
        <v>1121</v>
      </c>
      <c r="P396">
        <v>1</v>
      </c>
      <c r="R396">
        <f t="shared" si="26"/>
        <v>28</v>
      </c>
      <c r="S396">
        <f t="shared" si="27"/>
        <v>0</v>
      </c>
    </row>
    <row r="397" spans="1:19" x14ac:dyDescent="0.2">
      <c r="A397">
        <v>564</v>
      </c>
      <c r="B397" t="s">
        <v>1117</v>
      </c>
      <c r="C397" t="s">
        <v>1118</v>
      </c>
      <c r="D397" t="s">
        <v>1119</v>
      </c>
      <c r="F397" t="s">
        <v>48</v>
      </c>
      <c r="G397">
        <v>32.305869740247999</v>
      </c>
      <c r="H397">
        <v>34.842875660039503</v>
      </c>
      <c r="I397">
        <f t="shared" si="24"/>
        <v>2018</v>
      </c>
      <c r="J397">
        <f t="shared" si="25"/>
        <v>24</v>
      </c>
      <c r="K397" s="2">
        <v>43263</v>
      </c>
      <c r="L397" s="2" t="s">
        <v>23</v>
      </c>
      <c r="M397" t="s">
        <v>1120</v>
      </c>
      <c r="N397" t="s">
        <v>1121</v>
      </c>
      <c r="P397">
        <v>1</v>
      </c>
      <c r="R397">
        <f t="shared" si="26"/>
        <v>28</v>
      </c>
      <c r="S397">
        <f t="shared" si="27"/>
        <v>0</v>
      </c>
    </row>
    <row r="398" spans="1:19" x14ac:dyDescent="0.2">
      <c r="A398">
        <v>564</v>
      </c>
      <c r="B398" t="s">
        <v>1117</v>
      </c>
      <c r="C398" t="s">
        <v>1118</v>
      </c>
      <c r="D398" t="s">
        <v>1119</v>
      </c>
      <c r="E398" s="5" t="s">
        <v>73</v>
      </c>
      <c r="F398" t="s">
        <v>74</v>
      </c>
      <c r="G398">
        <v>32.093438590230903</v>
      </c>
      <c r="H398">
        <v>34.767717357132298</v>
      </c>
      <c r="I398">
        <f t="shared" si="24"/>
        <v>2018</v>
      </c>
      <c r="J398">
        <f t="shared" si="25"/>
        <v>24</v>
      </c>
      <c r="K398" s="2">
        <v>43263</v>
      </c>
      <c r="L398" s="2" t="s">
        <v>23</v>
      </c>
      <c r="M398" t="s">
        <v>1120</v>
      </c>
      <c r="N398" t="s">
        <v>1121</v>
      </c>
      <c r="P398">
        <v>1</v>
      </c>
      <c r="R398">
        <f t="shared" si="26"/>
        <v>28</v>
      </c>
      <c r="S398">
        <f t="shared" si="27"/>
        <v>4</v>
      </c>
    </row>
    <row r="399" spans="1:19" x14ac:dyDescent="0.2">
      <c r="A399">
        <v>51</v>
      </c>
      <c r="B399" t="s">
        <v>1122</v>
      </c>
      <c r="C399" t="s">
        <v>1109</v>
      </c>
      <c r="D399" t="s">
        <v>1123</v>
      </c>
      <c r="E399" s="4" t="s">
        <v>21</v>
      </c>
      <c r="F399" t="s">
        <v>64</v>
      </c>
      <c r="G399">
        <v>31.8169667122236</v>
      </c>
      <c r="H399">
        <v>34.639611775767101</v>
      </c>
      <c r="I399">
        <f t="shared" si="24"/>
        <v>2018</v>
      </c>
      <c r="J399">
        <f t="shared" si="25"/>
        <v>24</v>
      </c>
      <c r="K399" s="2">
        <v>43266</v>
      </c>
      <c r="L399" s="2" t="s">
        <v>23</v>
      </c>
      <c r="M399" t="s">
        <v>1124</v>
      </c>
      <c r="N399" t="s">
        <v>1125</v>
      </c>
      <c r="P399">
        <v>1</v>
      </c>
      <c r="R399">
        <f t="shared" si="26"/>
        <v>28</v>
      </c>
      <c r="S399">
        <f t="shared" si="27"/>
        <v>8</v>
      </c>
    </row>
    <row r="400" spans="1:19" x14ac:dyDescent="0.2">
      <c r="A400">
        <v>179</v>
      </c>
      <c r="B400" t="s">
        <v>1126</v>
      </c>
      <c r="C400" t="s">
        <v>1127</v>
      </c>
      <c r="D400" t="s">
        <v>1128</v>
      </c>
      <c r="E400" s="4" t="s">
        <v>21</v>
      </c>
      <c r="F400" t="s">
        <v>22</v>
      </c>
      <c r="G400">
        <v>31.681438420965801</v>
      </c>
      <c r="H400">
        <v>34.554694789741902</v>
      </c>
      <c r="I400">
        <f t="shared" si="24"/>
        <v>2018</v>
      </c>
      <c r="J400">
        <f t="shared" si="25"/>
        <v>24</v>
      </c>
      <c r="K400" s="2">
        <v>43266</v>
      </c>
      <c r="L400" s="2" t="s">
        <v>23</v>
      </c>
      <c r="M400" t="s">
        <v>1129</v>
      </c>
      <c r="N400" t="s">
        <v>1130</v>
      </c>
      <c r="P400">
        <v>1</v>
      </c>
      <c r="R400">
        <f t="shared" si="26"/>
        <v>28</v>
      </c>
      <c r="S400">
        <f t="shared" si="27"/>
        <v>8</v>
      </c>
    </row>
    <row r="401" spans="1:19" x14ac:dyDescent="0.2">
      <c r="A401">
        <v>51</v>
      </c>
      <c r="B401" t="s">
        <v>1122</v>
      </c>
      <c r="C401" t="s">
        <v>1109</v>
      </c>
      <c r="D401" t="s">
        <v>1123</v>
      </c>
      <c r="F401" t="s">
        <v>30</v>
      </c>
      <c r="G401">
        <v>32.8371203553017</v>
      </c>
      <c r="H401">
        <v>34.9792189455856</v>
      </c>
      <c r="I401">
        <f t="shared" si="24"/>
        <v>2018</v>
      </c>
      <c r="J401">
        <f t="shared" si="25"/>
        <v>24</v>
      </c>
      <c r="K401" s="2">
        <v>43266</v>
      </c>
      <c r="L401" s="2" t="s">
        <v>23</v>
      </c>
      <c r="M401" t="s">
        <v>1124</v>
      </c>
      <c r="N401" t="s">
        <v>1125</v>
      </c>
      <c r="P401">
        <v>1</v>
      </c>
      <c r="R401">
        <f t="shared" si="26"/>
        <v>28</v>
      </c>
      <c r="S401">
        <f t="shared" si="27"/>
        <v>0</v>
      </c>
    </row>
    <row r="402" spans="1:19" x14ac:dyDescent="0.2">
      <c r="A402">
        <v>51</v>
      </c>
      <c r="B402" t="s">
        <v>1122</v>
      </c>
      <c r="C402" t="s">
        <v>1109</v>
      </c>
      <c r="D402" t="s">
        <v>1123</v>
      </c>
      <c r="E402" s="5" t="s">
        <v>47</v>
      </c>
      <c r="F402" t="s">
        <v>243</v>
      </c>
      <c r="G402">
        <v>32.177466819907004</v>
      </c>
      <c r="H402">
        <v>34.801354466376203</v>
      </c>
      <c r="I402">
        <f t="shared" si="24"/>
        <v>2018</v>
      </c>
      <c r="J402">
        <f t="shared" si="25"/>
        <v>24</v>
      </c>
      <c r="K402" s="2">
        <v>43266</v>
      </c>
      <c r="L402" s="2" t="s">
        <v>23</v>
      </c>
      <c r="M402" t="s">
        <v>1124</v>
      </c>
      <c r="N402" t="s">
        <v>1125</v>
      </c>
      <c r="P402">
        <v>1</v>
      </c>
      <c r="R402">
        <f t="shared" si="26"/>
        <v>28</v>
      </c>
      <c r="S402">
        <f t="shared" si="27"/>
        <v>4</v>
      </c>
    </row>
    <row r="403" spans="1:19" x14ac:dyDescent="0.2">
      <c r="A403">
        <v>51</v>
      </c>
      <c r="B403" t="s">
        <v>1122</v>
      </c>
      <c r="C403" t="s">
        <v>1109</v>
      </c>
      <c r="D403" t="s">
        <v>1123</v>
      </c>
      <c r="E403" s="5" t="s">
        <v>100</v>
      </c>
      <c r="F403" t="s">
        <v>676</v>
      </c>
      <c r="G403">
        <v>32.708964182181099</v>
      </c>
      <c r="H403">
        <v>34.940899754832301</v>
      </c>
      <c r="I403">
        <f t="shared" si="24"/>
        <v>2018</v>
      </c>
      <c r="J403">
        <f t="shared" si="25"/>
        <v>24</v>
      </c>
      <c r="K403" s="2">
        <v>43266</v>
      </c>
      <c r="L403" s="2" t="s">
        <v>23</v>
      </c>
      <c r="M403" t="s">
        <v>1124</v>
      </c>
      <c r="N403" t="s">
        <v>1125</v>
      </c>
      <c r="P403">
        <v>1</v>
      </c>
      <c r="R403">
        <f t="shared" si="26"/>
        <v>28</v>
      </c>
      <c r="S403">
        <f t="shared" si="27"/>
        <v>3</v>
      </c>
    </row>
    <row r="404" spans="1:19" x14ac:dyDescent="0.2">
      <c r="A404">
        <v>51</v>
      </c>
      <c r="B404" t="s">
        <v>1122</v>
      </c>
      <c r="C404" t="s">
        <v>1109</v>
      </c>
      <c r="D404" t="s">
        <v>1123</v>
      </c>
      <c r="E404" s="5" t="s">
        <v>73</v>
      </c>
      <c r="F404" t="s">
        <v>74</v>
      </c>
      <c r="G404">
        <v>32.093438590230903</v>
      </c>
      <c r="H404">
        <v>34.767717357132298</v>
      </c>
      <c r="I404">
        <f t="shared" si="24"/>
        <v>2018</v>
      </c>
      <c r="J404">
        <f t="shared" si="25"/>
        <v>24</v>
      </c>
      <c r="K404" s="2">
        <v>43266</v>
      </c>
      <c r="L404" s="2" t="s">
        <v>23</v>
      </c>
      <c r="M404" t="s">
        <v>1124</v>
      </c>
      <c r="N404" t="s">
        <v>1125</v>
      </c>
      <c r="P404">
        <v>1</v>
      </c>
      <c r="R404">
        <f t="shared" si="26"/>
        <v>28</v>
      </c>
      <c r="S404">
        <f t="shared" si="27"/>
        <v>4</v>
      </c>
    </row>
    <row r="405" spans="1:19" x14ac:dyDescent="0.2">
      <c r="A405" s="12">
        <v>6</v>
      </c>
      <c r="B405" s="12" t="s">
        <v>1131</v>
      </c>
      <c r="C405" s="12" t="s">
        <v>555</v>
      </c>
      <c r="D405" s="13" t="s">
        <v>1132</v>
      </c>
      <c r="E405" s="12" t="s">
        <v>29</v>
      </c>
      <c r="F405" s="12" t="s">
        <v>1133</v>
      </c>
      <c r="G405" s="12"/>
      <c r="H405" s="12"/>
      <c r="I405">
        <f t="shared" si="24"/>
        <v>2018</v>
      </c>
      <c r="J405">
        <f t="shared" si="25"/>
        <v>25</v>
      </c>
      <c r="K405" s="19">
        <v>43268</v>
      </c>
      <c r="L405" s="2" t="s">
        <v>23</v>
      </c>
      <c r="M405" s="12" t="s">
        <v>1134</v>
      </c>
      <c r="N405" s="12" t="s">
        <v>1135</v>
      </c>
      <c r="P405">
        <v>1</v>
      </c>
      <c r="R405">
        <f t="shared" si="26"/>
        <v>6</v>
      </c>
      <c r="S405">
        <f t="shared" si="27"/>
        <v>1</v>
      </c>
    </row>
    <row r="406" spans="1:19" x14ac:dyDescent="0.2">
      <c r="A406" s="12">
        <v>6</v>
      </c>
      <c r="B406" s="12" t="s">
        <v>1131</v>
      </c>
      <c r="C406" s="12" t="s">
        <v>555</v>
      </c>
      <c r="D406" s="13" t="s">
        <v>1132</v>
      </c>
      <c r="E406" s="5" t="s">
        <v>73</v>
      </c>
      <c r="F406" s="12" t="s">
        <v>1133</v>
      </c>
      <c r="G406" s="12"/>
      <c r="H406" s="12"/>
      <c r="I406">
        <f t="shared" si="24"/>
        <v>2018</v>
      </c>
      <c r="J406">
        <f t="shared" si="25"/>
        <v>25</v>
      </c>
      <c r="K406" s="19">
        <v>43268</v>
      </c>
      <c r="L406" s="2" t="s">
        <v>23</v>
      </c>
      <c r="M406" s="12" t="s">
        <v>1134</v>
      </c>
      <c r="N406" s="12" t="s">
        <v>1135</v>
      </c>
      <c r="P406">
        <v>1</v>
      </c>
      <c r="R406">
        <f t="shared" si="26"/>
        <v>6</v>
      </c>
      <c r="S406">
        <f t="shared" si="27"/>
        <v>1</v>
      </c>
    </row>
    <row r="407" spans="1:19" x14ac:dyDescent="0.2">
      <c r="A407" s="12">
        <v>6</v>
      </c>
      <c r="B407" s="12" t="s">
        <v>1131</v>
      </c>
      <c r="C407" s="12" t="s">
        <v>555</v>
      </c>
      <c r="D407" s="13" t="s">
        <v>1132</v>
      </c>
      <c r="E407" s="5" t="s">
        <v>100</v>
      </c>
      <c r="F407" s="12" t="s">
        <v>1133</v>
      </c>
      <c r="G407" s="12"/>
      <c r="H407" s="12"/>
      <c r="I407">
        <f t="shared" si="24"/>
        <v>2018</v>
      </c>
      <c r="J407">
        <f t="shared" si="25"/>
        <v>25</v>
      </c>
      <c r="K407" s="19">
        <v>43268</v>
      </c>
      <c r="L407" s="2" t="s">
        <v>23</v>
      </c>
      <c r="M407" s="12" t="s">
        <v>1134</v>
      </c>
      <c r="N407" s="12" t="s">
        <v>1135</v>
      </c>
      <c r="P407">
        <v>1</v>
      </c>
      <c r="R407">
        <f t="shared" si="26"/>
        <v>6</v>
      </c>
      <c r="S407">
        <f t="shared" si="27"/>
        <v>2</v>
      </c>
    </row>
    <row r="408" spans="1:19" x14ac:dyDescent="0.2">
      <c r="A408" s="12">
        <v>6</v>
      </c>
      <c r="B408" s="12" t="s">
        <v>1131</v>
      </c>
      <c r="C408" s="12" t="s">
        <v>555</v>
      </c>
      <c r="D408" s="13" t="s">
        <v>1132</v>
      </c>
      <c r="E408" s="5" t="s">
        <v>47</v>
      </c>
      <c r="F408" s="12" t="s">
        <v>1133</v>
      </c>
      <c r="G408" s="12"/>
      <c r="H408" s="12"/>
      <c r="I408">
        <f t="shared" si="24"/>
        <v>2018</v>
      </c>
      <c r="J408">
        <f t="shared" si="25"/>
        <v>25</v>
      </c>
      <c r="K408" s="19">
        <v>43268</v>
      </c>
      <c r="L408" s="2" t="s">
        <v>23</v>
      </c>
      <c r="M408" s="12" t="s">
        <v>1134</v>
      </c>
      <c r="N408" s="12" t="s">
        <v>1135</v>
      </c>
      <c r="P408">
        <v>1</v>
      </c>
      <c r="R408">
        <f t="shared" si="26"/>
        <v>6</v>
      </c>
      <c r="S408">
        <f t="shared" si="27"/>
        <v>1</v>
      </c>
    </row>
    <row r="409" spans="1:19" x14ac:dyDescent="0.2">
      <c r="A409" s="12">
        <v>6</v>
      </c>
      <c r="B409" s="12" t="s">
        <v>1131</v>
      </c>
      <c r="C409" s="12" t="s">
        <v>555</v>
      </c>
      <c r="D409" s="13" t="s">
        <v>1132</v>
      </c>
      <c r="E409" s="12" t="s">
        <v>21</v>
      </c>
      <c r="F409" s="12" t="s">
        <v>1133</v>
      </c>
      <c r="G409" s="12"/>
      <c r="H409" s="12"/>
      <c r="I409">
        <f t="shared" si="24"/>
        <v>2018</v>
      </c>
      <c r="J409">
        <f t="shared" si="25"/>
        <v>25</v>
      </c>
      <c r="K409" s="19">
        <v>43268</v>
      </c>
      <c r="L409" s="2" t="s">
        <v>23</v>
      </c>
      <c r="M409" s="12" t="s">
        <v>1134</v>
      </c>
      <c r="N409" s="12" t="s">
        <v>1135</v>
      </c>
      <c r="P409">
        <v>1</v>
      </c>
      <c r="R409">
        <f t="shared" si="26"/>
        <v>6</v>
      </c>
      <c r="S409">
        <f t="shared" si="27"/>
        <v>1</v>
      </c>
    </row>
    <row r="410" spans="1:19" x14ac:dyDescent="0.2">
      <c r="A410" s="1">
        <v>131</v>
      </c>
      <c r="B410" t="s">
        <v>1136</v>
      </c>
      <c r="C410" t="s">
        <v>1137</v>
      </c>
      <c r="D410" t="s">
        <v>1138</v>
      </c>
      <c r="E410" s="5" t="s">
        <v>100</v>
      </c>
      <c r="F410" t="s">
        <v>1139</v>
      </c>
      <c r="G410">
        <v>32.643262556012701</v>
      </c>
      <c r="H410">
        <v>34.924205598541697</v>
      </c>
      <c r="I410">
        <f t="shared" si="24"/>
        <v>2018</v>
      </c>
      <c r="J410">
        <f t="shared" si="25"/>
        <v>25</v>
      </c>
      <c r="K410" s="2">
        <v>43271</v>
      </c>
      <c r="L410" s="2" t="s">
        <v>23</v>
      </c>
      <c r="M410" t="s">
        <v>1140</v>
      </c>
      <c r="N410" t="s">
        <v>1141</v>
      </c>
      <c r="P410">
        <v>1</v>
      </c>
      <c r="R410">
        <f t="shared" si="26"/>
        <v>6</v>
      </c>
      <c r="S410">
        <f t="shared" si="27"/>
        <v>2</v>
      </c>
    </row>
    <row r="411" spans="1:19" x14ac:dyDescent="0.2">
      <c r="A411" t="s">
        <v>1142</v>
      </c>
      <c r="B411" t="s">
        <v>1143</v>
      </c>
      <c r="C411" t="s">
        <v>1144</v>
      </c>
      <c r="D411" t="s">
        <v>1145</v>
      </c>
      <c r="I411">
        <f t="shared" si="24"/>
        <v>2018</v>
      </c>
      <c r="J411">
        <f t="shared" si="25"/>
        <v>26</v>
      </c>
      <c r="K411" s="2">
        <v>43277</v>
      </c>
      <c r="L411" s="2" t="s">
        <v>23</v>
      </c>
      <c r="M411" t="s">
        <v>1146</v>
      </c>
      <c r="N411" t="s">
        <v>1147</v>
      </c>
      <c r="P411">
        <v>1</v>
      </c>
      <c r="R411">
        <f t="shared" si="26"/>
        <v>4</v>
      </c>
      <c r="S411">
        <f t="shared" si="27"/>
        <v>0</v>
      </c>
    </row>
    <row r="412" spans="1:19" x14ac:dyDescent="0.2">
      <c r="A412" t="s">
        <v>1148</v>
      </c>
      <c r="B412" t="s">
        <v>1149</v>
      </c>
      <c r="C412" t="s">
        <v>1150</v>
      </c>
      <c r="D412" t="s">
        <v>1151</v>
      </c>
      <c r="I412">
        <f t="shared" si="24"/>
        <v>2018</v>
      </c>
      <c r="J412">
        <f t="shared" si="25"/>
        <v>26</v>
      </c>
      <c r="K412" s="2">
        <v>43277</v>
      </c>
      <c r="L412" s="2" t="s">
        <v>23</v>
      </c>
      <c r="M412" t="s">
        <v>1152</v>
      </c>
      <c r="N412" t="s">
        <v>1153</v>
      </c>
      <c r="P412">
        <v>1</v>
      </c>
      <c r="R412">
        <f t="shared" si="26"/>
        <v>4</v>
      </c>
      <c r="S412">
        <f t="shared" si="27"/>
        <v>0</v>
      </c>
    </row>
    <row r="413" spans="1:19" x14ac:dyDescent="0.2">
      <c r="A413" t="s">
        <v>1154</v>
      </c>
      <c r="B413" t="s">
        <v>1155</v>
      </c>
      <c r="C413" t="s">
        <v>1156</v>
      </c>
      <c r="D413" t="s">
        <v>1157</v>
      </c>
      <c r="I413">
        <f t="shared" si="24"/>
        <v>2018</v>
      </c>
      <c r="J413">
        <f t="shared" si="25"/>
        <v>26</v>
      </c>
      <c r="K413" s="2">
        <v>43278</v>
      </c>
      <c r="L413" s="2" t="s">
        <v>23</v>
      </c>
      <c r="M413" t="s">
        <v>1158</v>
      </c>
      <c r="N413" t="s">
        <v>1159</v>
      </c>
      <c r="P413">
        <v>1</v>
      </c>
      <c r="R413">
        <f t="shared" si="26"/>
        <v>4</v>
      </c>
      <c r="S413">
        <f t="shared" si="27"/>
        <v>0</v>
      </c>
    </row>
    <row r="414" spans="1:19" x14ac:dyDescent="0.2">
      <c r="A414" t="s">
        <v>1160</v>
      </c>
      <c r="B414" t="s">
        <v>1161</v>
      </c>
      <c r="C414" t="s">
        <v>1162</v>
      </c>
      <c r="D414" t="s">
        <v>1163</v>
      </c>
      <c r="I414">
        <f t="shared" si="24"/>
        <v>2018</v>
      </c>
      <c r="J414">
        <f t="shared" si="25"/>
        <v>26</v>
      </c>
      <c r="K414" s="2">
        <v>43278</v>
      </c>
      <c r="L414" s="2" t="s">
        <v>23</v>
      </c>
      <c r="M414" t="s">
        <v>1164</v>
      </c>
      <c r="N414" t="s">
        <v>1165</v>
      </c>
      <c r="P414">
        <v>1</v>
      </c>
      <c r="R414">
        <f t="shared" si="26"/>
        <v>4</v>
      </c>
      <c r="S414">
        <f t="shared" si="27"/>
        <v>0</v>
      </c>
    </row>
    <row r="415" spans="1:19" x14ac:dyDescent="0.2">
      <c r="A415">
        <v>49</v>
      </c>
      <c r="B415" t="s">
        <v>1166</v>
      </c>
      <c r="C415" t="s">
        <v>1167</v>
      </c>
      <c r="D415" t="s">
        <v>1168</v>
      </c>
      <c r="E415" s="5" t="s">
        <v>73</v>
      </c>
      <c r="F415" t="s">
        <v>1169</v>
      </c>
      <c r="G415">
        <v>32.093438590230903</v>
      </c>
      <c r="H415">
        <v>34.767717357132298</v>
      </c>
      <c r="I415">
        <f t="shared" si="24"/>
        <v>2018</v>
      </c>
      <c r="J415">
        <f t="shared" si="25"/>
        <v>27</v>
      </c>
      <c r="K415" s="2">
        <v>43285</v>
      </c>
      <c r="L415" s="2" t="s">
        <v>23</v>
      </c>
      <c r="M415" t="s">
        <v>1170</v>
      </c>
      <c r="N415" t="s">
        <v>1171</v>
      </c>
      <c r="P415">
        <v>1</v>
      </c>
      <c r="R415">
        <f t="shared" si="26"/>
        <v>1</v>
      </c>
      <c r="S415">
        <f t="shared" si="27"/>
        <v>1</v>
      </c>
    </row>
    <row r="416" spans="1:19" x14ac:dyDescent="0.2">
      <c r="A416" t="s">
        <v>1172</v>
      </c>
      <c r="B416" t="s">
        <v>1173</v>
      </c>
      <c r="C416" t="s">
        <v>1174</v>
      </c>
      <c r="D416" t="s">
        <v>1175</v>
      </c>
      <c r="I416">
        <f t="shared" si="24"/>
        <v>2018</v>
      </c>
      <c r="J416">
        <f t="shared" si="25"/>
        <v>28</v>
      </c>
      <c r="K416" s="2">
        <v>43289</v>
      </c>
      <c r="L416" s="2" t="s">
        <v>23</v>
      </c>
      <c r="M416" t="s">
        <v>1176</v>
      </c>
      <c r="N416" t="s">
        <v>1177</v>
      </c>
      <c r="P416">
        <v>1</v>
      </c>
      <c r="R416">
        <f t="shared" si="26"/>
        <v>1</v>
      </c>
      <c r="S416">
        <f t="shared" si="27"/>
        <v>0</v>
      </c>
    </row>
    <row r="417" spans="1:19" x14ac:dyDescent="0.2">
      <c r="A417" t="s">
        <v>1178</v>
      </c>
      <c r="B417" t="s">
        <v>1179</v>
      </c>
      <c r="C417" t="s">
        <v>1180</v>
      </c>
      <c r="D417" t="s">
        <v>1181</v>
      </c>
      <c r="I417">
        <f t="shared" si="24"/>
        <v>2018</v>
      </c>
      <c r="J417">
        <f t="shared" si="25"/>
        <v>29</v>
      </c>
      <c r="K417" s="2">
        <v>43299</v>
      </c>
      <c r="L417" s="2" t="s">
        <v>23</v>
      </c>
      <c r="M417" t="s">
        <v>1182</v>
      </c>
      <c r="N417" t="s">
        <v>1183</v>
      </c>
      <c r="P417">
        <v>1</v>
      </c>
      <c r="R417">
        <f t="shared" si="26"/>
        <v>1</v>
      </c>
      <c r="S417">
        <f t="shared" si="27"/>
        <v>0</v>
      </c>
    </row>
    <row r="418" spans="1:19" x14ac:dyDescent="0.2">
      <c r="B418" t="s">
        <v>1184</v>
      </c>
      <c r="C418" t="s">
        <v>1185</v>
      </c>
      <c r="D418" t="s">
        <v>1186</v>
      </c>
      <c r="E418" s="4" t="s">
        <v>21</v>
      </c>
      <c r="F418" t="s">
        <v>64</v>
      </c>
      <c r="G418">
        <v>31.8169667122236</v>
      </c>
      <c r="H418">
        <v>34.639611775767101</v>
      </c>
      <c r="I418">
        <f t="shared" si="24"/>
        <v>2018</v>
      </c>
      <c r="J418">
        <f t="shared" si="25"/>
        <v>33</v>
      </c>
      <c r="K418" s="2">
        <v>43326</v>
      </c>
      <c r="L418" s="2" t="s">
        <v>23</v>
      </c>
      <c r="M418" t="s">
        <v>1187</v>
      </c>
      <c r="N418" t="s">
        <v>1188</v>
      </c>
      <c r="P418">
        <v>1</v>
      </c>
      <c r="R418">
        <f t="shared" si="26"/>
        <v>1</v>
      </c>
      <c r="S418">
        <f t="shared" si="27"/>
        <v>1</v>
      </c>
    </row>
    <row r="419" spans="1:19" x14ac:dyDescent="0.2">
      <c r="A419" s="9">
        <v>509</v>
      </c>
      <c r="B419" s="9" t="s">
        <v>1189</v>
      </c>
      <c r="C419" s="9" t="s">
        <v>757</v>
      </c>
      <c r="D419" s="10" t="s">
        <v>1190</v>
      </c>
      <c r="E419" s="4" t="s">
        <v>21</v>
      </c>
      <c r="F419" s="9" t="s">
        <v>1191</v>
      </c>
      <c r="G419" s="9"/>
      <c r="H419" s="9"/>
      <c r="I419">
        <f t="shared" si="24"/>
        <v>2018</v>
      </c>
      <c r="J419">
        <f t="shared" si="25"/>
        <v>34</v>
      </c>
      <c r="K419" s="11">
        <v>43336</v>
      </c>
      <c r="L419" s="2" t="s">
        <v>23</v>
      </c>
      <c r="M419" s="9" t="s">
        <v>1192</v>
      </c>
      <c r="N419" s="9" t="s">
        <v>1193</v>
      </c>
      <c r="P419">
        <v>1</v>
      </c>
      <c r="R419">
        <f t="shared" si="26"/>
        <v>1</v>
      </c>
      <c r="S419">
        <f t="shared" si="27"/>
        <v>1</v>
      </c>
    </row>
    <row r="420" spans="1:19" x14ac:dyDescent="0.2">
      <c r="A420">
        <v>419</v>
      </c>
      <c r="B420" t="s">
        <v>1194</v>
      </c>
      <c r="C420" t="s">
        <v>1195</v>
      </c>
      <c r="D420" t="s">
        <v>1196</v>
      </c>
      <c r="I420">
        <f t="shared" si="24"/>
        <v>2018</v>
      </c>
      <c r="J420">
        <f t="shared" si="25"/>
        <v>40</v>
      </c>
      <c r="K420" s="2">
        <v>43379</v>
      </c>
      <c r="L420" s="2" t="s">
        <v>23</v>
      </c>
      <c r="M420" t="s">
        <v>1197</v>
      </c>
      <c r="N420" t="s">
        <v>1198</v>
      </c>
      <c r="P420">
        <v>1</v>
      </c>
      <c r="R420">
        <f t="shared" si="26"/>
        <v>1</v>
      </c>
      <c r="S420">
        <f t="shared" si="27"/>
        <v>0</v>
      </c>
    </row>
    <row r="421" spans="1:19" x14ac:dyDescent="0.2">
      <c r="B421" t="s">
        <v>1199</v>
      </c>
      <c r="C421" t="s">
        <v>1200</v>
      </c>
      <c r="D421" t="s">
        <v>1201</v>
      </c>
      <c r="F421" t="s">
        <v>30</v>
      </c>
      <c r="G421">
        <v>32.8371203553017</v>
      </c>
      <c r="H421">
        <v>34.9792189455856</v>
      </c>
      <c r="I421">
        <f t="shared" si="24"/>
        <v>2018</v>
      </c>
      <c r="J421">
        <f t="shared" si="25"/>
        <v>45</v>
      </c>
      <c r="K421" s="2">
        <v>43410</v>
      </c>
      <c r="L421" s="2" t="s">
        <v>23</v>
      </c>
      <c r="M421" t="s">
        <v>1202</v>
      </c>
      <c r="N421" t="s">
        <v>1203</v>
      </c>
      <c r="P421">
        <v>1</v>
      </c>
      <c r="R421">
        <f t="shared" si="26"/>
        <v>1</v>
      </c>
      <c r="S421">
        <f t="shared" si="27"/>
        <v>0</v>
      </c>
    </row>
    <row r="422" spans="1:19" x14ac:dyDescent="0.2">
      <c r="A422" t="s">
        <v>1204</v>
      </c>
      <c r="B422" t="s">
        <v>1205</v>
      </c>
      <c r="C422" t="s">
        <v>1206</v>
      </c>
      <c r="D422" t="s">
        <v>1207</v>
      </c>
      <c r="I422">
        <f t="shared" si="24"/>
        <v>2018</v>
      </c>
      <c r="J422">
        <f t="shared" si="25"/>
        <v>47</v>
      </c>
      <c r="K422" s="2">
        <v>43425</v>
      </c>
      <c r="L422" s="2" t="s">
        <v>23</v>
      </c>
      <c r="M422" t="s">
        <v>1208</v>
      </c>
      <c r="N422" t="s">
        <v>1209</v>
      </c>
      <c r="P422">
        <v>1</v>
      </c>
      <c r="R422">
        <f t="shared" si="26"/>
        <v>1</v>
      </c>
      <c r="S422">
        <f t="shared" si="27"/>
        <v>0</v>
      </c>
    </row>
    <row r="423" spans="1:19" x14ac:dyDescent="0.2">
      <c r="A423" t="s">
        <v>1210</v>
      </c>
      <c r="B423" t="s">
        <v>1211</v>
      </c>
      <c r="C423" t="s">
        <v>1212</v>
      </c>
      <c r="D423" t="s">
        <v>1213</v>
      </c>
      <c r="I423">
        <f t="shared" si="24"/>
        <v>2018</v>
      </c>
      <c r="J423">
        <f t="shared" si="25"/>
        <v>48</v>
      </c>
      <c r="K423" s="2">
        <v>43432</v>
      </c>
      <c r="L423" s="2" t="s">
        <v>23</v>
      </c>
      <c r="M423" t="s">
        <v>1214</v>
      </c>
      <c r="N423" t="s">
        <v>1215</v>
      </c>
      <c r="P423">
        <v>1</v>
      </c>
      <c r="R423">
        <f t="shared" si="26"/>
        <v>1</v>
      </c>
      <c r="S423">
        <f t="shared" si="27"/>
        <v>0</v>
      </c>
    </row>
    <row r="424" spans="1:19" x14ac:dyDescent="0.2">
      <c r="A424" s="1">
        <v>11</v>
      </c>
      <c r="B424" t="s">
        <v>1216</v>
      </c>
      <c r="C424" t="s">
        <v>1200</v>
      </c>
      <c r="D424" t="s">
        <v>1217</v>
      </c>
      <c r="F424" t="s">
        <v>1218</v>
      </c>
      <c r="G424">
        <v>33.045236837092403</v>
      </c>
      <c r="H424">
        <v>35.1004249845763</v>
      </c>
      <c r="I424">
        <f t="shared" si="24"/>
        <v>2018</v>
      </c>
      <c r="J424">
        <f t="shared" si="25"/>
        <v>52</v>
      </c>
      <c r="K424" s="2">
        <v>43459</v>
      </c>
      <c r="L424" s="2" t="s">
        <v>23</v>
      </c>
      <c r="M424" t="s">
        <v>1219</v>
      </c>
      <c r="N424" t="s">
        <v>1220</v>
      </c>
      <c r="P424">
        <v>1</v>
      </c>
      <c r="R424">
        <f t="shared" si="26"/>
        <v>1</v>
      </c>
      <c r="S424">
        <f t="shared" si="27"/>
        <v>0</v>
      </c>
    </row>
    <row r="425" spans="1:19" x14ac:dyDescent="0.2">
      <c r="A425">
        <v>41</v>
      </c>
      <c r="B425" t="s">
        <v>1221</v>
      </c>
      <c r="C425" t="s">
        <v>688</v>
      </c>
      <c r="D425" t="s">
        <v>1222</v>
      </c>
      <c r="E425" s="4" t="s">
        <v>21</v>
      </c>
      <c r="F425" t="s">
        <v>64</v>
      </c>
      <c r="G425">
        <v>31.8169667122236</v>
      </c>
      <c r="H425">
        <v>34.639611775767101</v>
      </c>
      <c r="I425">
        <f t="shared" si="24"/>
        <v>2019</v>
      </c>
      <c r="J425">
        <f t="shared" si="25"/>
        <v>14</v>
      </c>
      <c r="K425" s="2">
        <v>43556</v>
      </c>
      <c r="L425" s="2" t="s">
        <v>23</v>
      </c>
      <c r="M425" t="s">
        <v>1223</v>
      </c>
      <c r="N425" t="s">
        <v>1224</v>
      </c>
      <c r="P425">
        <v>1</v>
      </c>
      <c r="R425">
        <f t="shared" si="26"/>
        <v>1</v>
      </c>
      <c r="S425">
        <f t="shared" si="27"/>
        <v>1</v>
      </c>
    </row>
    <row r="426" spans="1:19" x14ac:dyDescent="0.2">
      <c r="A426">
        <v>439</v>
      </c>
      <c r="B426" t="s">
        <v>1225</v>
      </c>
      <c r="C426" t="s">
        <v>1212</v>
      </c>
      <c r="D426" t="s">
        <v>1226</v>
      </c>
      <c r="E426" s="5" t="s">
        <v>73</v>
      </c>
      <c r="F426" t="s">
        <v>74</v>
      </c>
      <c r="G426">
        <v>32.093438590230903</v>
      </c>
      <c r="H426">
        <v>34.767717357132298</v>
      </c>
      <c r="I426">
        <f t="shared" si="24"/>
        <v>2019</v>
      </c>
      <c r="J426">
        <f t="shared" si="25"/>
        <v>16</v>
      </c>
      <c r="K426" s="2">
        <v>43569</v>
      </c>
      <c r="L426" s="2" t="s">
        <v>23</v>
      </c>
      <c r="M426" t="s">
        <v>1227</v>
      </c>
      <c r="N426" t="s">
        <v>1228</v>
      </c>
      <c r="P426">
        <v>1</v>
      </c>
      <c r="R426">
        <f t="shared" si="26"/>
        <v>1</v>
      </c>
      <c r="S426">
        <f t="shared" si="27"/>
        <v>1</v>
      </c>
    </row>
    <row r="427" spans="1:19" x14ac:dyDescent="0.2">
      <c r="A427" s="12">
        <v>187</v>
      </c>
      <c r="B427" s="12" t="s">
        <v>1229</v>
      </c>
      <c r="C427" s="12" t="s">
        <v>1230</v>
      </c>
      <c r="D427" s="12" t="s">
        <v>1231</v>
      </c>
      <c r="E427" s="12"/>
      <c r="F427" s="12"/>
      <c r="I427">
        <f t="shared" si="24"/>
        <v>2019</v>
      </c>
      <c r="J427">
        <f t="shared" si="25"/>
        <v>18</v>
      </c>
      <c r="K427" s="17">
        <v>43586</v>
      </c>
      <c r="L427" s="2" t="s">
        <v>23</v>
      </c>
      <c r="M427" s="13" t="s">
        <v>1232</v>
      </c>
      <c r="N427" s="12" t="s">
        <v>1233</v>
      </c>
      <c r="P427">
        <v>1</v>
      </c>
      <c r="R427">
        <f t="shared" si="26"/>
        <v>1</v>
      </c>
      <c r="S427">
        <f t="shared" si="27"/>
        <v>0</v>
      </c>
    </row>
    <row r="428" spans="1:19" x14ac:dyDescent="0.2">
      <c r="A428" s="9">
        <v>271</v>
      </c>
      <c r="B428" s="9" t="s">
        <v>1234</v>
      </c>
      <c r="C428" s="9" t="s">
        <v>947</v>
      </c>
      <c r="D428" s="9" t="s">
        <v>1235</v>
      </c>
      <c r="E428" s="9"/>
      <c r="F428" s="9"/>
      <c r="I428">
        <f t="shared" si="24"/>
        <v>2019</v>
      </c>
      <c r="J428">
        <f t="shared" si="25"/>
        <v>19</v>
      </c>
      <c r="K428" s="16">
        <v>43596</v>
      </c>
      <c r="L428" s="2" t="s">
        <v>23</v>
      </c>
      <c r="M428" s="10" t="s">
        <v>1236</v>
      </c>
      <c r="N428" s="9" t="s">
        <v>1237</v>
      </c>
      <c r="P428">
        <v>1</v>
      </c>
      <c r="R428">
        <f t="shared" si="26"/>
        <v>1</v>
      </c>
      <c r="S428">
        <f t="shared" si="27"/>
        <v>0</v>
      </c>
    </row>
    <row r="429" spans="1:19" x14ac:dyDescent="0.2">
      <c r="B429" t="s">
        <v>1238</v>
      </c>
      <c r="C429" t="s">
        <v>1239</v>
      </c>
      <c r="D429" t="s">
        <v>1240</v>
      </c>
      <c r="E429" s="5" t="s">
        <v>47</v>
      </c>
      <c r="F429" t="s">
        <v>75</v>
      </c>
      <c r="G429">
        <v>32.439273327223297</v>
      </c>
      <c r="H429">
        <v>34.878068554773698</v>
      </c>
      <c r="I429">
        <f t="shared" si="24"/>
        <v>2019</v>
      </c>
      <c r="J429">
        <f t="shared" si="25"/>
        <v>22</v>
      </c>
      <c r="K429" s="2">
        <v>43617</v>
      </c>
      <c r="L429" s="2" t="s">
        <v>23</v>
      </c>
      <c r="M429" t="s">
        <v>1241</v>
      </c>
      <c r="N429" t="s">
        <v>1242</v>
      </c>
      <c r="P429">
        <v>1</v>
      </c>
      <c r="R429">
        <f t="shared" si="26"/>
        <v>1</v>
      </c>
      <c r="S429">
        <f t="shared" si="27"/>
        <v>1</v>
      </c>
    </row>
    <row r="430" spans="1:19" x14ac:dyDescent="0.2">
      <c r="B430" t="s">
        <v>1243</v>
      </c>
      <c r="C430" t="s">
        <v>1244</v>
      </c>
      <c r="D430" t="s">
        <v>1245</v>
      </c>
      <c r="E430" s="4" t="s">
        <v>21</v>
      </c>
      <c r="F430" t="s">
        <v>22</v>
      </c>
      <c r="G430">
        <v>31.681438420965801</v>
      </c>
      <c r="H430">
        <v>34.554694789741902</v>
      </c>
      <c r="I430">
        <f t="shared" si="24"/>
        <v>2019</v>
      </c>
      <c r="J430">
        <f t="shared" si="25"/>
        <v>23</v>
      </c>
      <c r="K430" s="2">
        <v>43623</v>
      </c>
      <c r="L430" s="2" t="s">
        <v>23</v>
      </c>
      <c r="M430" t="s">
        <v>1246</v>
      </c>
      <c r="N430" t="s">
        <v>1247</v>
      </c>
      <c r="P430">
        <v>1</v>
      </c>
      <c r="R430">
        <f t="shared" si="26"/>
        <v>2</v>
      </c>
      <c r="S430">
        <f t="shared" si="27"/>
        <v>2</v>
      </c>
    </row>
    <row r="431" spans="1:19" x14ac:dyDescent="0.2">
      <c r="B431" t="s">
        <v>1248</v>
      </c>
      <c r="C431" t="s">
        <v>1244</v>
      </c>
      <c r="D431" t="s">
        <v>1245</v>
      </c>
      <c r="E431" s="4" t="s">
        <v>21</v>
      </c>
      <c r="F431" t="s">
        <v>22</v>
      </c>
      <c r="G431">
        <v>31.681438420965801</v>
      </c>
      <c r="H431">
        <v>34.554694789741902</v>
      </c>
      <c r="I431">
        <f t="shared" si="24"/>
        <v>2019</v>
      </c>
      <c r="J431">
        <f t="shared" si="25"/>
        <v>23</v>
      </c>
      <c r="K431" s="2">
        <v>43623</v>
      </c>
      <c r="L431" s="2" t="s">
        <v>23</v>
      </c>
      <c r="M431" t="s">
        <v>1249</v>
      </c>
      <c r="N431" t="s">
        <v>1247</v>
      </c>
      <c r="P431">
        <v>1</v>
      </c>
      <c r="R431">
        <f t="shared" si="26"/>
        <v>2</v>
      </c>
      <c r="S431">
        <f t="shared" si="27"/>
        <v>2</v>
      </c>
    </row>
    <row r="432" spans="1:19" x14ac:dyDescent="0.2">
      <c r="A432">
        <v>160</v>
      </c>
      <c r="B432" t="s">
        <v>1250</v>
      </c>
      <c r="C432" t="s">
        <v>1118</v>
      </c>
      <c r="D432" t="s">
        <v>1251</v>
      </c>
      <c r="E432" s="4" t="s">
        <v>21</v>
      </c>
      <c r="F432" t="s">
        <v>64</v>
      </c>
      <c r="G432">
        <v>31.8169667122236</v>
      </c>
      <c r="H432">
        <v>34.639611775767101</v>
      </c>
      <c r="I432">
        <f t="shared" si="24"/>
        <v>2019</v>
      </c>
      <c r="J432">
        <f t="shared" si="25"/>
        <v>25</v>
      </c>
      <c r="K432" s="2">
        <v>43632</v>
      </c>
      <c r="L432" s="2" t="s">
        <v>23</v>
      </c>
      <c r="M432" t="s">
        <v>1252</v>
      </c>
      <c r="N432" t="s">
        <v>1253</v>
      </c>
      <c r="P432">
        <v>1</v>
      </c>
      <c r="R432">
        <f t="shared" si="26"/>
        <v>1</v>
      </c>
      <c r="S432">
        <f t="shared" si="27"/>
        <v>1</v>
      </c>
    </row>
    <row r="433" spans="1:19" x14ac:dyDescent="0.2">
      <c r="A433" t="s">
        <v>1254</v>
      </c>
      <c r="B433" t="s">
        <v>1255</v>
      </c>
      <c r="C433" t="s">
        <v>1256</v>
      </c>
      <c r="D433" t="s">
        <v>1257</v>
      </c>
      <c r="I433">
        <f t="shared" si="24"/>
        <v>2019</v>
      </c>
      <c r="J433">
        <f t="shared" si="25"/>
        <v>26</v>
      </c>
      <c r="K433" s="2">
        <v>43642</v>
      </c>
      <c r="L433" s="2" t="s">
        <v>23</v>
      </c>
      <c r="M433" t="s">
        <v>1258</v>
      </c>
      <c r="N433" t="s">
        <v>1259</v>
      </c>
      <c r="P433">
        <v>1</v>
      </c>
      <c r="R433">
        <f t="shared" si="26"/>
        <v>2</v>
      </c>
      <c r="S433">
        <f t="shared" si="27"/>
        <v>0</v>
      </c>
    </row>
    <row r="434" spans="1:19" x14ac:dyDescent="0.2">
      <c r="A434" s="9">
        <v>187</v>
      </c>
      <c r="B434" s="9" t="s">
        <v>1260</v>
      </c>
      <c r="C434" s="9" t="s">
        <v>1261</v>
      </c>
      <c r="D434" s="10" t="s">
        <v>1262</v>
      </c>
      <c r="E434" s="10"/>
      <c r="F434" s="9"/>
      <c r="G434" s="9"/>
      <c r="H434" s="9"/>
      <c r="I434">
        <f t="shared" si="24"/>
        <v>2019</v>
      </c>
      <c r="J434">
        <f t="shared" si="25"/>
        <v>26</v>
      </c>
      <c r="K434" s="11">
        <v>43645</v>
      </c>
      <c r="L434" s="2" t="s">
        <v>23</v>
      </c>
      <c r="M434" s="9" t="s">
        <v>1263</v>
      </c>
      <c r="N434" s="9" t="s">
        <v>1264</v>
      </c>
      <c r="P434">
        <v>1</v>
      </c>
      <c r="R434">
        <f t="shared" si="26"/>
        <v>2</v>
      </c>
      <c r="S434">
        <f t="shared" si="27"/>
        <v>0</v>
      </c>
    </row>
    <row r="435" spans="1:19" x14ac:dyDescent="0.2">
      <c r="A435">
        <v>38</v>
      </c>
      <c r="B435" t="s">
        <v>1265</v>
      </c>
      <c r="C435" t="s">
        <v>864</v>
      </c>
      <c r="D435" t="s">
        <v>1266</v>
      </c>
      <c r="E435" s="5" t="s">
        <v>73</v>
      </c>
      <c r="F435" t="s">
        <v>74</v>
      </c>
      <c r="G435">
        <v>32.093438590230903</v>
      </c>
      <c r="H435">
        <v>34.767717357132298</v>
      </c>
      <c r="I435">
        <f t="shared" si="24"/>
        <v>2019</v>
      </c>
      <c r="J435">
        <f t="shared" si="25"/>
        <v>27</v>
      </c>
      <c r="K435" s="2">
        <v>43646</v>
      </c>
      <c r="L435" s="2" t="s">
        <v>23</v>
      </c>
      <c r="M435" t="s">
        <v>1267</v>
      </c>
      <c r="N435" t="s">
        <v>1268</v>
      </c>
      <c r="P435">
        <v>1</v>
      </c>
      <c r="R435">
        <f t="shared" si="26"/>
        <v>51</v>
      </c>
      <c r="S435">
        <f t="shared" si="27"/>
        <v>6</v>
      </c>
    </row>
    <row r="436" spans="1:19" x14ac:dyDescent="0.2">
      <c r="A436" s="9">
        <v>1</v>
      </c>
      <c r="B436" s="9" t="s">
        <v>1269</v>
      </c>
      <c r="C436" s="9" t="s">
        <v>555</v>
      </c>
      <c r="D436" s="10" t="s">
        <v>1270</v>
      </c>
      <c r="E436" s="4" t="s">
        <v>21</v>
      </c>
      <c r="F436" s="9" t="s">
        <v>1271</v>
      </c>
      <c r="G436" s="9"/>
      <c r="H436" s="9"/>
      <c r="I436">
        <f t="shared" si="24"/>
        <v>2019</v>
      </c>
      <c r="J436">
        <f t="shared" si="25"/>
        <v>27</v>
      </c>
      <c r="K436" s="11">
        <v>43646</v>
      </c>
      <c r="L436" s="2" t="s">
        <v>23</v>
      </c>
      <c r="M436" s="9" t="s">
        <v>1272</v>
      </c>
      <c r="N436" s="9" t="s">
        <v>1273</v>
      </c>
      <c r="P436">
        <v>1</v>
      </c>
      <c r="R436">
        <f t="shared" si="26"/>
        <v>51</v>
      </c>
      <c r="S436">
        <f t="shared" si="27"/>
        <v>18</v>
      </c>
    </row>
    <row r="437" spans="1:19" x14ac:dyDescent="0.2">
      <c r="A437" s="12"/>
      <c r="B437" s="12"/>
      <c r="C437" s="12"/>
      <c r="D437" s="13"/>
      <c r="E437" s="5" t="s">
        <v>73</v>
      </c>
      <c r="F437" s="12" t="s">
        <v>74</v>
      </c>
      <c r="G437" s="12"/>
      <c r="H437" s="12"/>
      <c r="I437">
        <f t="shared" si="24"/>
        <v>2019</v>
      </c>
      <c r="J437">
        <f t="shared" si="25"/>
        <v>27</v>
      </c>
      <c r="K437" s="14">
        <v>43646</v>
      </c>
      <c r="L437" s="2" t="s">
        <v>23</v>
      </c>
      <c r="M437" s="12"/>
      <c r="N437" s="12"/>
      <c r="P437">
        <v>1</v>
      </c>
      <c r="R437">
        <f t="shared" si="26"/>
        <v>51</v>
      </c>
      <c r="S437">
        <f t="shared" si="27"/>
        <v>6</v>
      </c>
    </row>
    <row r="438" spans="1:19" x14ac:dyDescent="0.2">
      <c r="A438">
        <v>79</v>
      </c>
      <c r="B438" t="s">
        <v>1274</v>
      </c>
      <c r="C438" t="s">
        <v>1275</v>
      </c>
      <c r="D438" t="s">
        <v>1276</v>
      </c>
      <c r="E438" s="4" t="s">
        <v>21</v>
      </c>
      <c r="F438" t="s">
        <v>64</v>
      </c>
      <c r="G438">
        <v>31.8169667122236</v>
      </c>
      <c r="H438">
        <v>34.639611775767101</v>
      </c>
      <c r="I438">
        <f t="shared" si="24"/>
        <v>2019</v>
      </c>
      <c r="J438">
        <f t="shared" si="25"/>
        <v>27</v>
      </c>
      <c r="K438" s="2">
        <v>43648</v>
      </c>
      <c r="L438" s="2" t="s">
        <v>23</v>
      </c>
      <c r="M438" t="s">
        <v>1277</v>
      </c>
      <c r="N438" t="s">
        <v>1278</v>
      </c>
      <c r="P438">
        <v>1</v>
      </c>
      <c r="R438">
        <f t="shared" si="26"/>
        <v>51</v>
      </c>
      <c r="S438">
        <f t="shared" si="27"/>
        <v>18</v>
      </c>
    </row>
    <row r="439" spans="1:19" x14ac:dyDescent="0.2">
      <c r="A439">
        <v>79</v>
      </c>
      <c r="B439" t="s">
        <v>1274</v>
      </c>
      <c r="C439" t="s">
        <v>1275</v>
      </c>
      <c r="D439" t="s">
        <v>1276</v>
      </c>
      <c r="E439" s="4" t="s">
        <v>21</v>
      </c>
      <c r="F439" t="s">
        <v>22</v>
      </c>
      <c r="G439">
        <v>31.681438420965801</v>
      </c>
      <c r="H439">
        <v>34.554694789741902</v>
      </c>
      <c r="I439">
        <f t="shared" si="24"/>
        <v>2019</v>
      </c>
      <c r="J439">
        <f t="shared" si="25"/>
        <v>27</v>
      </c>
      <c r="K439" s="2">
        <v>43648</v>
      </c>
      <c r="L439" s="2" t="s">
        <v>23</v>
      </c>
      <c r="M439" t="s">
        <v>1277</v>
      </c>
      <c r="N439" t="s">
        <v>1278</v>
      </c>
      <c r="P439">
        <v>1</v>
      </c>
      <c r="R439">
        <f t="shared" si="26"/>
        <v>51</v>
      </c>
      <c r="S439">
        <f t="shared" si="27"/>
        <v>18</v>
      </c>
    </row>
    <row r="440" spans="1:19" x14ac:dyDescent="0.2">
      <c r="A440" s="12">
        <v>352</v>
      </c>
      <c r="B440" s="12" t="s">
        <v>1279</v>
      </c>
      <c r="C440" s="12" t="s">
        <v>1280</v>
      </c>
      <c r="D440" s="13" t="s">
        <v>1281</v>
      </c>
      <c r="E440" s="13"/>
      <c r="F440" s="12"/>
      <c r="G440" s="12"/>
      <c r="H440" s="12"/>
      <c r="I440">
        <f t="shared" si="24"/>
        <v>2019</v>
      </c>
      <c r="J440">
        <f t="shared" si="25"/>
        <v>27</v>
      </c>
      <c r="K440" s="14">
        <v>43648</v>
      </c>
      <c r="L440" s="2" t="s">
        <v>23</v>
      </c>
      <c r="M440" s="12" t="s">
        <v>1282</v>
      </c>
      <c r="N440" s="12" t="s">
        <v>1283</v>
      </c>
      <c r="P440">
        <v>1</v>
      </c>
      <c r="R440">
        <f t="shared" si="26"/>
        <v>51</v>
      </c>
      <c r="S440">
        <f t="shared" si="27"/>
        <v>0</v>
      </c>
    </row>
    <row r="441" spans="1:19" x14ac:dyDescent="0.2">
      <c r="A441" s="12">
        <v>378</v>
      </c>
      <c r="B441" s="12" t="s">
        <v>1284</v>
      </c>
      <c r="C441" s="12" t="s">
        <v>1285</v>
      </c>
      <c r="D441" s="13" t="s">
        <v>1286</v>
      </c>
      <c r="E441" s="5" t="s">
        <v>47</v>
      </c>
      <c r="F441" s="12" t="s">
        <v>243</v>
      </c>
      <c r="G441" s="12"/>
      <c r="H441" s="12"/>
      <c r="I441">
        <f t="shared" si="24"/>
        <v>2019</v>
      </c>
      <c r="J441">
        <f t="shared" si="25"/>
        <v>27</v>
      </c>
      <c r="K441" s="14">
        <v>43648</v>
      </c>
      <c r="L441" s="2" t="s">
        <v>23</v>
      </c>
      <c r="M441" s="12" t="s">
        <v>1287</v>
      </c>
      <c r="N441" s="12" t="s">
        <v>1288</v>
      </c>
      <c r="P441">
        <v>1</v>
      </c>
      <c r="R441">
        <f t="shared" si="26"/>
        <v>51</v>
      </c>
      <c r="S441">
        <f t="shared" si="27"/>
        <v>5</v>
      </c>
    </row>
    <row r="442" spans="1:19" x14ac:dyDescent="0.2">
      <c r="A442" s="9">
        <v>46</v>
      </c>
      <c r="B442" s="9" t="s">
        <v>1289</v>
      </c>
      <c r="C442" s="9" t="s">
        <v>661</v>
      </c>
      <c r="D442" s="10" t="s">
        <v>1290</v>
      </c>
      <c r="E442" s="10"/>
      <c r="F442" s="9"/>
      <c r="G442" s="9"/>
      <c r="H442" s="9"/>
      <c r="I442">
        <f t="shared" si="24"/>
        <v>2019</v>
      </c>
      <c r="J442">
        <f t="shared" si="25"/>
        <v>27</v>
      </c>
      <c r="K442" s="11">
        <v>43648</v>
      </c>
      <c r="L442" s="2" t="s">
        <v>23</v>
      </c>
      <c r="M442" s="9" t="s">
        <v>1291</v>
      </c>
      <c r="N442" s="9" t="s">
        <v>1292</v>
      </c>
      <c r="P442">
        <v>1</v>
      </c>
      <c r="R442">
        <f t="shared" si="26"/>
        <v>51</v>
      </c>
      <c r="S442">
        <f t="shared" si="27"/>
        <v>0</v>
      </c>
    </row>
    <row r="443" spans="1:19" x14ac:dyDescent="0.2">
      <c r="A443" s="9">
        <v>67</v>
      </c>
      <c r="B443" s="9" t="s">
        <v>1293</v>
      </c>
      <c r="C443" s="9" t="s">
        <v>1294</v>
      </c>
      <c r="D443" s="9" t="s">
        <v>1295</v>
      </c>
      <c r="E443" s="4" t="s">
        <v>21</v>
      </c>
      <c r="F443" s="9" t="s">
        <v>448</v>
      </c>
      <c r="I443">
        <f t="shared" si="24"/>
        <v>2019</v>
      </c>
      <c r="J443">
        <f t="shared" si="25"/>
        <v>27</v>
      </c>
      <c r="K443" s="16">
        <v>43648</v>
      </c>
      <c r="L443" s="2" t="s">
        <v>23</v>
      </c>
      <c r="M443" s="9" t="s">
        <v>1296</v>
      </c>
      <c r="N443" s="9" t="s">
        <v>1297</v>
      </c>
      <c r="P443">
        <v>1</v>
      </c>
      <c r="R443">
        <f t="shared" si="26"/>
        <v>51</v>
      </c>
      <c r="S443">
        <f t="shared" si="27"/>
        <v>18</v>
      </c>
    </row>
    <row r="444" spans="1:19" x14ac:dyDescent="0.2">
      <c r="A444" s="9">
        <v>120</v>
      </c>
      <c r="B444" s="9" t="s">
        <v>1298</v>
      </c>
      <c r="C444" s="9" t="s">
        <v>98</v>
      </c>
      <c r="D444" s="10" t="s">
        <v>1299</v>
      </c>
      <c r="E444" s="10"/>
      <c r="F444" s="9"/>
      <c r="G444" s="9"/>
      <c r="H444" s="9"/>
      <c r="I444">
        <f t="shared" si="24"/>
        <v>2019</v>
      </c>
      <c r="J444">
        <f t="shared" si="25"/>
        <v>27</v>
      </c>
      <c r="K444" s="11">
        <v>43649</v>
      </c>
      <c r="L444" s="2" t="s">
        <v>23</v>
      </c>
      <c r="M444" s="9" t="s">
        <v>1300</v>
      </c>
      <c r="N444" s="9" t="s">
        <v>1301</v>
      </c>
      <c r="P444">
        <v>1</v>
      </c>
      <c r="R444">
        <f t="shared" si="26"/>
        <v>51</v>
      </c>
      <c r="S444">
        <f t="shared" si="27"/>
        <v>0</v>
      </c>
    </row>
    <row r="445" spans="1:19" x14ac:dyDescent="0.2">
      <c r="A445">
        <v>34</v>
      </c>
      <c r="B445" t="s">
        <v>1302</v>
      </c>
      <c r="C445" t="s">
        <v>237</v>
      </c>
      <c r="D445" t="s">
        <v>1303</v>
      </c>
      <c r="E445" s="4" t="s">
        <v>21</v>
      </c>
      <c r="F445" t="s">
        <v>70</v>
      </c>
      <c r="G445">
        <v>32.002493003827801</v>
      </c>
      <c r="H445">
        <v>34.731694234364099</v>
      </c>
      <c r="I445">
        <f t="shared" si="24"/>
        <v>2019</v>
      </c>
      <c r="J445">
        <f t="shared" si="25"/>
        <v>27</v>
      </c>
      <c r="K445" s="2">
        <v>43650</v>
      </c>
      <c r="L445" s="2" t="s">
        <v>23</v>
      </c>
      <c r="M445" t="s">
        <v>1304</v>
      </c>
      <c r="N445" t="s">
        <v>1305</v>
      </c>
      <c r="P445">
        <v>1</v>
      </c>
      <c r="R445">
        <f t="shared" si="26"/>
        <v>51</v>
      </c>
      <c r="S445">
        <f t="shared" si="27"/>
        <v>18</v>
      </c>
    </row>
    <row r="446" spans="1:19" x14ac:dyDescent="0.2">
      <c r="A446">
        <v>34</v>
      </c>
      <c r="B446" t="s">
        <v>1302</v>
      </c>
      <c r="C446" t="s">
        <v>237</v>
      </c>
      <c r="D446" t="s">
        <v>1303</v>
      </c>
      <c r="F446" t="s">
        <v>150</v>
      </c>
      <c r="G446">
        <v>33.045236837092403</v>
      </c>
      <c r="H446">
        <v>35.1004249845763</v>
      </c>
      <c r="I446">
        <f t="shared" si="24"/>
        <v>2019</v>
      </c>
      <c r="J446">
        <f t="shared" si="25"/>
        <v>27</v>
      </c>
      <c r="K446" s="2">
        <v>43650</v>
      </c>
      <c r="L446" s="2" t="s">
        <v>23</v>
      </c>
      <c r="M446" t="s">
        <v>1304</v>
      </c>
      <c r="N446" t="s">
        <v>1305</v>
      </c>
      <c r="P446">
        <v>1</v>
      </c>
      <c r="R446">
        <f t="shared" si="26"/>
        <v>51</v>
      </c>
      <c r="S446">
        <f t="shared" si="27"/>
        <v>0</v>
      </c>
    </row>
    <row r="447" spans="1:19" x14ac:dyDescent="0.2">
      <c r="A447">
        <v>34</v>
      </c>
      <c r="B447" t="s">
        <v>1302</v>
      </c>
      <c r="C447" t="s">
        <v>237</v>
      </c>
      <c r="D447" t="s">
        <v>1303</v>
      </c>
      <c r="F447" t="s">
        <v>241</v>
      </c>
      <c r="G447">
        <v>32.919146191970597</v>
      </c>
      <c r="H447">
        <v>35.079648455010798</v>
      </c>
      <c r="I447">
        <f t="shared" si="24"/>
        <v>2019</v>
      </c>
      <c r="J447">
        <f t="shared" si="25"/>
        <v>27</v>
      </c>
      <c r="K447" s="2">
        <v>43650</v>
      </c>
      <c r="L447" s="2" t="s">
        <v>23</v>
      </c>
      <c r="M447" t="s">
        <v>1304</v>
      </c>
      <c r="N447" t="s">
        <v>1305</v>
      </c>
      <c r="P447">
        <v>1</v>
      </c>
      <c r="R447">
        <f t="shared" si="26"/>
        <v>51</v>
      </c>
      <c r="S447">
        <f t="shared" si="27"/>
        <v>0</v>
      </c>
    </row>
    <row r="448" spans="1:19" x14ac:dyDescent="0.2">
      <c r="A448">
        <v>34</v>
      </c>
      <c r="B448" t="s">
        <v>1302</v>
      </c>
      <c r="C448" t="s">
        <v>237</v>
      </c>
      <c r="D448" t="s">
        <v>1303</v>
      </c>
      <c r="E448" s="4" t="s">
        <v>21</v>
      </c>
      <c r="F448" t="s">
        <v>64</v>
      </c>
      <c r="G448">
        <v>31.8169667122236</v>
      </c>
      <c r="H448">
        <v>34.639611775767101</v>
      </c>
      <c r="I448">
        <f t="shared" si="24"/>
        <v>2019</v>
      </c>
      <c r="J448">
        <f t="shared" si="25"/>
        <v>27</v>
      </c>
      <c r="K448" s="2">
        <v>43650</v>
      </c>
      <c r="L448" s="2" t="s">
        <v>23</v>
      </c>
      <c r="M448" t="s">
        <v>1304</v>
      </c>
      <c r="N448" t="s">
        <v>1305</v>
      </c>
      <c r="P448">
        <v>1</v>
      </c>
      <c r="R448">
        <f t="shared" si="26"/>
        <v>51</v>
      </c>
      <c r="S448">
        <f t="shared" si="27"/>
        <v>18</v>
      </c>
    </row>
    <row r="449" spans="1:19" x14ac:dyDescent="0.2">
      <c r="A449">
        <v>23</v>
      </c>
      <c r="B449" t="s">
        <v>1306</v>
      </c>
      <c r="C449" t="s">
        <v>840</v>
      </c>
      <c r="D449" t="s">
        <v>1307</v>
      </c>
      <c r="E449" s="4" t="s">
        <v>21</v>
      </c>
      <c r="F449" t="s">
        <v>64</v>
      </c>
      <c r="G449">
        <v>31.8169667122236</v>
      </c>
      <c r="H449">
        <v>34.639611775767101</v>
      </c>
      <c r="I449">
        <f t="shared" si="24"/>
        <v>2019</v>
      </c>
      <c r="J449">
        <f t="shared" si="25"/>
        <v>27</v>
      </c>
      <c r="K449" s="2">
        <v>43650</v>
      </c>
      <c r="L449" s="2" t="s">
        <v>23</v>
      </c>
      <c r="M449" t="s">
        <v>1308</v>
      </c>
      <c r="N449" t="s">
        <v>1309</v>
      </c>
      <c r="P449">
        <v>1</v>
      </c>
      <c r="R449">
        <f t="shared" si="26"/>
        <v>51</v>
      </c>
      <c r="S449">
        <f t="shared" si="27"/>
        <v>18</v>
      </c>
    </row>
    <row r="450" spans="1:19" x14ac:dyDescent="0.2">
      <c r="A450">
        <v>34</v>
      </c>
      <c r="B450" t="s">
        <v>1302</v>
      </c>
      <c r="C450" t="s">
        <v>237</v>
      </c>
      <c r="D450" t="s">
        <v>1303</v>
      </c>
      <c r="E450" s="4" t="s">
        <v>21</v>
      </c>
      <c r="F450" t="s">
        <v>22</v>
      </c>
      <c r="G450">
        <v>31.681438420965801</v>
      </c>
      <c r="H450">
        <v>34.554694789741902</v>
      </c>
      <c r="I450">
        <f t="shared" ref="I450:I513" si="28">YEAR(K450)</f>
        <v>2019</v>
      </c>
      <c r="J450">
        <f t="shared" ref="J450:J513" si="29">WEEKNUM(K450)</f>
        <v>27</v>
      </c>
      <c r="K450" s="2">
        <v>43650</v>
      </c>
      <c r="L450" s="2" t="s">
        <v>23</v>
      </c>
      <c r="M450" t="s">
        <v>1304</v>
      </c>
      <c r="N450" t="s">
        <v>1305</v>
      </c>
      <c r="P450">
        <v>1</v>
      </c>
      <c r="R450">
        <f t="shared" si="26"/>
        <v>51</v>
      </c>
      <c r="S450">
        <f t="shared" si="27"/>
        <v>18</v>
      </c>
    </row>
    <row r="451" spans="1:19" x14ac:dyDescent="0.2">
      <c r="A451">
        <v>439</v>
      </c>
      <c r="B451" t="s">
        <v>1310</v>
      </c>
      <c r="C451" t="s">
        <v>1311</v>
      </c>
      <c r="D451" t="s">
        <v>1312</v>
      </c>
      <c r="E451" s="4" t="s">
        <v>21</v>
      </c>
      <c r="F451" t="s">
        <v>22</v>
      </c>
      <c r="G451">
        <v>31.681438420965801</v>
      </c>
      <c r="H451">
        <v>34.554694789741902</v>
      </c>
      <c r="I451">
        <f t="shared" si="28"/>
        <v>2019</v>
      </c>
      <c r="J451">
        <f t="shared" si="29"/>
        <v>27</v>
      </c>
      <c r="K451" s="2">
        <v>43650</v>
      </c>
      <c r="L451" s="2" t="s">
        <v>23</v>
      </c>
      <c r="M451" t="s">
        <v>1313</v>
      </c>
      <c r="N451" t="s">
        <v>1314</v>
      </c>
      <c r="P451">
        <v>1</v>
      </c>
      <c r="R451">
        <f t="shared" ref="R451:R514" si="30">COUNTIFS($J$2:$J$997,J451,$I$2:$I$997,I451)</f>
        <v>51</v>
      </c>
      <c r="S451">
        <f t="shared" ref="S451:S514" si="31">COUNTIFS($J$2:$J$997,J451,$I$2:$I$997,I451,$E$2:$E$997,E451)</f>
        <v>18</v>
      </c>
    </row>
    <row r="452" spans="1:19" x14ac:dyDescent="0.2">
      <c r="A452">
        <v>423</v>
      </c>
      <c r="B452" t="s">
        <v>1315</v>
      </c>
      <c r="C452" t="s">
        <v>1316</v>
      </c>
      <c r="D452" t="s">
        <v>1317</v>
      </c>
      <c r="E452" s="4" t="s">
        <v>21</v>
      </c>
      <c r="F452" t="s">
        <v>22</v>
      </c>
      <c r="G452">
        <v>31.681438420965801</v>
      </c>
      <c r="H452">
        <v>34.554694789741902</v>
      </c>
      <c r="I452">
        <f t="shared" si="28"/>
        <v>2019</v>
      </c>
      <c r="J452">
        <f t="shared" si="29"/>
        <v>27</v>
      </c>
      <c r="K452" s="2">
        <v>43650</v>
      </c>
      <c r="L452" s="2" t="s">
        <v>23</v>
      </c>
      <c r="M452" t="s">
        <v>1318</v>
      </c>
      <c r="N452" t="s">
        <v>1319</v>
      </c>
      <c r="P452">
        <v>1</v>
      </c>
      <c r="R452">
        <f t="shared" si="30"/>
        <v>51</v>
      </c>
      <c r="S452">
        <f t="shared" si="31"/>
        <v>18</v>
      </c>
    </row>
    <row r="453" spans="1:19" x14ac:dyDescent="0.2">
      <c r="B453" t="s">
        <v>1320</v>
      </c>
      <c r="C453" t="s">
        <v>911</v>
      </c>
      <c r="D453" t="s">
        <v>1321</v>
      </c>
      <c r="E453" s="4" t="s">
        <v>21</v>
      </c>
      <c r="F453" t="s">
        <v>22</v>
      </c>
      <c r="G453">
        <v>31.681438420965801</v>
      </c>
      <c r="H453">
        <v>34.554694789741902</v>
      </c>
      <c r="I453">
        <f t="shared" si="28"/>
        <v>2019</v>
      </c>
      <c r="J453">
        <f t="shared" si="29"/>
        <v>27</v>
      </c>
      <c r="K453" s="2">
        <v>43650</v>
      </c>
      <c r="L453" s="2" t="s">
        <v>23</v>
      </c>
      <c r="M453" t="s">
        <v>1322</v>
      </c>
      <c r="N453" t="s">
        <v>1323</v>
      </c>
      <c r="P453">
        <v>1</v>
      </c>
      <c r="R453">
        <f t="shared" si="30"/>
        <v>51</v>
      </c>
      <c r="S453">
        <f t="shared" si="31"/>
        <v>18</v>
      </c>
    </row>
    <row r="454" spans="1:19" x14ac:dyDescent="0.2">
      <c r="A454">
        <v>34</v>
      </c>
      <c r="B454" t="s">
        <v>1302</v>
      </c>
      <c r="C454" t="s">
        <v>237</v>
      </c>
      <c r="D454" t="s">
        <v>1303</v>
      </c>
      <c r="F454" t="s">
        <v>242</v>
      </c>
      <c r="G454">
        <v>32.023220011216303</v>
      </c>
      <c r="H454">
        <v>34.738647655010197</v>
      </c>
      <c r="I454">
        <f t="shared" si="28"/>
        <v>2019</v>
      </c>
      <c r="J454">
        <f t="shared" si="29"/>
        <v>27</v>
      </c>
      <c r="K454" s="2">
        <v>43650</v>
      </c>
      <c r="L454" s="2" t="s">
        <v>23</v>
      </c>
      <c r="M454" t="s">
        <v>1304</v>
      </c>
      <c r="N454" t="s">
        <v>1305</v>
      </c>
      <c r="P454">
        <v>1</v>
      </c>
      <c r="R454">
        <f t="shared" si="30"/>
        <v>51</v>
      </c>
      <c r="S454">
        <f t="shared" si="31"/>
        <v>0</v>
      </c>
    </row>
    <row r="455" spans="1:19" x14ac:dyDescent="0.2">
      <c r="A455">
        <v>34</v>
      </c>
      <c r="B455" t="s">
        <v>1302</v>
      </c>
      <c r="C455" t="s">
        <v>237</v>
      </c>
      <c r="D455" t="s">
        <v>1303</v>
      </c>
      <c r="E455" s="5" t="s">
        <v>47</v>
      </c>
      <c r="F455" t="s">
        <v>75</v>
      </c>
      <c r="G455">
        <v>32.439273327223297</v>
      </c>
      <c r="H455">
        <v>34.878068554773698</v>
      </c>
      <c r="I455">
        <f t="shared" si="28"/>
        <v>2019</v>
      </c>
      <c r="J455">
        <f t="shared" si="29"/>
        <v>27</v>
      </c>
      <c r="K455" s="2">
        <v>43650</v>
      </c>
      <c r="L455" s="2" t="s">
        <v>23</v>
      </c>
      <c r="M455" t="s">
        <v>1304</v>
      </c>
      <c r="N455" t="s">
        <v>1305</v>
      </c>
      <c r="P455">
        <v>1</v>
      </c>
      <c r="R455">
        <f t="shared" si="30"/>
        <v>51</v>
      </c>
      <c r="S455">
        <f t="shared" si="31"/>
        <v>5</v>
      </c>
    </row>
    <row r="456" spans="1:19" x14ac:dyDescent="0.2">
      <c r="A456">
        <v>34</v>
      </c>
      <c r="B456" t="s">
        <v>1302</v>
      </c>
      <c r="C456" t="s">
        <v>237</v>
      </c>
      <c r="D456" t="s">
        <v>1303</v>
      </c>
      <c r="F456" t="s">
        <v>30</v>
      </c>
      <c r="G456">
        <v>32.8371203553017</v>
      </c>
      <c r="H456">
        <v>34.9792189455856</v>
      </c>
      <c r="I456">
        <f t="shared" si="28"/>
        <v>2019</v>
      </c>
      <c r="J456">
        <f t="shared" si="29"/>
        <v>27</v>
      </c>
      <c r="K456" s="2">
        <v>43650</v>
      </c>
      <c r="L456" s="2" t="s">
        <v>23</v>
      </c>
      <c r="M456" t="s">
        <v>1304</v>
      </c>
      <c r="N456" t="s">
        <v>1305</v>
      </c>
      <c r="P456">
        <v>1</v>
      </c>
      <c r="R456">
        <f t="shared" si="30"/>
        <v>51</v>
      </c>
      <c r="S456">
        <f t="shared" si="31"/>
        <v>0</v>
      </c>
    </row>
    <row r="457" spans="1:19" x14ac:dyDescent="0.2">
      <c r="A457">
        <v>34</v>
      </c>
      <c r="B457" t="s">
        <v>1302</v>
      </c>
      <c r="C457" t="s">
        <v>237</v>
      </c>
      <c r="D457" t="s">
        <v>1303</v>
      </c>
      <c r="E457" s="5" t="s">
        <v>47</v>
      </c>
      <c r="F457" t="s">
        <v>243</v>
      </c>
      <c r="G457">
        <v>32.177466819907004</v>
      </c>
      <c r="H457">
        <v>34.801354466376203</v>
      </c>
      <c r="I457">
        <f t="shared" si="28"/>
        <v>2019</v>
      </c>
      <c r="J457">
        <f t="shared" si="29"/>
        <v>27</v>
      </c>
      <c r="K457" s="2">
        <v>43650</v>
      </c>
      <c r="L457" s="2" t="s">
        <v>23</v>
      </c>
      <c r="M457" t="s">
        <v>1304</v>
      </c>
      <c r="N457" t="s">
        <v>1305</v>
      </c>
      <c r="P457">
        <v>1</v>
      </c>
      <c r="R457">
        <f t="shared" si="30"/>
        <v>51</v>
      </c>
      <c r="S457">
        <f t="shared" si="31"/>
        <v>5</v>
      </c>
    </row>
    <row r="458" spans="1:19" x14ac:dyDescent="0.2">
      <c r="A458">
        <v>34</v>
      </c>
      <c r="B458" t="s">
        <v>1302</v>
      </c>
      <c r="C458" t="s">
        <v>237</v>
      </c>
      <c r="D458" t="s">
        <v>1303</v>
      </c>
      <c r="F458" t="s">
        <v>707</v>
      </c>
      <c r="G458">
        <v>33.027952664741797</v>
      </c>
      <c r="H458">
        <v>35.095230833853499</v>
      </c>
      <c r="I458">
        <f t="shared" si="28"/>
        <v>2019</v>
      </c>
      <c r="J458">
        <f t="shared" si="29"/>
        <v>27</v>
      </c>
      <c r="K458" s="2">
        <v>43650</v>
      </c>
      <c r="L458" s="2" t="s">
        <v>23</v>
      </c>
      <c r="M458" t="s">
        <v>1304</v>
      </c>
      <c r="N458" t="s">
        <v>1305</v>
      </c>
      <c r="P458">
        <v>1</v>
      </c>
      <c r="R458">
        <f t="shared" si="30"/>
        <v>51</v>
      </c>
      <c r="S458">
        <f t="shared" si="31"/>
        <v>0</v>
      </c>
    </row>
    <row r="459" spans="1:19" x14ac:dyDescent="0.2">
      <c r="A459">
        <v>34</v>
      </c>
      <c r="B459" t="s">
        <v>1302</v>
      </c>
      <c r="C459" t="s">
        <v>237</v>
      </c>
      <c r="D459" t="s">
        <v>1303</v>
      </c>
      <c r="F459" t="s">
        <v>48</v>
      </c>
      <c r="G459">
        <v>32.305869740247999</v>
      </c>
      <c r="H459">
        <v>34.842875660039503</v>
      </c>
      <c r="I459">
        <f t="shared" si="28"/>
        <v>2019</v>
      </c>
      <c r="J459">
        <f t="shared" si="29"/>
        <v>27</v>
      </c>
      <c r="K459" s="2">
        <v>43650</v>
      </c>
      <c r="L459" s="2" t="s">
        <v>23</v>
      </c>
      <c r="M459" t="s">
        <v>1304</v>
      </c>
      <c r="N459" t="s">
        <v>1305</v>
      </c>
      <c r="P459">
        <v>1</v>
      </c>
      <c r="R459">
        <f t="shared" si="30"/>
        <v>51</v>
      </c>
      <c r="S459">
        <f t="shared" si="31"/>
        <v>0</v>
      </c>
    </row>
    <row r="460" spans="1:19" x14ac:dyDescent="0.2">
      <c r="A460">
        <v>34</v>
      </c>
      <c r="B460" t="s">
        <v>1302</v>
      </c>
      <c r="C460" t="s">
        <v>237</v>
      </c>
      <c r="D460" t="s">
        <v>1303</v>
      </c>
      <c r="E460" s="5" t="s">
        <v>73</v>
      </c>
      <c r="F460" t="s">
        <v>74</v>
      </c>
      <c r="G460">
        <v>32.093438590230903</v>
      </c>
      <c r="H460">
        <v>34.767717357132298</v>
      </c>
      <c r="I460">
        <f t="shared" si="28"/>
        <v>2019</v>
      </c>
      <c r="J460">
        <f t="shared" si="29"/>
        <v>27</v>
      </c>
      <c r="K460" s="2">
        <v>43650</v>
      </c>
      <c r="L460" s="2" t="s">
        <v>23</v>
      </c>
      <c r="M460" t="s">
        <v>1304</v>
      </c>
      <c r="N460" t="s">
        <v>1305</v>
      </c>
      <c r="P460">
        <v>1</v>
      </c>
      <c r="R460">
        <f t="shared" si="30"/>
        <v>51</v>
      </c>
      <c r="S460">
        <f t="shared" si="31"/>
        <v>6</v>
      </c>
    </row>
    <row r="461" spans="1:19" x14ac:dyDescent="0.2">
      <c r="A461" t="s">
        <v>1324</v>
      </c>
      <c r="B461" t="s">
        <v>1325</v>
      </c>
      <c r="C461" t="s">
        <v>237</v>
      </c>
      <c r="D461" t="s">
        <v>546</v>
      </c>
      <c r="I461">
        <f t="shared" si="28"/>
        <v>2019</v>
      </c>
      <c r="J461">
        <f t="shared" si="29"/>
        <v>27</v>
      </c>
      <c r="K461" s="2">
        <v>43650</v>
      </c>
      <c r="L461" s="2" t="s">
        <v>23</v>
      </c>
      <c r="M461" t="s">
        <v>1326</v>
      </c>
      <c r="N461" t="s">
        <v>548</v>
      </c>
      <c r="P461">
        <v>1</v>
      </c>
      <c r="R461">
        <f t="shared" si="30"/>
        <v>51</v>
      </c>
      <c r="S461">
        <f t="shared" si="31"/>
        <v>0</v>
      </c>
    </row>
    <row r="462" spans="1:19" x14ac:dyDescent="0.2">
      <c r="A462" s="12">
        <v>62</v>
      </c>
      <c r="B462" s="12" t="s">
        <v>1327</v>
      </c>
      <c r="C462" s="12" t="s">
        <v>555</v>
      </c>
      <c r="D462" s="13" t="s">
        <v>1328</v>
      </c>
      <c r="E462" s="13"/>
      <c r="F462" s="12"/>
      <c r="G462" s="12"/>
      <c r="H462" s="12"/>
      <c r="I462">
        <f t="shared" si="28"/>
        <v>2019</v>
      </c>
      <c r="J462">
        <f t="shared" si="29"/>
        <v>27</v>
      </c>
      <c r="K462" s="14">
        <v>43650</v>
      </c>
      <c r="L462" s="2" t="s">
        <v>23</v>
      </c>
      <c r="M462" s="13" t="s">
        <v>1329</v>
      </c>
      <c r="N462" s="12" t="s">
        <v>1330</v>
      </c>
      <c r="P462">
        <v>1</v>
      </c>
      <c r="R462">
        <f t="shared" si="30"/>
        <v>51</v>
      </c>
      <c r="S462">
        <f t="shared" si="31"/>
        <v>0</v>
      </c>
    </row>
    <row r="463" spans="1:19" x14ac:dyDescent="0.2">
      <c r="A463" s="12">
        <v>536</v>
      </c>
      <c r="B463" s="12" t="s">
        <v>1331</v>
      </c>
      <c r="C463" s="12" t="s">
        <v>1332</v>
      </c>
      <c r="D463" s="13" t="s">
        <v>1333</v>
      </c>
      <c r="E463" s="4" t="s">
        <v>21</v>
      </c>
      <c r="F463" s="12" t="s">
        <v>22</v>
      </c>
      <c r="G463" s="12"/>
      <c r="H463" s="12"/>
      <c r="I463">
        <f t="shared" si="28"/>
        <v>2019</v>
      </c>
      <c r="J463">
        <f t="shared" si="29"/>
        <v>27</v>
      </c>
      <c r="K463" s="14">
        <v>43650</v>
      </c>
      <c r="L463" s="2" t="s">
        <v>23</v>
      </c>
      <c r="M463" s="12" t="s">
        <v>1334</v>
      </c>
      <c r="N463" s="12" t="s">
        <v>1335</v>
      </c>
      <c r="P463">
        <v>1</v>
      </c>
      <c r="R463">
        <f t="shared" si="30"/>
        <v>51</v>
      </c>
      <c r="S463">
        <f t="shared" si="31"/>
        <v>18</v>
      </c>
    </row>
    <row r="464" spans="1:19" x14ac:dyDescent="0.2">
      <c r="A464" s="12">
        <v>169</v>
      </c>
      <c r="B464" s="12" t="s">
        <v>1336</v>
      </c>
      <c r="C464" s="12" t="s">
        <v>757</v>
      </c>
      <c r="D464" s="13" t="s">
        <v>1337</v>
      </c>
      <c r="E464" s="12" t="s">
        <v>29</v>
      </c>
      <c r="F464" s="12" t="s">
        <v>1338</v>
      </c>
      <c r="G464" s="12"/>
      <c r="H464" s="12"/>
      <c r="I464">
        <f t="shared" si="28"/>
        <v>2019</v>
      </c>
      <c r="J464">
        <f t="shared" si="29"/>
        <v>27</v>
      </c>
      <c r="K464" s="14">
        <v>43650</v>
      </c>
      <c r="L464" s="2" t="s">
        <v>23</v>
      </c>
      <c r="M464" s="12" t="s">
        <v>1339</v>
      </c>
      <c r="N464" s="12" t="s">
        <v>1340</v>
      </c>
      <c r="P464">
        <v>1</v>
      </c>
      <c r="R464">
        <f t="shared" si="30"/>
        <v>51</v>
      </c>
      <c r="S464">
        <f t="shared" si="31"/>
        <v>1</v>
      </c>
    </row>
    <row r="465" spans="1:19" x14ac:dyDescent="0.2">
      <c r="A465" s="12">
        <v>169</v>
      </c>
      <c r="B465" s="12" t="s">
        <v>1336</v>
      </c>
      <c r="C465" s="12" t="s">
        <v>757</v>
      </c>
      <c r="D465" s="13" t="s">
        <v>1337</v>
      </c>
      <c r="E465" s="5" t="s">
        <v>73</v>
      </c>
      <c r="F465" s="12" t="s">
        <v>1338</v>
      </c>
      <c r="G465" s="12"/>
      <c r="H465" s="12"/>
      <c r="I465">
        <f t="shared" si="28"/>
        <v>2019</v>
      </c>
      <c r="J465">
        <f t="shared" si="29"/>
        <v>27</v>
      </c>
      <c r="K465" s="14">
        <v>43650</v>
      </c>
      <c r="L465" s="2" t="s">
        <v>23</v>
      </c>
      <c r="M465" s="12" t="s">
        <v>1339</v>
      </c>
      <c r="N465" s="12" t="s">
        <v>1340</v>
      </c>
      <c r="P465">
        <v>1</v>
      </c>
      <c r="R465">
        <f t="shared" si="30"/>
        <v>51</v>
      </c>
      <c r="S465">
        <f t="shared" si="31"/>
        <v>6</v>
      </c>
    </row>
    <row r="466" spans="1:19" x14ac:dyDescent="0.2">
      <c r="A466" s="12">
        <v>169</v>
      </c>
      <c r="B466" s="12" t="s">
        <v>1336</v>
      </c>
      <c r="C466" s="12" t="s">
        <v>757</v>
      </c>
      <c r="D466" s="13" t="s">
        <v>1337</v>
      </c>
      <c r="E466" s="5" t="s">
        <v>47</v>
      </c>
      <c r="F466" s="12" t="s">
        <v>1338</v>
      </c>
      <c r="G466" s="12"/>
      <c r="H466" s="12"/>
      <c r="I466">
        <f t="shared" si="28"/>
        <v>2019</v>
      </c>
      <c r="J466">
        <f t="shared" si="29"/>
        <v>27</v>
      </c>
      <c r="K466" s="14">
        <v>43650</v>
      </c>
      <c r="L466" s="2" t="s">
        <v>23</v>
      </c>
      <c r="M466" s="12" t="s">
        <v>1339</v>
      </c>
      <c r="N466" s="12" t="s">
        <v>1340</v>
      </c>
      <c r="P466">
        <v>1</v>
      </c>
      <c r="R466">
        <f t="shared" si="30"/>
        <v>51</v>
      </c>
      <c r="S466">
        <f t="shared" si="31"/>
        <v>5</v>
      </c>
    </row>
    <row r="467" spans="1:19" x14ac:dyDescent="0.2">
      <c r="A467" s="12">
        <v>544</v>
      </c>
      <c r="B467" s="12" t="s">
        <v>1341</v>
      </c>
      <c r="C467" s="12" t="s">
        <v>757</v>
      </c>
      <c r="D467" s="13" t="s">
        <v>1342</v>
      </c>
      <c r="E467" s="4" t="s">
        <v>21</v>
      </c>
      <c r="F467" s="12" t="s">
        <v>22</v>
      </c>
      <c r="G467" s="12"/>
      <c r="H467" s="12"/>
      <c r="I467">
        <f t="shared" si="28"/>
        <v>2019</v>
      </c>
      <c r="J467">
        <f t="shared" si="29"/>
        <v>27</v>
      </c>
      <c r="K467" s="14">
        <v>43650</v>
      </c>
      <c r="L467" s="2" t="s">
        <v>23</v>
      </c>
      <c r="M467" s="12" t="s">
        <v>1343</v>
      </c>
      <c r="N467" s="12" t="s">
        <v>1344</v>
      </c>
      <c r="P467">
        <v>1</v>
      </c>
      <c r="R467">
        <f t="shared" si="30"/>
        <v>51</v>
      </c>
      <c r="S467">
        <f t="shared" si="31"/>
        <v>18</v>
      </c>
    </row>
    <row r="468" spans="1:19" x14ac:dyDescent="0.2">
      <c r="B468" t="s">
        <v>1345</v>
      </c>
      <c r="C468" t="s">
        <v>1346</v>
      </c>
      <c r="D468" t="s">
        <v>1347</v>
      </c>
      <c r="E468" s="4" t="s">
        <v>21</v>
      </c>
      <c r="F468" t="s">
        <v>64</v>
      </c>
      <c r="G468">
        <v>31.8169667122236</v>
      </c>
      <c r="H468">
        <v>34.639611775767101</v>
      </c>
      <c r="I468">
        <f t="shared" si="28"/>
        <v>2019</v>
      </c>
      <c r="J468">
        <f t="shared" si="29"/>
        <v>27</v>
      </c>
      <c r="K468" s="2">
        <v>43651</v>
      </c>
      <c r="L468" s="2" t="s">
        <v>23</v>
      </c>
      <c r="M468" t="s">
        <v>1348</v>
      </c>
      <c r="N468" t="s">
        <v>1349</v>
      </c>
      <c r="P468">
        <v>1</v>
      </c>
      <c r="R468">
        <f t="shared" si="30"/>
        <v>51</v>
      </c>
      <c r="S468">
        <f t="shared" si="31"/>
        <v>18</v>
      </c>
    </row>
    <row r="469" spans="1:19" x14ac:dyDescent="0.2">
      <c r="B469" t="s">
        <v>1345</v>
      </c>
      <c r="C469" t="s">
        <v>1346</v>
      </c>
      <c r="D469" t="s">
        <v>1347</v>
      </c>
      <c r="E469" s="4" t="s">
        <v>21</v>
      </c>
      <c r="F469" t="s">
        <v>22</v>
      </c>
      <c r="G469">
        <v>31.681438420965801</v>
      </c>
      <c r="H469">
        <v>34.554694789741902</v>
      </c>
      <c r="I469">
        <f t="shared" si="28"/>
        <v>2019</v>
      </c>
      <c r="J469">
        <f t="shared" si="29"/>
        <v>27</v>
      </c>
      <c r="K469" s="2">
        <v>43651</v>
      </c>
      <c r="L469" s="2" t="s">
        <v>23</v>
      </c>
      <c r="M469" t="s">
        <v>1348</v>
      </c>
      <c r="N469" t="s">
        <v>1349</v>
      </c>
      <c r="P469">
        <v>1</v>
      </c>
      <c r="R469">
        <f t="shared" si="30"/>
        <v>51</v>
      </c>
      <c r="S469">
        <f t="shared" si="31"/>
        <v>18</v>
      </c>
    </row>
    <row r="470" spans="1:19" x14ac:dyDescent="0.2">
      <c r="B470" t="s">
        <v>1345</v>
      </c>
      <c r="C470" t="s">
        <v>1346</v>
      </c>
      <c r="D470" t="s">
        <v>1347</v>
      </c>
      <c r="E470" s="5" t="s">
        <v>47</v>
      </c>
      <c r="F470" t="s">
        <v>243</v>
      </c>
      <c r="G470">
        <v>32.177466819907004</v>
      </c>
      <c r="H470">
        <v>34.801354466376203</v>
      </c>
      <c r="I470">
        <f t="shared" si="28"/>
        <v>2019</v>
      </c>
      <c r="J470">
        <f t="shared" si="29"/>
        <v>27</v>
      </c>
      <c r="K470" s="2">
        <v>43651</v>
      </c>
      <c r="L470" s="2" t="s">
        <v>23</v>
      </c>
      <c r="M470" t="s">
        <v>1348</v>
      </c>
      <c r="N470" t="s">
        <v>1349</v>
      </c>
      <c r="P470">
        <v>1</v>
      </c>
      <c r="R470">
        <f t="shared" si="30"/>
        <v>51</v>
      </c>
      <c r="S470">
        <f t="shared" si="31"/>
        <v>5</v>
      </c>
    </row>
    <row r="471" spans="1:19" x14ac:dyDescent="0.2">
      <c r="A471" s="9">
        <v>61</v>
      </c>
      <c r="B471" s="9" t="s">
        <v>1350</v>
      </c>
      <c r="C471" s="9" t="s">
        <v>1351</v>
      </c>
      <c r="D471" s="10" t="s">
        <v>1352</v>
      </c>
      <c r="E471" s="10"/>
      <c r="F471" s="9"/>
      <c r="G471" s="9"/>
      <c r="H471" s="9"/>
      <c r="I471">
        <f t="shared" si="28"/>
        <v>2019</v>
      </c>
      <c r="J471">
        <f t="shared" si="29"/>
        <v>27</v>
      </c>
      <c r="K471" s="11">
        <v>43651</v>
      </c>
      <c r="L471" s="2" t="s">
        <v>23</v>
      </c>
      <c r="M471" s="9" t="s">
        <v>1353</v>
      </c>
      <c r="N471" s="9" t="s">
        <v>1354</v>
      </c>
      <c r="P471">
        <v>1</v>
      </c>
      <c r="R471">
        <f t="shared" si="30"/>
        <v>51</v>
      </c>
      <c r="S471">
        <f t="shared" si="31"/>
        <v>0</v>
      </c>
    </row>
    <row r="472" spans="1:19" x14ac:dyDescent="0.2">
      <c r="A472" s="9">
        <v>89</v>
      </c>
      <c r="B472" s="9" t="s">
        <v>1355</v>
      </c>
      <c r="C472" s="9" t="s">
        <v>1356</v>
      </c>
      <c r="D472" s="10" t="s">
        <v>1357</v>
      </c>
      <c r="E472" s="10"/>
      <c r="F472" s="9"/>
      <c r="G472" s="9"/>
      <c r="H472" s="9"/>
      <c r="I472">
        <f t="shared" si="28"/>
        <v>2019</v>
      </c>
      <c r="J472">
        <f t="shared" si="29"/>
        <v>27</v>
      </c>
      <c r="K472" s="11">
        <v>43651</v>
      </c>
      <c r="L472" s="2" t="s">
        <v>23</v>
      </c>
      <c r="M472" s="9" t="s">
        <v>1358</v>
      </c>
      <c r="N472" s="9" t="s">
        <v>1359</v>
      </c>
      <c r="P472">
        <v>1</v>
      </c>
      <c r="R472">
        <f t="shared" si="30"/>
        <v>51</v>
      </c>
      <c r="S472">
        <f t="shared" si="31"/>
        <v>0</v>
      </c>
    </row>
    <row r="473" spans="1:19" x14ac:dyDescent="0.2">
      <c r="A473" s="12">
        <v>238</v>
      </c>
      <c r="B473" s="12" t="s">
        <v>1360</v>
      </c>
      <c r="C473" s="12" t="s">
        <v>1361</v>
      </c>
      <c r="D473" s="13" t="s">
        <v>1362</v>
      </c>
      <c r="E473" s="13"/>
      <c r="F473" s="12"/>
      <c r="G473" s="12"/>
      <c r="H473" s="12"/>
      <c r="I473">
        <f t="shared" si="28"/>
        <v>2019</v>
      </c>
      <c r="J473">
        <f t="shared" si="29"/>
        <v>27</v>
      </c>
      <c r="K473" s="14">
        <v>43651</v>
      </c>
      <c r="L473" s="2" t="s">
        <v>23</v>
      </c>
      <c r="M473" s="12" t="s">
        <v>1363</v>
      </c>
      <c r="N473" s="12" t="s">
        <v>1364</v>
      </c>
      <c r="P473">
        <v>1</v>
      </c>
      <c r="R473">
        <f t="shared" si="30"/>
        <v>51</v>
      </c>
      <c r="S473">
        <f t="shared" si="31"/>
        <v>0</v>
      </c>
    </row>
    <row r="474" spans="1:19" x14ac:dyDescent="0.2">
      <c r="A474" s="12">
        <v>442</v>
      </c>
      <c r="B474" s="12" t="s">
        <v>1365</v>
      </c>
      <c r="C474" s="12" t="s">
        <v>321</v>
      </c>
      <c r="D474" s="13" t="s">
        <v>1366</v>
      </c>
      <c r="E474" s="13"/>
      <c r="F474" s="12"/>
      <c r="G474" s="12"/>
      <c r="H474" s="12"/>
      <c r="I474">
        <f t="shared" si="28"/>
        <v>2019</v>
      </c>
      <c r="J474">
        <f t="shared" si="29"/>
        <v>27</v>
      </c>
      <c r="K474" s="14">
        <v>43651</v>
      </c>
      <c r="L474" s="2" t="s">
        <v>23</v>
      </c>
      <c r="M474" s="12" t="s">
        <v>1367</v>
      </c>
      <c r="N474" s="12" t="s">
        <v>1368</v>
      </c>
      <c r="P474">
        <v>1</v>
      </c>
      <c r="R474">
        <f t="shared" si="30"/>
        <v>51</v>
      </c>
      <c r="S474">
        <f t="shared" si="31"/>
        <v>0</v>
      </c>
    </row>
    <row r="475" spans="1:19" x14ac:dyDescent="0.2">
      <c r="A475" s="12">
        <v>116</v>
      </c>
      <c r="B475" s="12" t="s">
        <v>1369</v>
      </c>
      <c r="C475" s="12" t="s">
        <v>223</v>
      </c>
      <c r="D475" s="13" t="s">
        <v>1370</v>
      </c>
      <c r="E475" s="4" t="s">
        <v>21</v>
      </c>
      <c r="F475" s="12" t="s">
        <v>22</v>
      </c>
      <c r="G475" s="12"/>
      <c r="H475" s="12"/>
      <c r="I475">
        <f t="shared" si="28"/>
        <v>2019</v>
      </c>
      <c r="J475">
        <f t="shared" si="29"/>
        <v>27</v>
      </c>
      <c r="K475" s="14">
        <v>43651</v>
      </c>
      <c r="L475" s="2" t="s">
        <v>23</v>
      </c>
      <c r="M475" s="12" t="s">
        <v>1371</v>
      </c>
      <c r="N475" s="12" t="s">
        <v>1372</v>
      </c>
      <c r="P475">
        <v>1</v>
      </c>
      <c r="R475">
        <f t="shared" si="30"/>
        <v>51</v>
      </c>
      <c r="S475">
        <f t="shared" si="31"/>
        <v>18</v>
      </c>
    </row>
    <row r="476" spans="1:19" x14ac:dyDescent="0.2">
      <c r="A476" s="12">
        <v>271</v>
      </c>
      <c r="B476" s="12" t="s">
        <v>1373</v>
      </c>
      <c r="C476" s="12" t="s">
        <v>1374</v>
      </c>
      <c r="D476" s="13" t="s">
        <v>1375</v>
      </c>
      <c r="E476" s="13"/>
      <c r="F476" s="12"/>
      <c r="G476" s="12"/>
      <c r="H476" s="12"/>
      <c r="I476">
        <f t="shared" si="28"/>
        <v>2019</v>
      </c>
      <c r="J476">
        <f t="shared" si="29"/>
        <v>27</v>
      </c>
      <c r="K476" s="14">
        <v>43651</v>
      </c>
      <c r="L476" s="2" t="s">
        <v>23</v>
      </c>
      <c r="M476" s="12" t="s">
        <v>1376</v>
      </c>
      <c r="N476" s="12" t="s">
        <v>1377</v>
      </c>
      <c r="P476">
        <v>1</v>
      </c>
      <c r="R476">
        <f t="shared" si="30"/>
        <v>51</v>
      </c>
      <c r="S476">
        <f t="shared" si="31"/>
        <v>0</v>
      </c>
    </row>
    <row r="477" spans="1:19" x14ac:dyDescent="0.2">
      <c r="A477">
        <v>123</v>
      </c>
      <c r="B477" t="s">
        <v>1378</v>
      </c>
      <c r="C477" t="s">
        <v>19</v>
      </c>
      <c r="D477" t="s">
        <v>1379</v>
      </c>
      <c r="F477" t="s">
        <v>150</v>
      </c>
      <c r="G477">
        <v>33.045236837092403</v>
      </c>
      <c r="H477">
        <v>35.1004249845763</v>
      </c>
      <c r="I477">
        <f t="shared" si="28"/>
        <v>2019</v>
      </c>
      <c r="J477">
        <f t="shared" si="29"/>
        <v>27</v>
      </c>
      <c r="K477" s="2">
        <v>43652</v>
      </c>
      <c r="L477" s="2" t="s">
        <v>23</v>
      </c>
      <c r="M477" t="s">
        <v>1380</v>
      </c>
      <c r="N477" t="s">
        <v>1381</v>
      </c>
      <c r="P477">
        <v>1</v>
      </c>
      <c r="R477">
        <f t="shared" si="30"/>
        <v>51</v>
      </c>
      <c r="S477">
        <f t="shared" si="31"/>
        <v>0</v>
      </c>
    </row>
    <row r="478" spans="1:19" x14ac:dyDescent="0.2">
      <c r="A478">
        <v>97</v>
      </c>
      <c r="B478" t="s">
        <v>1382</v>
      </c>
      <c r="C478" t="s">
        <v>1383</v>
      </c>
      <c r="D478" t="s">
        <v>1384</v>
      </c>
      <c r="E478" s="4" t="s">
        <v>21</v>
      </c>
      <c r="F478" t="s">
        <v>64</v>
      </c>
      <c r="G478">
        <v>31.8169667122236</v>
      </c>
      <c r="H478">
        <v>34.639611775767101</v>
      </c>
      <c r="I478">
        <f t="shared" si="28"/>
        <v>2019</v>
      </c>
      <c r="J478">
        <f t="shared" si="29"/>
        <v>27</v>
      </c>
      <c r="K478" s="2">
        <v>43652</v>
      </c>
      <c r="L478" s="2" t="s">
        <v>23</v>
      </c>
      <c r="M478" t="s">
        <v>1385</v>
      </c>
      <c r="N478" t="s">
        <v>1386</v>
      </c>
      <c r="P478">
        <v>1</v>
      </c>
      <c r="R478">
        <f t="shared" si="30"/>
        <v>51</v>
      </c>
      <c r="S478">
        <f t="shared" si="31"/>
        <v>18</v>
      </c>
    </row>
    <row r="479" spans="1:19" x14ac:dyDescent="0.2">
      <c r="B479" t="s">
        <v>1387</v>
      </c>
      <c r="C479" t="s">
        <v>1388</v>
      </c>
      <c r="D479" t="s">
        <v>1389</v>
      </c>
      <c r="E479" s="4" t="s">
        <v>21</v>
      </c>
      <c r="F479" t="s">
        <v>22</v>
      </c>
      <c r="G479">
        <v>31.681438420965801</v>
      </c>
      <c r="H479">
        <v>34.554694789741902</v>
      </c>
      <c r="I479">
        <f t="shared" si="28"/>
        <v>2019</v>
      </c>
      <c r="J479">
        <f t="shared" si="29"/>
        <v>27</v>
      </c>
      <c r="K479" s="2">
        <v>43652</v>
      </c>
      <c r="L479" s="2" t="s">
        <v>23</v>
      </c>
      <c r="M479" t="s">
        <v>1390</v>
      </c>
      <c r="N479" t="s">
        <v>1391</v>
      </c>
      <c r="P479">
        <v>1</v>
      </c>
      <c r="R479">
        <f t="shared" si="30"/>
        <v>51</v>
      </c>
      <c r="S479">
        <f t="shared" si="31"/>
        <v>18</v>
      </c>
    </row>
    <row r="480" spans="1:19" x14ac:dyDescent="0.2">
      <c r="A480">
        <v>160</v>
      </c>
      <c r="B480" t="s">
        <v>1392</v>
      </c>
      <c r="C480" t="s">
        <v>19</v>
      </c>
      <c r="D480" t="s">
        <v>1393</v>
      </c>
      <c r="E480" s="5" t="s">
        <v>73</v>
      </c>
      <c r="F480" t="s">
        <v>74</v>
      </c>
      <c r="G480">
        <v>32.093438590230903</v>
      </c>
      <c r="H480">
        <v>34.767717357132298</v>
      </c>
      <c r="I480">
        <f t="shared" si="28"/>
        <v>2019</v>
      </c>
      <c r="J480">
        <f t="shared" si="29"/>
        <v>27</v>
      </c>
      <c r="K480" s="2">
        <v>43652</v>
      </c>
      <c r="L480" s="2" t="s">
        <v>23</v>
      </c>
      <c r="M480" t="s">
        <v>1394</v>
      </c>
      <c r="N480" t="s">
        <v>1395</v>
      </c>
      <c r="P480">
        <v>1</v>
      </c>
      <c r="R480">
        <f t="shared" si="30"/>
        <v>51</v>
      </c>
      <c r="S480">
        <f t="shared" si="31"/>
        <v>6</v>
      </c>
    </row>
    <row r="481" spans="1:19" x14ac:dyDescent="0.2">
      <c r="A481">
        <v>117</v>
      </c>
      <c r="B481" t="s">
        <v>1396</v>
      </c>
      <c r="C481" t="s">
        <v>1397</v>
      </c>
      <c r="D481" t="s">
        <v>1398</v>
      </c>
      <c r="E481" s="5" t="s">
        <v>73</v>
      </c>
      <c r="F481" t="s">
        <v>74</v>
      </c>
      <c r="G481">
        <v>32.093438590230903</v>
      </c>
      <c r="H481">
        <v>34.767717357132298</v>
      </c>
      <c r="I481">
        <f t="shared" si="28"/>
        <v>2019</v>
      </c>
      <c r="J481">
        <f t="shared" si="29"/>
        <v>27</v>
      </c>
      <c r="K481" s="2">
        <v>43652</v>
      </c>
      <c r="L481" s="2" t="s">
        <v>23</v>
      </c>
      <c r="M481" t="s">
        <v>1399</v>
      </c>
      <c r="N481" t="s">
        <v>1400</v>
      </c>
      <c r="P481">
        <v>1</v>
      </c>
      <c r="R481">
        <f t="shared" si="30"/>
        <v>51</v>
      </c>
      <c r="S481">
        <f t="shared" si="31"/>
        <v>6</v>
      </c>
    </row>
    <row r="482" spans="1:19" x14ac:dyDescent="0.2">
      <c r="A482"/>
      <c r="B482" t="s">
        <v>1401</v>
      </c>
      <c r="C482" t="s">
        <v>1388</v>
      </c>
      <c r="D482" t="s">
        <v>1389</v>
      </c>
      <c r="I482">
        <f t="shared" si="28"/>
        <v>2019</v>
      </c>
      <c r="J482">
        <f t="shared" si="29"/>
        <v>27</v>
      </c>
      <c r="K482" s="2">
        <v>43652</v>
      </c>
      <c r="L482" s="2" t="s">
        <v>23</v>
      </c>
      <c r="M482" t="s">
        <v>1402</v>
      </c>
      <c r="N482" t="s">
        <v>1403</v>
      </c>
      <c r="P482">
        <v>1</v>
      </c>
      <c r="R482">
        <f t="shared" si="30"/>
        <v>51</v>
      </c>
      <c r="S482">
        <f t="shared" si="31"/>
        <v>0</v>
      </c>
    </row>
    <row r="483" spans="1:19" x14ac:dyDescent="0.2">
      <c r="A483" s="12">
        <v>361</v>
      </c>
      <c r="B483" s="12" t="s">
        <v>1404</v>
      </c>
      <c r="C483" s="12" t="s">
        <v>1405</v>
      </c>
      <c r="D483" s="13" t="s">
        <v>1406</v>
      </c>
      <c r="E483" s="13"/>
      <c r="F483" s="12"/>
      <c r="G483" s="12"/>
      <c r="H483" s="12"/>
      <c r="I483">
        <f t="shared" si="28"/>
        <v>2019</v>
      </c>
      <c r="J483">
        <f t="shared" si="29"/>
        <v>27</v>
      </c>
      <c r="K483" s="14">
        <v>43652</v>
      </c>
      <c r="L483" s="2" t="s">
        <v>23</v>
      </c>
      <c r="M483" s="12" t="s">
        <v>1407</v>
      </c>
      <c r="N483" s="12" t="s">
        <v>1408</v>
      </c>
      <c r="P483">
        <v>1</v>
      </c>
      <c r="R483">
        <f t="shared" si="30"/>
        <v>51</v>
      </c>
      <c r="S483">
        <f t="shared" si="31"/>
        <v>0</v>
      </c>
    </row>
    <row r="484" spans="1:19" x14ac:dyDescent="0.2">
      <c r="A484" s="9">
        <v>198</v>
      </c>
      <c r="B484" s="9" t="s">
        <v>1409</v>
      </c>
      <c r="C484" s="9" t="s">
        <v>1410</v>
      </c>
      <c r="D484" s="10" t="s">
        <v>1411</v>
      </c>
      <c r="E484" s="10"/>
      <c r="F484" s="9"/>
      <c r="G484" s="9"/>
      <c r="H484" s="9"/>
      <c r="I484">
        <f t="shared" si="28"/>
        <v>2019</v>
      </c>
      <c r="J484">
        <f t="shared" si="29"/>
        <v>27</v>
      </c>
      <c r="K484" s="11">
        <v>43652</v>
      </c>
      <c r="L484" s="2" t="s">
        <v>23</v>
      </c>
      <c r="M484" s="9" t="s">
        <v>1412</v>
      </c>
      <c r="N484" s="9" t="s">
        <v>1413</v>
      </c>
      <c r="P484">
        <v>1</v>
      </c>
      <c r="R484">
        <f t="shared" si="30"/>
        <v>51</v>
      </c>
      <c r="S484">
        <f t="shared" si="31"/>
        <v>0</v>
      </c>
    </row>
    <row r="485" spans="1:19" x14ac:dyDescent="0.2">
      <c r="A485" s="9">
        <v>147</v>
      </c>
      <c r="B485" s="9" t="s">
        <v>1414</v>
      </c>
      <c r="C485" s="9" t="s">
        <v>19</v>
      </c>
      <c r="D485" s="10" t="s">
        <v>1415</v>
      </c>
      <c r="E485" s="10"/>
      <c r="F485" s="9"/>
      <c r="G485" s="9"/>
      <c r="H485" s="9"/>
      <c r="I485">
        <f t="shared" si="28"/>
        <v>2019</v>
      </c>
      <c r="J485">
        <f t="shared" si="29"/>
        <v>27</v>
      </c>
      <c r="K485" s="11">
        <v>43652</v>
      </c>
      <c r="L485" s="2" t="s">
        <v>23</v>
      </c>
      <c r="M485" s="9" t="s">
        <v>1416</v>
      </c>
      <c r="N485" s="9" t="s">
        <v>1417</v>
      </c>
      <c r="P485">
        <v>1</v>
      </c>
      <c r="R485">
        <f t="shared" si="30"/>
        <v>51</v>
      </c>
      <c r="S485">
        <f t="shared" si="31"/>
        <v>0</v>
      </c>
    </row>
    <row r="486" spans="1:19" x14ac:dyDescent="0.2">
      <c r="A486" s="1">
        <v>8</v>
      </c>
      <c r="B486" t="s">
        <v>1418</v>
      </c>
      <c r="C486" t="s">
        <v>1419</v>
      </c>
      <c r="D486" t="s">
        <v>1420</v>
      </c>
      <c r="E486" s="4" t="s">
        <v>21</v>
      </c>
      <c r="F486" t="s">
        <v>70</v>
      </c>
      <c r="G486">
        <v>32.002493003827801</v>
      </c>
      <c r="H486">
        <v>34.731694234364099</v>
      </c>
      <c r="I486">
        <f t="shared" si="28"/>
        <v>2019</v>
      </c>
      <c r="J486">
        <f t="shared" si="29"/>
        <v>28</v>
      </c>
      <c r="K486" s="2">
        <v>43653</v>
      </c>
      <c r="L486" s="2" t="s">
        <v>23</v>
      </c>
      <c r="M486" t="s">
        <v>1421</v>
      </c>
      <c r="N486" t="s">
        <v>1422</v>
      </c>
      <c r="P486">
        <v>1</v>
      </c>
      <c r="R486">
        <f t="shared" si="30"/>
        <v>33</v>
      </c>
      <c r="S486">
        <f t="shared" si="31"/>
        <v>7</v>
      </c>
    </row>
    <row r="487" spans="1:19" x14ac:dyDescent="0.2">
      <c r="A487">
        <v>31</v>
      </c>
      <c r="B487" t="s">
        <v>1423</v>
      </c>
      <c r="C487" t="s">
        <v>752</v>
      </c>
      <c r="D487" t="s">
        <v>1424</v>
      </c>
      <c r="E487" s="4" t="s">
        <v>21</v>
      </c>
      <c r="F487" t="s">
        <v>64</v>
      </c>
      <c r="G487">
        <v>31.8169667122236</v>
      </c>
      <c r="H487">
        <v>34.639611775767101</v>
      </c>
      <c r="I487">
        <f t="shared" si="28"/>
        <v>2019</v>
      </c>
      <c r="J487">
        <f t="shared" si="29"/>
        <v>28</v>
      </c>
      <c r="K487" s="2">
        <v>43653</v>
      </c>
      <c r="L487" s="2" t="s">
        <v>23</v>
      </c>
      <c r="M487" t="s">
        <v>1425</v>
      </c>
      <c r="N487" t="s">
        <v>1426</v>
      </c>
      <c r="P487">
        <v>1</v>
      </c>
      <c r="R487">
        <f t="shared" si="30"/>
        <v>33</v>
      </c>
      <c r="S487">
        <f t="shared" si="31"/>
        <v>7</v>
      </c>
    </row>
    <row r="488" spans="1:19" x14ac:dyDescent="0.2">
      <c r="A488">
        <v>94</v>
      </c>
      <c r="B488" t="s">
        <v>1427</v>
      </c>
      <c r="C488" t="s">
        <v>1428</v>
      </c>
      <c r="D488" t="s">
        <v>1429</v>
      </c>
      <c r="F488" t="s">
        <v>242</v>
      </c>
      <c r="G488">
        <v>32.023220011216303</v>
      </c>
      <c r="H488">
        <v>34.738647655010197</v>
      </c>
      <c r="I488">
        <f t="shared" si="28"/>
        <v>2019</v>
      </c>
      <c r="J488">
        <f t="shared" si="29"/>
        <v>28</v>
      </c>
      <c r="K488" s="2">
        <v>43653</v>
      </c>
      <c r="L488" s="2" t="s">
        <v>23</v>
      </c>
      <c r="M488" t="s">
        <v>1430</v>
      </c>
      <c r="N488" t="s">
        <v>1431</v>
      </c>
      <c r="P488">
        <v>1</v>
      </c>
      <c r="R488">
        <f t="shared" si="30"/>
        <v>33</v>
      </c>
      <c r="S488">
        <f t="shared" si="31"/>
        <v>0</v>
      </c>
    </row>
    <row r="489" spans="1:19" x14ac:dyDescent="0.2">
      <c r="A489">
        <v>349</v>
      </c>
      <c r="B489" t="s">
        <v>1432</v>
      </c>
      <c r="C489" t="s">
        <v>1433</v>
      </c>
      <c r="D489" t="s">
        <v>1434</v>
      </c>
      <c r="E489" s="5" t="s">
        <v>47</v>
      </c>
      <c r="F489" t="s">
        <v>75</v>
      </c>
      <c r="G489">
        <v>32.439273327223297</v>
      </c>
      <c r="H489">
        <v>34.878068554773698</v>
      </c>
      <c r="I489">
        <f t="shared" si="28"/>
        <v>2019</v>
      </c>
      <c r="J489">
        <f t="shared" si="29"/>
        <v>28</v>
      </c>
      <c r="K489" s="2">
        <v>43653</v>
      </c>
      <c r="L489" s="2" t="s">
        <v>23</v>
      </c>
      <c r="M489" t="s">
        <v>1435</v>
      </c>
      <c r="N489" t="s">
        <v>1436</v>
      </c>
      <c r="P489">
        <v>1</v>
      </c>
      <c r="R489">
        <f t="shared" si="30"/>
        <v>33</v>
      </c>
      <c r="S489">
        <f t="shared" si="31"/>
        <v>4</v>
      </c>
    </row>
    <row r="490" spans="1:19" x14ac:dyDescent="0.2">
      <c r="A490">
        <v>22</v>
      </c>
      <c r="B490" t="s">
        <v>1437</v>
      </c>
      <c r="C490" t="s">
        <v>1438</v>
      </c>
      <c r="D490" t="s">
        <v>1439</v>
      </c>
      <c r="E490" s="5" t="s">
        <v>47</v>
      </c>
      <c r="F490" t="s">
        <v>243</v>
      </c>
      <c r="G490">
        <v>32.177466819907004</v>
      </c>
      <c r="H490">
        <v>34.801354466376203</v>
      </c>
      <c r="I490">
        <f t="shared" si="28"/>
        <v>2019</v>
      </c>
      <c r="J490">
        <f t="shared" si="29"/>
        <v>28</v>
      </c>
      <c r="K490" s="2">
        <v>43653</v>
      </c>
      <c r="L490" s="2" t="s">
        <v>23</v>
      </c>
      <c r="M490" t="s">
        <v>1440</v>
      </c>
      <c r="N490" t="s">
        <v>1441</v>
      </c>
      <c r="P490">
        <v>1</v>
      </c>
      <c r="R490">
        <f t="shared" si="30"/>
        <v>33</v>
      </c>
      <c r="S490">
        <f t="shared" si="31"/>
        <v>4</v>
      </c>
    </row>
    <row r="491" spans="1:19" x14ac:dyDescent="0.2">
      <c r="A491" s="12">
        <v>136</v>
      </c>
      <c r="B491" s="12" t="s">
        <v>1442</v>
      </c>
      <c r="C491" s="12" t="s">
        <v>1443</v>
      </c>
      <c r="D491" s="13" t="s">
        <v>1444</v>
      </c>
      <c r="E491" s="4" t="s">
        <v>21</v>
      </c>
      <c r="F491" s="12" t="s">
        <v>1445</v>
      </c>
      <c r="G491" s="12"/>
      <c r="H491" s="12"/>
      <c r="I491">
        <f t="shared" si="28"/>
        <v>2019</v>
      </c>
      <c r="J491">
        <f t="shared" si="29"/>
        <v>28</v>
      </c>
      <c r="K491" s="14">
        <v>43653</v>
      </c>
      <c r="L491" s="2" t="s">
        <v>23</v>
      </c>
      <c r="M491" s="12" t="s">
        <v>1446</v>
      </c>
      <c r="N491" s="12" t="s">
        <v>1447</v>
      </c>
      <c r="P491">
        <v>1</v>
      </c>
      <c r="R491">
        <f t="shared" si="30"/>
        <v>33</v>
      </c>
      <c r="S491">
        <f t="shared" si="31"/>
        <v>7</v>
      </c>
    </row>
    <row r="492" spans="1:19" x14ac:dyDescent="0.2">
      <c r="A492" s="9">
        <v>206</v>
      </c>
      <c r="B492" s="9" t="s">
        <v>1448</v>
      </c>
      <c r="C492" s="9" t="s">
        <v>757</v>
      </c>
      <c r="D492" s="10" t="s">
        <v>1449</v>
      </c>
      <c r="E492" s="4" t="s">
        <v>21</v>
      </c>
      <c r="F492" s="9" t="s">
        <v>1445</v>
      </c>
      <c r="G492" s="9"/>
      <c r="H492" s="9"/>
      <c r="I492">
        <f t="shared" si="28"/>
        <v>2019</v>
      </c>
      <c r="J492">
        <f t="shared" si="29"/>
        <v>28</v>
      </c>
      <c r="K492" s="11">
        <v>43653</v>
      </c>
      <c r="L492" s="2" t="s">
        <v>23</v>
      </c>
      <c r="M492" s="9" t="s">
        <v>1450</v>
      </c>
      <c r="N492" s="9" t="s">
        <v>1447</v>
      </c>
      <c r="P492">
        <v>1</v>
      </c>
      <c r="R492">
        <f t="shared" si="30"/>
        <v>33</v>
      </c>
      <c r="S492">
        <f t="shared" si="31"/>
        <v>7</v>
      </c>
    </row>
    <row r="493" spans="1:19" x14ac:dyDescent="0.2">
      <c r="A493">
        <v>512</v>
      </c>
      <c r="B493" t="s">
        <v>1451</v>
      </c>
      <c r="C493" t="s">
        <v>1452</v>
      </c>
      <c r="D493" t="s">
        <v>1453</v>
      </c>
      <c r="E493" s="4" t="s">
        <v>21</v>
      </c>
      <c r="F493" t="s">
        <v>70</v>
      </c>
      <c r="G493">
        <v>32.002493003827801</v>
      </c>
      <c r="H493">
        <v>34.731694234364099</v>
      </c>
      <c r="I493">
        <f t="shared" si="28"/>
        <v>2019</v>
      </c>
      <c r="J493">
        <f t="shared" si="29"/>
        <v>28</v>
      </c>
      <c r="K493" s="2">
        <v>43654</v>
      </c>
      <c r="L493" s="2" t="s">
        <v>23</v>
      </c>
      <c r="M493" t="s">
        <v>1454</v>
      </c>
      <c r="N493" t="s">
        <v>1455</v>
      </c>
      <c r="P493">
        <v>1</v>
      </c>
      <c r="R493">
        <f t="shared" si="30"/>
        <v>33</v>
      </c>
      <c r="S493">
        <f t="shared" si="31"/>
        <v>7</v>
      </c>
    </row>
    <row r="494" spans="1:19" x14ac:dyDescent="0.2">
      <c r="A494">
        <v>15</v>
      </c>
      <c r="B494" t="s">
        <v>1456</v>
      </c>
      <c r="C494" t="s">
        <v>1457</v>
      </c>
      <c r="D494" t="s">
        <v>1458</v>
      </c>
      <c r="E494" s="5" t="s">
        <v>73</v>
      </c>
      <c r="F494" t="s">
        <v>74</v>
      </c>
      <c r="G494">
        <v>32.093438590230903</v>
      </c>
      <c r="H494">
        <v>34.767717357132298</v>
      </c>
      <c r="I494">
        <f t="shared" si="28"/>
        <v>2019</v>
      </c>
      <c r="J494">
        <f t="shared" si="29"/>
        <v>28</v>
      </c>
      <c r="K494" s="2">
        <v>43654</v>
      </c>
      <c r="L494" s="2" t="s">
        <v>23</v>
      </c>
      <c r="M494" t="s">
        <v>1459</v>
      </c>
      <c r="N494" t="s">
        <v>1460</v>
      </c>
      <c r="P494">
        <v>1</v>
      </c>
      <c r="R494">
        <f t="shared" si="30"/>
        <v>33</v>
      </c>
      <c r="S494">
        <f t="shared" si="31"/>
        <v>3</v>
      </c>
    </row>
    <row r="495" spans="1:19" x14ac:dyDescent="0.2">
      <c r="A495">
        <v>551</v>
      </c>
      <c r="B495" t="s">
        <v>1461</v>
      </c>
      <c r="C495" t="s">
        <v>1452</v>
      </c>
      <c r="D495" t="s">
        <v>1453</v>
      </c>
      <c r="I495">
        <f t="shared" si="28"/>
        <v>2019</v>
      </c>
      <c r="J495">
        <f t="shared" si="29"/>
        <v>28</v>
      </c>
      <c r="K495" s="2">
        <v>43654</v>
      </c>
      <c r="L495" s="2" t="s">
        <v>23</v>
      </c>
      <c r="M495" t="s">
        <v>1462</v>
      </c>
      <c r="N495" t="s">
        <v>1455</v>
      </c>
      <c r="P495">
        <v>1</v>
      </c>
      <c r="R495">
        <f t="shared" si="30"/>
        <v>33</v>
      </c>
      <c r="S495">
        <f t="shared" si="31"/>
        <v>0</v>
      </c>
    </row>
    <row r="496" spans="1:19" x14ac:dyDescent="0.2">
      <c r="A496" s="12">
        <v>464</v>
      </c>
      <c r="B496" s="12" t="s">
        <v>1463</v>
      </c>
      <c r="C496" s="12" t="s">
        <v>321</v>
      </c>
      <c r="D496" s="13" t="s">
        <v>1464</v>
      </c>
      <c r="E496" s="12" t="s">
        <v>29</v>
      </c>
      <c r="F496" s="12" t="s">
        <v>1465</v>
      </c>
      <c r="G496" s="12"/>
      <c r="H496" s="12"/>
      <c r="I496">
        <f t="shared" si="28"/>
        <v>2019</v>
      </c>
      <c r="J496">
        <f t="shared" si="29"/>
        <v>28</v>
      </c>
      <c r="K496" s="14">
        <v>43654</v>
      </c>
      <c r="L496" s="2" t="s">
        <v>23</v>
      </c>
      <c r="M496" s="12" t="s">
        <v>1466</v>
      </c>
      <c r="N496" s="12" t="s">
        <v>1467</v>
      </c>
      <c r="P496">
        <v>1</v>
      </c>
      <c r="R496">
        <f t="shared" si="30"/>
        <v>33</v>
      </c>
      <c r="S496">
        <f t="shared" si="31"/>
        <v>1</v>
      </c>
    </row>
    <row r="497" spans="1:19" x14ac:dyDescent="0.2">
      <c r="A497" s="12">
        <v>464</v>
      </c>
      <c r="B497" s="12" t="s">
        <v>1463</v>
      </c>
      <c r="C497" s="12" t="s">
        <v>321</v>
      </c>
      <c r="D497" s="13" t="s">
        <v>1464</v>
      </c>
      <c r="E497" s="5" t="s">
        <v>73</v>
      </c>
      <c r="F497" s="12" t="s">
        <v>1465</v>
      </c>
      <c r="G497" s="12"/>
      <c r="H497" s="12"/>
      <c r="I497">
        <f t="shared" si="28"/>
        <v>2019</v>
      </c>
      <c r="J497">
        <f t="shared" si="29"/>
        <v>28</v>
      </c>
      <c r="K497" s="14">
        <v>43654</v>
      </c>
      <c r="L497" s="2" t="s">
        <v>23</v>
      </c>
      <c r="M497" s="12" t="s">
        <v>1466</v>
      </c>
      <c r="N497" s="12" t="s">
        <v>1467</v>
      </c>
      <c r="P497">
        <v>1</v>
      </c>
      <c r="R497">
        <f t="shared" si="30"/>
        <v>33</v>
      </c>
      <c r="S497">
        <f t="shared" si="31"/>
        <v>3</v>
      </c>
    </row>
    <row r="498" spans="1:19" x14ac:dyDescent="0.2">
      <c r="A498" s="12">
        <v>464</v>
      </c>
      <c r="B498" s="12" t="s">
        <v>1463</v>
      </c>
      <c r="C498" s="12" t="s">
        <v>321</v>
      </c>
      <c r="D498" s="13" t="s">
        <v>1464</v>
      </c>
      <c r="E498" s="5" t="s">
        <v>100</v>
      </c>
      <c r="F498" s="12" t="s">
        <v>1465</v>
      </c>
      <c r="G498" s="12"/>
      <c r="H498" s="12"/>
      <c r="I498">
        <f t="shared" si="28"/>
        <v>2019</v>
      </c>
      <c r="J498">
        <f t="shared" si="29"/>
        <v>28</v>
      </c>
      <c r="K498" s="14">
        <v>43654</v>
      </c>
      <c r="L498" s="2" t="s">
        <v>23</v>
      </c>
      <c r="M498" s="12" t="s">
        <v>1466</v>
      </c>
      <c r="N498" s="12" t="s">
        <v>1467</v>
      </c>
      <c r="P498">
        <v>1</v>
      </c>
      <c r="R498">
        <f t="shared" si="30"/>
        <v>33</v>
      </c>
      <c r="S498">
        <f t="shared" si="31"/>
        <v>4</v>
      </c>
    </row>
    <row r="499" spans="1:19" x14ac:dyDescent="0.2">
      <c r="A499" s="12">
        <v>464</v>
      </c>
      <c r="B499" s="12" t="s">
        <v>1463</v>
      </c>
      <c r="C499" s="12" t="s">
        <v>321</v>
      </c>
      <c r="D499" s="13" t="s">
        <v>1464</v>
      </c>
      <c r="E499" s="5" t="s">
        <v>47</v>
      </c>
      <c r="F499" s="12" t="s">
        <v>1465</v>
      </c>
      <c r="G499" s="12"/>
      <c r="H499" s="12"/>
      <c r="I499">
        <f t="shared" si="28"/>
        <v>2019</v>
      </c>
      <c r="J499">
        <f t="shared" si="29"/>
        <v>28</v>
      </c>
      <c r="K499" s="14">
        <v>43654</v>
      </c>
      <c r="L499" s="2" t="s">
        <v>23</v>
      </c>
      <c r="M499" s="12" t="s">
        <v>1466</v>
      </c>
      <c r="N499" s="12" t="s">
        <v>1467</v>
      </c>
      <c r="P499">
        <v>1</v>
      </c>
      <c r="R499">
        <f t="shared" si="30"/>
        <v>33</v>
      </c>
      <c r="S499">
        <f t="shared" si="31"/>
        <v>4</v>
      </c>
    </row>
    <row r="500" spans="1:19" x14ac:dyDescent="0.2">
      <c r="A500" s="12">
        <v>464</v>
      </c>
      <c r="B500" s="12" t="s">
        <v>1463</v>
      </c>
      <c r="C500" s="12" t="s">
        <v>321</v>
      </c>
      <c r="D500" s="13" t="s">
        <v>1464</v>
      </c>
      <c r="E500" s="12" t="s">
        <v>21</v>
      </c>
      <c r="F500" s="12" t="s">
        <v>1465</v>
      </c>
      <c r="G500" s="12"/>
      <c r="H500" s="12"/>
      <c r="I500">
        <f t="shared" si="28"/>
        <v>2019</v>
      </c>
      <c r="J500">
        <f t="shared" si="29"/>
        <v>28</v>
      </c>
      <c r="K500" s="14">
        <v>43654</v>
      </c>
      <c r="L500" s="2" t="s">
        <v>23</v>
      </c>
      <c r="M500" s="12" t="s">
        <v>1466</v>
      </c>
      <c r="N500" s="12" t="s">
        <v>1467</v>
      </c>
      <c r="P500">
        <v>1</v>
      </c>
      <c r="R500">
        <f t="shared" si="30"/>
        <v>33</v>
      </c>
      <c r="S500">
        <f t="shared" si="31"/>
        <v>7</v>
      </c>
    </row>
    <row r="501" spans="1:19" x14ac:dyDescent="0.2">
      <c r="A501" s="1">
        <v>194</v>
      </c>
      <c r="B501" t="s">
        <v>1468</v>
      </c>
      <c r="C501" t="s">
        <v>1469</v>
      </c>
      <c r="D501" t="s">
        <v>1470</v>
      </c>
      <c r="E501" s="4" t="s">
        <v>21</v>
      </c>
      <c r="F501" t="s">
        <v>22</v>
      </c>
      <c r="G501">
        <v>31.681438420965801</v>
      </c>
      <c r="H501">
        <v>34.554694789741902</v>
      </c>
      <c r="I501">
        <f t="shared" si="28"/>
        <v>2019</v>
      </c>
      <c r="J501">
        <f t="shared" si="29"/>
        <v>28</v>
      </c>
      <c r="K501" s="2">
        <v>43655</v>
      </c>
      <c r="L501" s="2" t="s">
        <v>23</v>
      </c>
      <c r="M501" t="s">
        <v>1471</v>
      </c>
      <c r="N501" t="s">
        <v>1472</v>
      </c>
      <c r="P501">
        <v>1</v>
      </c>
      <c r="R501">
        <f t="shared" si="30"/>
        <v>33</v>
      </c>
      <c r="S501">
        <f t="shared" si="31"/>
        <v>7</v>
      </c>
    </row>
    <row r="502" spans="1:19" x14ac:dyDescent="0.2">
      <c r="A502">
        <v>32</v>
      </c>
      <c r="B502" t="s">
        <v>1473</v>
      </c>
      <c r="C502" t="s">
        <v>1474</v>
      </c>
      <c r="D502" t="s">
        <v>1475</v>
      </c>
      <c r="E502" s="5" t="s">
        <v>73</v>
      </c>
      <c r="F502" t="s">
        <v>74</v>
      </c>
      <c r="G502">
        <v>32.093438590230903</v>
      </c>
      <c r="H502">
        <v>34.767717357132298</v>
      </c>
      <c r="I502">
        <f t="shared" si="28"/>
        <v>2019</v>
      </c>
      <c r="J502">
        <f t="shared" si="29"/>
        <v>28</v>
      </c>
      <c r="K502" s="2">
        <v>43655</v>
      </c>
      <c r="L502" s="2" t="s">
        <v>23</v>
      </c>
      <c r="M502" t="s">
        <v>1476</v>
      </c>
      <c r="N502" t="s">
        <v>1477</v>
      </c>
      <c r="P502">
        <v>1</v>
      </c>
      <c r="R502">
        <f t="shared" si="30"/>
        <v>33</v>
      </c>
      <c r="S502">
        <f t="shared" si="31"/>
        <v>3</v>
      </c>
    </row>
    <row r="503" spans="1:19" x14ac:dyDescent="0.2">
      <c r="A503" s="12">
        <v>224</v>
      </c>
      <c r="B503" s="12" t="s">
        <v>1478</v>
      </c>
      <c r="C503" s="12" t="s">
        <v>763</v>
      </c>
      <c r="D503" s="13" t="s">
        <v>1475</v>
      </c>
      <c r="E503" s="13"/>
      <c r="F503" s="12"/>
      <c r="G503" s="12"/>
      <c r="H503" s="12"/>
      <c r="I503">
        <f t="shared" si="28"/>
        <v>2019</v>
      </c>
      <c r="J503">
        <f t="shared" si="29"/>
        <v>28</v>
      </c>
      <c r="K503" s="14">
        <v>43655</v>
      </c>
      <c r="L503" s="2" t="s">
        <v>23</v>
      </c>
      <c r="M503" s="12" t="s">
        <v>1476</v>
      </c>
      <c r="N503" s="12" t="s">
        <v>1479</v>
      </c>
      <c r="P503">
        <v>1</v>
      </c>
      <c r="R503">
        <f t="shared" si="30"/>
        <v>33</v>
      </c>
      <c r="S503">
        <f t="shared" si="31"/>
        <v>0</v>
      </c>
    </row>
    <row r="504" spans="1:19" x14ac:dyDescent="0.2">
      <c r="A504">
        <v>72</v>
      </c>
      <c r="B504" t="s">
        <v>1480</v>
      </c>
      <c r="C504" t="s">
        <v>752</v>
      </c>
      <c r="D504" t="s">
        <v>1481</v>
      </c>
      <c r="E504" s="5" t="s">
        <v>100</v>
      </c>
      <c r="F504" t="s">
        <v>623</v>
      </c>
      <c r="G504">
        <v>32.515814807338202</v>
      </c>
      <c r="H504">
        <v>34.896646884804703</v>
      </c>
      <c r="I504">
        <f t="shared" si="28"/>
        <v>2019</v>
      </c>
      <c r="J504">
        <f t="shared" si="29"/>
        <v>28</v>
      </c>
      <c r="K504" s="2">
        <v>43656</v>
      </c>
      <c r="L504" s="2" t="s">
        <v>23</v>
      </c>
      <c r="M504" t="s">
        <v>1482</v>
      </c>
      <c r="N504" t="s">
        <v>1483</v>
      </c>
      <c r="P504">
        <v>1</v>
      </c>
      <c r="R504">
        <f t="shared" si="30"/>
        <v>33</v>
      </c>
      <c r="S504">
        <f t="shared" si="31"/>
        <v>4</v>
      </c>
    </row>
    <row r="505" spans="1:19" x14ac:dyDescent="0.2">
      <c r="A505" s="1">
        <v>97</v>
      </c>
      <c r="B505" t="s">
        <v>1480</v>
      </c>
      <c r="C505" t="s">
        <v>872</v>
      </c>
      <c r="D505" t="s">
        <v>1484</v>
      </c>
      <c r="E505" s="5" t="s">
        <v>100</v>
      </c>
      <c r="F505" t="s">
        <v>623</v>
      </c>
      <c r="G505">
        <v>32.515814807338202</v>
      </c>
      <c r="H505">
        <v>34.896646884804703</v>
      </c>
      <c r="I505">
        <f t="shared" si="28"/>
        <v>2019</v>
      </c>
      <c r="J505">
        <f t="shared" si="29"/>
        <v>28</v>
      </c>
      <c r="K505" s="2">
        <v>43656</v>
      </c>
      <c r="L505" s="2" t="s">
        <v>23</v>
      </c>
      <c r="M505" t="s">
        <v>1482</v>
      </c>
      <c r="N505" t="s">
        <v>1485</v>
      </c>
      <c r="P505">
        <v>1</v>
      </c>
      <c r="R505">
        <f t="shared" si="30"/>
        <v>33</v>
      </c>
      <c r="S505">
        <f t="shared" si="31"/>
        <v>4</v>
      </c>
    </row>
    <row r="506" spans="1:19" x14ac:dyDescent="0.2">
      <c r="A506" s="1">
        <v>97</v>
      </c>
      <c r="B506" t="s">
        <v>1480</v>
      </c>
      <c r="C506" t="s">
        <v>872</v>
      </c>
      <c r="D506" t="s">
        <v>1484</v>
      </c>
      <c r="E506" s="5" t="s">
        <v>100</v>
      </c>
      <c r="F506" t="s">
        <v>885</v>
      </c>
      <c r="G506">
        <v>32.515814807338202</v>
      </c>
      <c r="H506">
        <v>34.896646884804703</v>
      </c>
      <c r="I506">
        <f t="shared" si="28"/>
        <v>2019</v>
      </c>
      <c r="J506">
        <f t="shared" si="29"/>
        <v>28</v>
      </c>
      <c r="K506" s="2">
        <v>43656</v>
      </c>
      <c r="L506" s="2" t="s">
        <v>23</v>
      </c>
      <c r="M506" t="s">
        <v>1482</v>
      </c>
      <c r="N506" t="s">
        <v>1485</v>
      </c>
      <c r="P506">
        <v>1</v>
      </c>
      <c r="R506">
        <f t="shared" si="30"/>
        <v>33</v>
      </c>
      <c r="S506">
        <f t="shared" si="31"/>
        <v>4</v>
      </c>
    </row>
    <row r="507" spans="1:19" x14ac:dyDescent="0.2">
      <c r="A507">
        <v>249</v>
      </c>
      <c r="B507" t="s">
        <v>1486</v>
      </c>
      <c r="C507" t="s">
        <v>1487</v>
      </c>
      <c r="D507" t="s">
        <v>1488</v>
      </c>
      <c r="F507" t="s">
        <v>497</v>
      </c>
      <c r="G507">
        <v>32.023220011216303</v>
      </c>
      <c r="H507">
        <v>34.738647655010197</v>
      </c>
      <c r="I507">
        <f t="shared" si="28"/>
        <v>2019</v>
      </c>
      <c r="J507">
        <f t="shared" si="29"/>
        <v>28</v>
      </c>
      <c r="K507" s="2">
        <v>43657</v>
      </c>
      <c r="L507" s="2" t="s">
        <v>23</v>
      </c>
      <c r="M507" t="s">
        <v>1489</v>
      </c>
      <c r="N507" t="s">
        <v>1490</v>
      </c>
      <c r="P507">
        <v>1</v>
      </c>
      <c r="R507">
        <f t="shared" si="30"/>
        <v>33</v>
      </c>
      <c r="S507">
        <f t="shared" si="31"/>
        <v>0</v>
      </c>
    </row>
    <row r="508" spans="1:19" x14ac:dyDescent="0.2">
      <c r="A508" s="12">
        <v>45</v>
      </c>
      <c r="B508" s="12" t="s">
        <v>1491</v>
      </c>
      <c r="C508" s="12" t="s">
        <v>555</v>
      </c>
      <c r="D508" s="13" t="s">
        <v>1492</v>
      </c>
      <c r="E508" s="13"/>
      <c r="F508" s="12" t="s">
        <v>30</v>
      </c>
      <c r="G508" s="12"/>
      <c r="H508" s="12"/>
      <c r="I508">
        <f t="shared" si="28"/>
        <v>2019</v>
      </c>
      <c r="J508">
        <f t="shared" si="29"/>
        <v>28</v>
      </c>
      <c r="K508" s="14">
        <v>43657</v>
      </c>
      <c r="L508" s="2" t="s">
        <v>23</v>
      </c>
      <c r="M508" s="13" t="s">
        <v>1493</v>
      </c>
      <c r="N508" s="12" t="s">
        <v>1494</v>
      </c>
      <c r="P508">
        <v>1</v>
      </c>
      <c r="R508">
        <f t="shared" si="30"/>
        <v>33</v>
      </c>
      <c r="S508">
        <f t="shared" si="31"/>
        <v>0</v>
      </c>
    </row>
    <row r="509" spans="1:19" x14ac:dyDescent="0.2">
      <c r="A509" s="9">
        <v>556</v>
      </c>
      <c r="B509" s="9" t="s">
        <v>1495</v>
      </c>
      <c r="C509" s="9" t="s">
        <v>757</v>
      </c>
      <c r="D509" s="10" t="s">
        <v>1496</v>
      </c>
      <c r="E509" s="10"/>
      <c r="F509" s="9"/>
      <c r="G509" s="9"/>
      <c r="H509" s="9"/>
      <c r="I509">
        <f t="shared" si="28"/>
        <v>2019</v>
      </c>
      <c r="J509">
        <f t="shared" si="29"/>
        <v>28</v>
      </c>
      <c r="K509" s="11">
        <v>43657</v>
      </c>
      <c r="L509" s="2" t="s">
        <v>23</v>
      </c>
      <c r="M509" s="9" t="s">
        <v>1497</v>
      </c>
      <c r="N509" s="9" t="s">
        <v>1498</v>
      </c>
      <c r="P509">
        <v>1</v>
      </c>
      <c r="R509">
        <f t="shared" si="30"/>
        <v>33</v>
      </c>
      <c r="S509">
        <f t="shared" si="31"/>
        <v>0</v>
      </c>
    </row>
    <row r="510" spans="1:19" x14ac:dyDescent="0.2">
      <c r="A510" s="9">
        <v>207</v>
      </c>
      <c r="B510" s="9" t="s">
        <v>1499</v>
      </c>
      <c r="C510" s="9" t="s">
        <v>1500</v>
      </c>
      <c r="D510" s="10" t="s">
        <v>1501</v>
      </c>
      <c r="E510" s="5" t="s">
        <v>47</v>
      </c>
      <c r="F510" s="9" t="s">
        <v>1502</v>
      </c>
      <c r="G510" s="9"/>
      <c r="H510" s="9"/>
      <c r="I510">
        <f t="shared" si="28"/>
        <v>2019</v>
      </c>
      <c r="J510">
        <f t="shared" si="29"/>
        <v>28</v>
      </c>
      <c r="K510" s="11">
        <v>43657</v>
      </c>
      <c r="L510" s="2" t="s">
        <v>23</v>
      </c>
      <c r="M510" s="9" t="s">
        <v>1503</v>
      </c>
      <c r="N510" s="9" t="s">
        <v>1504</v>
      </c>
      <c r="P510">
        <v>1</v>
      </c>
      <c r="R510">
        <f t="shared" si="30"/>
        <v>33</v>
      </c>
      <c r="S510">
        <f t="shared" si="31"/>
        <v>4</v>
      </c>
    </row>
    <row r="511" spans="1:19" x14ac:dyDescent="0.2">
      <c r="B511" t="s">
        <v>1505</v>
      </c>
      <c r="C511" t="s">
        <v>1506</v>
      </c>
      <c r="D511" t="s">
        <v>1507</v>
      </c>
      <c r="F511" t="s">
        <v>30</v>
      </c>
      <c r="G511">
        <v>32.8371203553017</v>
      </c>
      <c r="H511">
        <v>34.9792189455856</v>
      </c>
      <c r="I511">
        <f t="shared" si="28"/>
        <v>2019</v>
      </c>
      <c r="J511">
        <f t="shared" si="29"/>
        <v>28</v>
      </c>
      <c r="K511" s="2">
        <v>43658</v>
      </c>
      <c r="L511" s="2" t="s">
        <v>23</v>
      </c>
      <c r="M511" t="s">
        <v>1508</v>
      </c>
      <c r="N511" t="s">
        <v>1509</v>
      </c>
      <c r="P511">
        <v>1</v>
      </c>
      <c r="R511">
        <f t="shared" si="30"/>
        <v>33</v>
      </c>
      <c r="S511">
        <f t="shared" si="31"/>
        <v>0</v>
      </c>
    </row>
    <row r="512" spans="1:19" x14ac:dyDescent="0.2">
      <c r="A512"/>
      <c r="B512" t="s">
        <v>1510</v>
      </c>
      <c r="C512" t="s">
        <v>1511</v>
      </c>
      <c r="D512" t="s">
        <v>1512</v>
      </c>
      <c r="I512">
        <f t="shared" si="28"/>
        <v>2019</v>
      </c>
      <c r="J512">
        <f t="shared" si="29"/>
        <v>28</v>
      </c>
      <c r="K512" s="2">
        <v>43658</v>
      </c>
      <c r="L512" s="2" t="s">
        <v>23</v>
      </c>
      <c r="M512" t="s">
        <v>1513</v>
      </c>
      <c r="N512" t="s">
        <v>1514</v>
      </c>
      <c r="P512">
        <v>1</v>
      </c>
      <c r="R512">
        <f t="shared" si="30"/>
        <v>33</v>
      </c>
      <c r="S512">
        <f t="shared" si="31"/>
        <v>0</v>
      </c>
    </row>
    <row r="513" spans="1:19" x14ac:dyDescent="0.2">
      <c r="A513">
        <v>70</v>
      </c>
      <c r="B513" t="s">
        <v>1515</v>
      </c>
      <c r="D513" t="s">
        <v>1516</v>
      </c>
      <c r="F513" t="s">
        <v>150</v>
      </c>
      <c r="G513">
        <v>33.045236837092403</v>
      </c>
      <c r="H513">
        <v>35.1004249845763</v>
      </c>
      <c r="I513">
        <f t="shared" si="28"/>
        <v>2019</v>
      </c>
      <c r="J513">
        <f t="shared" si="29"/>
        <v>28</v>
      </c>
      <c r="K513" s="2">
        <v>43659</v>
      </c>
      <c r="L513" s="2" t="s">
        <v>23</v>
      </c>
      <c r="M513" t="s">
        <v>1517</v>
      </c>
      <c r="P513">
        <v>1</v>
      </c>
      <c r="R513">
        <f t="shared" si="30"/>
        <v>33</v>
      </c>
      <c r="S513">
        <f t="shared" si="31"/>
        <v>0</v>
      </c>
    </row>
    <row r="514" spans="1:19" x14ac:dyDescent="0.2">
      <c r="A514">
        <v>22</v>
      </c>
      <c r="B514" t="s">
        <v>1518</v>
      </c>
      <c r="D514" t="s">
        <v>1519</v>
      </c>
      <c r="F514" t="s">
        <v>30</v>
      </c>
      <c r="G514">
        <v>32.8371203553017</v>
      </c>
      <c r="H514">
        <v>34.9792189455856</v>
      </c>
      <c r="I514">
        <f t="shared" ref="I514:I577" si="32">YEAR(K514)</f>
        <v>2019</v>
      </c>
      <c r="J514">
        <f t="shared" ref="J514:J577" si="33">WEEKNUM(K514)</f>
        <v>28</v>
      </c>
      <c r="K514" s="2">
        <v>43659</v>
      </c>
      <c r="L514" s="2" t="s">
        <v>23</v>
      </c>
      <c r="M514" t="s">
        <v>1520</v>
      </c>
      <c r="N514" t="s">
        <v>1521</v>
      </c>
      <c r="P514">
        <v>1</v>
      </c>
      <c r="R514">
        <f t="shared" si="30"/>
        <v>33</v>
      </c>
      <c r="S514">
        <f t="shared" si="31"/>
        <v>0</v>
      </c>
    </row>
    <row r="515" spans="1:19" x14ac:dyDescent="0.2">
      <c r="A515">
        <v>89</v>
      </c>
      <c r="B515" t="s">
        <v>1522</v>
      </c>
      <c r="D515" t="s">
        <v>1519</v>
      </c>
      <c r="F515" t="s">
        <v>30</v>
      </c>
      <c r="G515">
        <v>32.8371203553017</v>
      </c>
      <c r="H515">
        <v>34.9792189455856</v>
      </c>
      <c r="I515">
        <f t="shared" si="32"/>
        <v>2019</v>
      </c>
      <c r="J515">
        <f t="shared" si="33"/>
        <v>28</v>
      </c>
      <c r="K515" s="2">
        <v>43659</v>
      </c>
      <c r="L515" s="2" t="s">
        <v>23</v>
      </c>
      <c r="M515" t="s">
        <v>1523</v>
      </c>
      <c r="P515">
        <v>1</v>
      </c>
      <c r="R515">
        <f t="shared" ref="R515:R578" si="34">COUNTIFS($J$2:$J$997,J515,$I$2:$I$997,I515)</f>
        <v>33</v>
      </c>
      <c r="S515">
        <f t="shared" ref="S515:S578" si="35">COUNTIFS($J$2:$J$997,J515,$I$2:$I$997,I515,$E$2:$E$997,E515)</f>
        <v>0</v>
      </c>
    </row>
    <row r="516" spans="1:19" x14ac:dyDescent="0.2">
      <c r="A516">
        <v>6</v>
      </c>
      <c r="B516" t="s">
        <v>1524</v>
      </c>
      <c r="D516" t="s">
        <v>1519</v>
      </c>
      <c r="F516" t="s">
        <v>30</v>
      </c>
      <c r="G516">
        <v>32.8371203553017</v>
      </c>
      <c r="H516">
        <v>34.9792189455856</v>
      </c>
      <c r="I516">
        <f t="shared" si="32"/>
        <v>2019</v>
      </c>
      <c r="J516">
        <f t="shared" si="33"/>
        <v>28</v>
      </c>
      <c r="K516" s="2">
        <v>43659</v>
      </c>
      <c r="L516" s="2" t="s">
        <v>23</v>
      </c>
      <c r="M516" t="s">
        <v>1525</v>
      </c>
      <c r="N516" t="s">
        <v>636</v>
      </c>
      <c r="P516">
        <v>1</v>
      </c>
      <c r="R516">
        <f t="shared" si="34"/>
        <v>33</v>
      </c>
      <c r="S516">
        <f t="shared" si="35"/>
        <v>0</v>
      </c>
    </row>
    <row r="517" spans="1:19" x14ac:dyDescent="0.2">
      <c r="A517">
        <v>71</v>
      </c>
      <c r="B517" t="s">
        <v>1526</v>
      </c>
      <c r="D517" t="s">
        <v>1519</v>
      </c>
      <c r="F517" t="s">
        <v>30</v>
      </c>
      <c r="G517">
        <v>32.8371203553017</v>
      </c>
      <c r="H517">
        <v>34.9792189455856</v>
      </c>
      <c r="I517">
        <f t="shared" si="32"/>
        <v>2019</v>
      </c>
      <c r="J517">
        <f t="shared" si="33"/>
        <v>28</v>
      </c>
      <c r="K517" s="2">
        <v>43659</v>
      </c>
      <c r="L517" s="2" t="s">
        <v>23</v>
      </c>
      <c r="M517" t="s">
        <v>1527</v>
      </c>
      <c r="P517">
        <v>1</v>
      </c>
      <c r="R517">
        <f t="shared" si="34"/>
        <v>33</v>
      </c>
      <c r="S517">
        <f t="shared" si="35"/>
        <v>0</v>
      </c>
    </row>
    <row r="518" spans="1:19" x14ac:dyDescent="0.2">
      <c r="A518">
        <v>38</v>
      </c>
      <c r="B518" t="s">
        <v>1528</v>
      </c>
      <c r="D518" t="s">
        <v>1519</v>
      </c>
      <c r="F518" t="s">
        <v>30</v>
      </c>
      <c r="G518">
        <v>32.8371203553017</v>
      </c>
      <c r="H518">
        <v>34.9792189455856</v>
      </c>
      <c r="I518">
        <f t="shared" si="32"/>
        <v>2019</v>
      </c>
      <c r="J518">
        <f t="shared" si="33"/>
        <v>28</v>
      </c>
      <c r="K518" s="2">
        <v>43659</v>
      </c>
      <c r="L518" s="2" t="s">
        <v>23</v>
      </c>
      <c r="M518" t="s">
        <v>1529</v>
      </c>
      <c r="N518" t="s">
        <v>1530</v>
      </c>
      <c r="P518">
        <v>1</v>
      </c>
      <c r="R518">
        <f t="shared" si="34"/>
        <v>33</v>
      </c>
      <c r="S518">
        <f t="shared" si="35"/>
        <v>0</v>
      </c>
    </row>
    <row r="519" spans="1:19" x14ac:dyDescent="0.2">
      <c r="A519">
        <v>59</v>
      </c>
      <c r="B519" t="s">
        <v>1531</v>
      </c>
      <c r="C519" t="s">
        <v>68</v>
      </c>
      <c r="D519" t="s">
        <v>1532</v>
      </c>
      <c r="E519" s="4" t="s">
        <v>21</v>
      </c>
      <c r="F519" t="s">
        <v>64</v>
      </c>
      <c r="G519">
        <v>31.8169667122236</v>
      </c>
      <c r="H519">
        <v>34.639611775767101</v>
      </c>
      <c r="I519">
        <f t="shared" si="32"/>
        <v>2019</v>
      </c>
      <c r="J519">
        <f t="shared" si="33"/>
        <v>29</v>
      </c>
      <c r="K519" s="2">
        <v>43660</v>
      </c>
      <c r="L519" s="2" t="s">
        <v>23</v>
      </c>
      <c r="M519" t="s">
        <v>1533</v>
      </c>
      <c r="N519" t="s">
        <v>1534</v>
      </c>
      <c r="P519">
        <v>1</v>
      </c>
      <c r="R519">
        <f t="shared" si="34"/>
        <v>29</v>
      </c>
      <c r="S519">
        <f t="shared" si="35"/>
        <v>11</v>
      </c>
    </row>
    <row r="520" spans="1:19" x14ac:dyDescent="0.2">
      <c r="A520" s="1">
        <v>169</v>
      </c>
      <c r="B520" t="s">
        <v>1535</v>
      </c>
      <c r="C520" t="s">
        <v>1536</v>
      </c>
      <c r="D520" t="s">
        <v>1537</v>
      </c>
      <c r="E520" s="4" t="s">
        <v>21</v>
      </c>
      <c r="F520" t="s">
        <v>64</v>
      </c>
      <c r="G520">
        <v>31.8169667122236</v>
      </c>
      <c r="H520">
        <v>34.639611775767101</v>
      </c>
      <c r="I520">
        <f t="shared" si="32"/>
        <v>2019</v>
      </c>
      <c r="J520">
        <f t="shared" si="33"/>
        <v>29</v>
      </c>
      <c r="K520" s="2">
        <v>43660</v>
      </c>
      <c r="L520" s="2" t="s">
        <v>23</v>
      </c>
      <c r="M520" t="s">
        <v>1538</v>
      </c>
      <c r="N520" t="s">
        <v>1539</v>
      </c>
      <c r="P520">
        <v>1</v>
      </c>
      <c r="R520">
        <f t="shared" si="34"/>
        <v>29</v>
      </c>
      <c r="S520">
        <f t="shared" si="35"/>
        <v>11</v>
      </c>
    </row>
    <row r="521" spans="1:19" x14ac:dyDescent="0.2">
      <c r="A521">
        <v>1</v>
      </c>
      <c r="B521" t="s">
        <v>1540</v>
      </c>
      <c r="C521" t="s">
        <v>1383</v>
      </c>
      <c r="D521" t="s">
        <v>1541</v>
      </c>
      <c r="E521" s="4" t="s">
        <v>21</v>
      </c>
      <c r="F521" t="s">
        <v>64</v>
      </c>
      <c r="G521">
        <v>31.8169667122236</v>
      </c>
      <c r="H521">
        <v>34.639611775767101</v>
      </c>
      <c r="I521">
        <f t="shared" si="32"/>
        <v>2019</v>
      </c>
      <c r="J521">
        <f t="shared" si="33"/>
        <v>29</v>
      </c>
      <c r="K521" s="2">
        <v>43660</v>
      </c>
      <c r="L521" s="2" t="s">
        <v>23</v>
      </c>
      <c r="M521" t="s">
        <v>1542</v>
      </c>
      <c r="N521" t="s">
        <v>1543</v>
      </c>
      <c r="P521">
        <v>1</v>
      </c>
      <c r="R521">
        <f t="shared" si="34"/>
        <v>29</v>
      </c>
      <c r="S521">
        <f t="shared" si="35"/>
        <v>11</v>
      </c>
    </row>
    <row r="522" spans="1:19" x14ac:dyDescent="0.2">
      <c r="A522">
        <v>4</v>
      </c>
      <c r="B522" t="s">
        <v>1544</v>
      </c>
      <c r="C522" t="s">
        <v>1545</v>
      </c>
      <c r="D522" t="s">
        <v>1546</v>
      </c>
      <c r="E522" s="4" t="s">
        <v>21</v>
      </c>
      <c r="F522" t="s">
        <v>64</v>
      </c>
      <c r="G522">
        <v>31.8169667122236</v>
      </c>
      <c r="H522">
        <v>34.639611775767101</v>
      </c>
      <c r="I522">
        <f t="shared" si="32"/>
        <v>2019</v>
      </c>
      <c r="J522">
        <f t="shared" si="33"/>
        <v>29</v>
      </c>
      <c r="K522" s="2">
        <v>43660</v>
      </c>
      <c r="L522" s="2" t="s">
        <v>23</v>
      </c>
      <c r="M522" t="s">
        <v>1547</v>
      </c>
      <c r="N522" t="s">
        <v>1548</v>
      </c>
      <c r="P522">
        <v>1</v>
      </c>
      <c r="R522">
        <f t="shared" si="34"/>
        <v>29</v>
      </c>
      <c r="S522">
        <f t="shared" si="35"/>
        <v>11</v>
      </c>
    </row>
    <row r="523" spans="1:19" x14ac:dyDescent="0.2">
      <c r="A523">
        <v>2</v>
      </c>
      <c r="B523" t="s">
        <v>1549</v>
      </c>
      <c r="C523" t="s">
        <v>1545</v>
      </c>
      <c r="D523" t="s">
        <v>1546</v>
      </c>
      <c r="E523" s="4" t="s">
        <v>21</v>
      </c>
      <c r="F523" t="s">
        <v>64</v>
      </c>
      <c r="G523">
        <v>31.8169667122236</v>
      </c>
      <c r="H523">
        <v>34.639611775767101</v>
      </c>
      <c r="I523">
        <f t="shared" si="32"/>
        <v>2019</v>
      </c>
      <c r="J523">
        <f t="shared" si="33"/>
        <v>29</v>
      </c>
      <c r="K523" s="2">
        <v>43660</v>
      </c>
      <c r="L523" s="2" t="s">
        <v>23</v>
      </c>
      <c r="M523" t="s">
        <v>1550</v>
      </c>
      <c r="N523" t="s">
        <v>1548</v>
      </c>
      <c r="P523">
        <v>1</v>
      </c>
      <c r="R523">
        <f t="shared" si="34"/>
        <v>29</v>
      </c>
      <c r="S523">
        <f t="shared" si="35"/>
        <v>11</v>
      </c>
    </row>
    <row r="524" spans="1:19" x14ac:dyDescent="0.2">
      <c r="A524" s="1">
        <v>456</v>
      </c>
      <c r="B524" t="s">
        <v>1551</v>
      </c>
      <c r="C524" t="s">
        <v>1552</v>
      </c>
      <c r="D524" t="s">
        <v>1553</v>
      </c>
      <c r="E524" s="4" t="s">
        <v>21</v>
      </c>
      <c r="F524" t="s">
        <v>64</v>
      </c>
      <c r="G524">
        <v>31.8169667122236</v>
      </c>
      <c r="H524">
        <v>34.639611775767101</v>
      </c>
      <c r="I524">
        <f t="shared" si="32"/>
        <v>2019</v>
      </c>
      <c r="J524">
        <f t="shared" si="33"/>
        <v>29</v>
      </c>
      <c r="K524" s="2">
        <v>43660</v>
      </c>
      <c r="L524" s="2" t="s">
        <v>23</v>
      </c>
      <c r="M524" t="s">
        <v>1554</v>
      </c>
      <c r="N524" t="s">
        <v>1555</v>
      </c>
      <c r="P524">
        <v>1</v>
      </c>
      <c r="R524">
        <f t="shared" si="34"/>
        <v>29</v>
      </c>
      <c r="S524">
        <f t="shared" si="35"/>
        <v>11</v>
      </c>
    </row>
    <row r="525" spans="1:19" x14ac:dyDescent="0.2">
      <c r="A525">
        <v>100</v>
      </c>
      <c r="B525" t="s">
        <v>1556</v>
      </c>
      <c r="C525" t="s">
        <v>872</v>
      </c>
      <c r="D525" t="s">
        <v>873</v>
      </c>
      <c r="E525" s="5" t="s">
        <v>100</v>
      </c>
      <c r="F525" t="s">
        <v>623</v>
      </c>
      <c r="G525">
        <v>32.515814807338202</v>
      </c>
      <c r="H525">
        <v>34.896646884804703</v>
      </c>
      <c r="I525">
        <f t="shared" si="32"/>
        <v>2019</v>
      </c>
      <c r="J525">
        <f t="shared" si="33"/>
        <v>29</v>
      </c>
      <c r="K525" s="2">
        <v>43660</v>
      </c>
      <c r="L525" s="2" t="s">
        <v>23</v>
      </c>
      <c r="M525" t="s">
        <v>1557</v>
      </c>
      <c r="N525" t="s">
        <v>1558</v>
      </c>
      <c r="P525">
        <v>1</v>
      </c>
      <c r="R525">
        <f t="shared" si="34"/>
        <v>29</v>
      </c>
      <c r="S525">
        <f t="shared" si="35"/>
        <v>8</v>
      </c>
    </row>
    <row r="526" spans="1:19" x14ac:dyDescent="0.2">
      <c r="A526">
        <v>100</v>
      </c>
      <c r="B526" t="s">
        <v>1556</v>
      </c>
      <c r="C526" t="s">
        <v>872</v>
      </c>
      <c r="D526" t="s">
        <v>873</v>
      </c>
      <c r="E526" s="5" t="s">
        <v>47</v>
      </c>
      <c r="F526" t="s">
        <v>75</v>
      </c>
      <c r="G526">
        <v>32.439273327223297</v>
      </c>
      <c r="H526">
        <v>34.878068554773698</v>
      </c>
      <c r="I526">
        <f t="shared" si="32"/>
        <v>2019</v>
      </c>
      <c r="J526">
        <f t="shared" si="33"/>
        <v>29</v>
      </c>
      <c r="K526" s="2">
        <v>43660</v>
      </c>
      <c r="L526" s="2" t="s">
        <v>23</v>
      </c>
      <c r="M526" t="s">
        <v>1557</v>
      </c>
      <c r="N526" t="s">
        <v>1558</v>
      </c>
      <c r="P526">
        <v>1</v>
      </c>
      <c r="R526">
        <f t="shared" si="34"/>
        <v>29</v>
      </c>
      <c r="S526">
        <f t="shared" si="35"/>
        <v>1</v>
      </c>
    </row>
    <row r="527" spans="1:19" x14ac:dyDescent="0.2">
      <c r="A527">
        <v>100</v>
      </c>
      <c r="B527" t="s">
        <v>1556</v>
      </c>
      <c r="C527" t="s">
        <v>872</v>
      </c>
      <c r="D527" t="s">
        <v>873</v>
      </c>
      <c r="E527" s="5" t="s">
        <v>100</v>
      </c>
      <c r="F527" t="s">
        <v>676</v>
      </c>
      <c r="G527">
        <v>32.708964182181099</v>
      </c>
      <c r="H527">
        <v>34.940899754832301</v>
      </c>
      <c r="I527">
        <f t="shared" si="32"/>
        <v>2019</v>
      </c>
      <c r="J527">
        <f t="shared" si="33"/>
        <v>29</v>
      </c>
      <c r="K527" s="2">
        <v>43660</v>
      </c>
      <c r="L527" s="2" t="s">
        <v>23</v>
      </c>
      <c r="M527" t="s">
        <v>1557</v>
      </c>
      <c r="N527" t="s">
        <v>1558</v>
      </c>
      <c r="P527">
        <v>1</v>
      </c>
      <c r="R527">
        <f t="shared" si="34"/>
        <v>29</v>
      </c>
      <c r="S527">
        <f t="shared" si="35"/>
        <v>8</v>
      </c>
    </row>
    <row r="528" spans="1:19" x14ac:dyDescent="0.2">
      <c r="A528">
        <v>211</v>
      </c>
      <c r="B528" t="s">
        <v>1559</v>
      </c>
      <c r="C528" t="s">
        <v>859</v>
      </c>
      <c r="D528" t="s">
        <v>1560</v>
      </c>
      <c r="F528" t="s">
        <v>78</v>
      </c>
      <c r="G528">
        <v>32.849166010823502</v>
      </c>
      <c r="H528">
        <v>35.061617587657501</v>
      </c>
      <c r="I528">
        <f t="shared" si="32"/>
        <v>2019</v>
      </c>
      <c r="J528">
        <f t="shared" si="33"/>
        <v>29</v>
      </c>
      <c r="K528" s="2">
        <v>43660</v>
      </c>
      <c r="L528" s="2" t="s">
        <v>23</v>
      </c>
      <c r="M528" t="s">
        <v>1561</v>
      </c>
      <c r="N528" t="s">
        <v>1562</v>
      </c>
      <c r="P528">
        <v>1</v>
      </c>
      <c r="R528">
        <f t="shared" si="34"/>
        <v>29</v>
      </c>
      <c r="S528">
        <f t="shared" si="35"/>
        <v>0</v>
      </c>
    </row>
    <row r="529" spans="1:19" x14ac:dyDescent="0.2">
      <c r="A529">
        <v>100</v>
      </c>
      <c r="B529" t="s">
        <v>1556</v>
      </c>
      <c r="C529" t="s">
        <v>872</v>
      </c>
      <c r="D529" t="s">
        <v>873</v>
      </c>
      <c r="E529" s="5" t="s">
        <v>100</v>
      </c>
      <c r="F529" t="s">
        <v>885</v>
      </c>
      <c r="G529">
        <v>32.515814807338202</v>
      </c>
      <c r="H529">
        <v>34.896646884804703</v>
      </c>
      <c r="I529">
        <f t="shared" si="32"/>
        <v>2019</v>
      </c>
      <c r="J529">
        <f t="shared" si="33"/>
        <v>29</v>
      </c>
      <c r="K529" s="2">
        <v>43660</v>
      </c>
      <c r="L529" s="2" t="s">
        <v>23</v>
      </c>
      <c r="M529" t="s">
        <v>1557</v>
      </c>
      <c r="N529" t="s">
        <v>1558</v>
      </c>
      <c r="P529">
        <v>1</v>
      </c>
      <c r="R529">
        <f t="shared" si="34"/>
        <v>29</v>
      </c>
      <c r="S529">
        <f t="shared" si="35"/>
        <v>8</v>
      </c>
    </row>
    <row r="530" spans="1:19" x14ac:dyDescent="0.2">
      <c r="B530" t="s">
        <v>1563</v>
      </c>
      <c r="C530" t="s">
        <v>1564</v>
      </c>
      <c r="D530" t="s">
        <v>1565</v>
      </c>
      <c r="E530" s="5" t="s">
        <v>73</v>
      </c>
      <c r="F530" t="s">
        <v>74</v>
      </c>
      <c r="G530">
        <v>32.093438590230903</v>
      </c>
      <c r="H530">
        <v>34.767717357132298</v>
      </c>
      <c r="I530">
        <f t="shared" si="32"/>
        <v>2019</v>
      </c>
      <c r="J530">
        <f t="shared" si="33"/>
        <v>29</v>
      </c>
      <c r="K530" s="2">
        <v>43660</v>
      </c>
      <c r="L530" s="2" t="s">
        <v>23</v>
      </c>
      <c r="M530" t="s">
        <v>1566</v>
      </c>
      <c r="N530" t="s">
        <v>1567</v>
      </c>
      <c r="P530">
        <v>1</v>
      </c>
      <c r="R530">
        <f t="shared" si="34"/>
        <v>29</v>
      </c>
      <c r="S530">
        <f t="shared" si="35"/>
        <v>2</v>
      </c>
    </row>
    <row r="531" spans="1:19" x14ac:dyDescent="0.2">
      <c r="A531" s="12">
        <v>259</v>
      </c>
      <c r="B531" s="12" t="s">
        <v>1568</v>
      </c>
      <c r="C531" s="12" t="s">
        <v>1569</v>
      </c>
      <c r="D531" s="13" t="s">
        <v>1570</v>
      </c>
      <c r="E531" s="12" t="s">
        <v>29</v>
      </c>
      <c r="F531" s="12" t="s">
        <v>1571</v>
      </c>
      <c r="G531" s="12"/>
      <c r="H531" s="12"/>
      <c r="I531">
        <f t="shared" si="32"/>
        <v>2019</v>
      </c>
      <c r="J531">
        <f t="shared" si="33"/>
        <v>29</v>
      </c>
      <c r="K531" s="14">
        <v>43660</v>
      </c>
      <c r="L531" s="2" t="s">
        <v>23</v>
      </c>
      <c r="M531" s="12" t="s">
        <v>1572</v>
      </c>
      <c r="N531" s="12" t="s">
        <v>1573</v>
      </c>
      <c r="P531">
        <v>1</v>
      </c>
      <c r="R531">
        <f t="shared" si="34"/>
        <v>29</v>
      </c>
      <c r="S531">
        <f t="shared" si="35"/>
        <v>1</v>
      </c>
    </row>
    <row r="532" spans="1:19" x14ac:dyDescent="0.2">
      <c r="A532" s="12">
        <v>259</v>
      </c>
      <c r="B532" s="12" t="s">
        <v>1568</v>
      </c>
      <c r="C532" s="12" t="s">
        <v>1569</v>
      </c>
      <c r="D532" s="13" t="s">
        <v>1570</v>
      </c>
      <c r="E532" s="5" t="s">
        <v>73</v>
      </c>
      <c r="F532" s="12" t="s">
        <v>1571</v>
      </c>
      <c r="G532" s="12"/>
      <c r="H532" s="12"/>
      <c r="I532">
        <f t="shared" si="32"/>
        <v>2019</v>
      </c>
      <c r="J532">
        <f t="shared" si="33"/>
        <v>29</v>
      </c>
      <c r="K532" s="14">
        <v>43660</v>
      </c>
      <c r="L532" s="2" t="s">
        <v>23</v>
      </c>
      <c r="M532" s="12" t="s">
        <v>1572</v>
      </c>
      <c r="N532" s="12" t="s">
        <v>1573</v>
      </c>
      <c r="P532">
        <v>1</v>
      </c>
      <c r="R532">
        <f t="shared" si="34"/>
        <v>29</v>
      </c>
      <c r="S532">
        <f t="shared" si="35"/>
        <v>2</v>
      </c>
    </row>
    <row r="533" spans="1:19" x14ac:dyDescent="0.2">
      <c r="A533" s="1">
        <v>30</v>
      </c>
      <c r="B533" t="s">
        <v>1574</v>
      </c>
      <c r="C533" t="s">
        <v>1419</v>
      </c>
      <c r="D533" t="s">
        <v>1575</v>
      </c>
      <c r="E533" s="4" t="s">
        <v>21</v>
      </c>
      <c r="F533" t="s">
        <v>70</v>
      </c>
      <c r="G533">
        <v>32.002493003827801</v>
      </c>
      <c r="H533">
        <v>34.731694234364099</v>
      </c>
      <c r="I533">
        <f t="shared" si="32"/>
        <v>2019</v>
      </c>
      <c r="J533">
        <f t="shared" si="33"/>
        <v>29</v>
      </c>
      <c r="K533" s="2">
        <v>43661</v>
      </c>
      <c r="L533" s="2" t="s">
        <v>23</v>
      </c>
      <c r="M533" t="s">
        <v>1576</v>
      </c>
      <c r="N533" t="s">
        <v>1577</v>
      </c>
      <c r="P533">
        <v>1</v>
      </c>
      <c r="R533">
        <f t="shared" si="34"/>
        <v>29</v>
      </c>
      <c r="S533">
        <f t="shared" si="35"/>
        <v>11</v>
      </c>
    </row>
    <row r="534" spans="1:19" x14ac:dyDescent="0.2">
      <c r="B534" t="s">
        <v>1578</v>
      </c>
      <c r="C534" t="s">
        <v>1579</v>
      </c>
      <c r="D534" t="s">
        <v>1580</v>
      </c>
      <c r="E534" s="4" t="s">
        <v>21</v>
      </c>
      <c r="F534" t="s">
        <v>64</v>
      </c>
      <c r="G534">
        <v>31.8169667122236</v>
      </c>
      <c r="H534">
        <v>34.639611775767101</v>
      </c>
      <c r="I534">
        <f t="shared" si="32"/>
        <v>2019</v>
      </c>
      <c r="J534">
        <f t="shared" si="33"/>
        <v>29</v>
      </c>
      <c r="K534" s="2">
        <v>43661</v>
      </c>
      <c r="L534" s="2" t="s">
        <v>23</v>
      </c>
      <c r="M534" t="s">
        <v>1581</v>
      </c>
      <c r="N534" t="s">
        <v>1582</v>
      </c>
      <c r="P534">
        <v>1</v>
      </c>
      <c r="R534">
        <f t="shared" si="34"/>
        <v>29</v>
      </c>
      <c r="S534">
        <f t="shared" si="35"/>
        <v>11</v>
      </c>
    </row>
    <row r="535" spans="1:19" x14ac:dyDescent="0.2">
      <c r="B535" t="s">
        <v>1583</v>
      </c>
      <c r="C535" t="s">
        <v>1584</v>
      </c>
      <c r="D535" t="s">
        <v>1585</v>
      </c>
      <c r="E535" s="5" t="s">
        <v>100</v>
      </c>
      <c r="F535" t="s">
        <v>1586</v>
      </c>
      <c r="G535">
        <v>32.643262556012701</v>
      </c>
      <c r="H535">
        <v>34.924205598541697</v>
      </c>
      <c r="I535">
        <f t="shared" si="32"/>
        <v>2019</v>
      </c>
      <c r="J535">
        <f t="shared" si="33"/>
        <v>29</v>
      </c>
      <c r="K535" s="2">
        <v>43661</v>
      </c>
      <c r="L535" s="2" t="s">
        <v>23</v>
      </c>
      <c r="M535" t="s">
        <v>1587</v>
      </c>
      <c r="N535" t="s">
        <v>1588</v>
      </c>
      <c r="P535">
        <v>1</v>
      </c>
      <c r="R535">
        <f t="shared" si="34"/>
        <v>29</v>
      </c>
      <c r="S535">
        <f t="shared" si="35"/>
        <v>8</v>
      </c>
    </row>
    <row r="536" spans="1:19" x14ac:dyDescent="0.2">
      <c r="B536" t="s">
        <v>1589</v>
      </c>
      <c r="C536" t="s">
        <v>1590</v>
      </c>
      <c r="D536" t="s">
        <v>1591</v>
      </c>
      <c r="E536" s="5" t="s">
        <v>100</v>
      </c>
      <c r="F536" t="s">
        <v>1586</v>
      </c>
      <c r="G536">
        <v>32.643262556012701</v>
      </c>
      <c r="H536">
        <v>34.924205598541697</v>
      </c>
      <c r="I536">
        <f t="shared" si="32"/>
        <v>2019</v>
      </c>
      <c r="J536">
        <f t="shared" si="33"/>
        <v>29</v>
      </c>
      <c r="K536" s="2">
        <v>43661</v>
      </c>
      <c r="L536" s="2" t="s">
        <v>23</v>
      </c>
      <c r="M536" t="s">
        <v>1592</v>
      </c>
      <c r="N536" t="s">
        <v>1593</v>
      </c>
      <c r="P536">
        <v>1</v>
      </c>
      <c r="R536">
        <f t="shared" si="34"/>
        <v>29</v>
      </c>
      <c r="S536">
        <f t="shared" si="35"/>
        <v>8</v>
      </c>
    </row>
    <row r="537" spans="1:19" x14ac:dyDescent="0.2">
      <c r="A537"/>
      <c r="B537" t="s">
        <v>1594</v>
      </c>
      <c r="C537" t="s">
        <v>1595</v>
      </c>
      <c r="D537" t="s">
        <v>1596</v>
      </c>
      <c r="I537">
        <f t="shared" si="32"/>
        <v>2019</v>
      </c>
      <c r="J537">
        <f t="shared" si="33"/>
        <v>29</v>
      </c>
      <c r="K537" s="2">
        <v>43661</v>
      </c>
      <c r="L537" s="2" t="s">
        <v>23</v>
      </c>
      <c r="M537" t="s">
        <v>1597</v>
      </c>
      <c r="N537" t="s">
        <v>1598</v>
      </c>
      <c r="P537">
        <v>1</v>
      </c>
      <c r="R537">
        <f t="shared" si="34"/>
        <v>29</v>
      </c>
      <c r="S537">
        <f t="shared" si="35"/>
        <v>0</v>
      </c>
    </row>
    <row r="538" spans="1:19" x14ac:dyDescent="0.2">
      <c r="A538" s="12">
        <v>550</v>
      </c>
      <c r="B538" s="12" t="s">
        <v>1599</v>
      </c>
      <c r="C538" s="12" t="s">
        <v>1600</v>
      </c>
      <c r="D538" s="13" t="s">
        <v>1601</v>
      </c>
      <c r="E538" s="5" t="s">
        <v>100</v>
      </c>
      <c r="F538" s="12" t="s">
        <v>1602</v>
      </c>
      <c r="G538" s="12"/>
      <c r="H538" s="12"/>
      <c r="I538">
        <f t="shared" si="32"/>
        <v>2019</v>
      </c>
      <c r="J538">
        <f t="shared" si="33"/>
        <v>29</v>
      </c>
      <c r="K538" s="14">
        <v>43661</v>
      </c>
      <c r="L538" s="2" t="s">
        <v>23</v>
      </c>
      <c r="M538" s="12" t="s">
        <v>1603</v>
      </c>
      <c r="N538" s="12" t="s">
        <v>1604</v>
      </c>
      <c r="P538">
        <v>1</v>
      </c>
      <c r="R538">
        <f t="shared" si="34"/>
        <v>29</v>
      </c>
      <c r="S538">
        <f t="shared" si="35"/>
        <v>8</v>
      </c>
    </row>
    <row r="539" spans="1:19" x14ac:dyDescent="0.2">
      <c r="A539" s="12">
        <v>412</v>
      </c>
      <c r="B539" s="12" t="s">
        <v>1605</v>
      </c>
      <c r="C539" s="12" t="s">
        <v>1606</v>
      </c>
      <c r="D539" s="13" t="s">
        <v>1607</v>
      </c>
      <c r="E539" s="4" t="s">
        <v>21</v>
      </c>
      <c r="F539" s="12" t="s">
        <v>64</v>
      </c>
      <c r="G539" s="12"/>
      <c r="H539" s="12"/>
      <c r="I539">
        <f t="shared" si="32"/>
        <v>2019</v>
      </c>
      <c r="J539">
        <f t="shared" si="33"/>
        <v>29</v>
      </c>
      <c r="K539" s="14">
        <v>43661</v>
      </c>
      <c r="L539" s="2" t="s">
        <v>23</v>
      </c>
      <c r="M539" s="12" t="s">
        <v>1608</v>
      </c>
      <c r="N539" s="12" t="s">
        <v>1609</v>
      </c>
      <c r="P539">
        <v>1</v>
      </c>
      <c r="R539">
        <f t="shared" si="34"/>
        <v>29</v>
      </c>
      <c r="S539">
        <f t="shared" si="35"/>
        <v>11</v>
      </c>
    </row>
    <row r="540" spans="1:19" x14ac:dyDescent="0.2">
      <c r="A540" s="12">
        <v>502</v>
      </c>
      <c r="B540" s="12" t="s">
        <v>1610</v>
      </c>
      <c r="C540" s="12" t="s">
        <v>1600</v>
      </c>
      <c r="D540" s="13" t="s">
        <v>1611</v>
      </c>
      <c r="E540" s="5" t="s">
        <v>100</v>
      </c>
      <c r="F540" s="12" t="s">
        <v>1602</v>
      </c>
      <c r="G540" s="12"/>
      <c r="H540" s="12"/>
      <c r="I540">
        <f t="shared" si="32"/>
        <v>2019</v>
      </c>
      <c r="J540">
        <f t="shared" si="33"/>
        <v>29</v>
      </c>
      <c r="K540" s="14">
        <v>43661</v>
      </c>
      <c r="L540" s="2" t="s">
        <v>23</v>
      </c>
      <c r="M540" s="12" t="s">
        <v>1612</v>
      </c>
      <c r="N540" s="12" t="s">
        <v>1613</v>
      </c>
      <c r="P540">
        <v>1</v>
      </c>
      <c r="R540">
        <f t="shared" si="34"/>
        <v>29</v>
      </c>
      <c r="S540">
        <f t="shared" si="35"/>
        <v>8</v>
      </c>
    </row>
    <row r="541" spans="1:19" x14ac:dyDescent="0.2">
      <c r="A541">
        <v>20</v>
      </c>
      <c r="B541" s="20" t="s">
        <v>1614</v>
      </c>
      <c r="C541" s="20" t="s">
        <v>872</v>
      </c>
      <c r="D541" s="20" t="s">
        <v>1484</v>
      </c>
      <c r="E541" s="5" t="s">
        <v>100</v>
      </c>
      <c r="F541" s="20" t="s">
        <v>623</v>
      </c>
      <c r="G541">
        <v>32.515814807338202</v>
      </c>
      <c r="H541">
        <v>34.896646884804703</v>
      </c>
      <c r="I541">
        <f t="shared" si="32"/>
        <v>2019</v>
      </c>
      <c r="J541">
        <f t="shared" si="33"/>
        <v>29</v>
      </c>
      <c r="K541" s="21">
        <v>43662</v>
      </c>
      <c r="L541" s="2" t="s">
        <v>23</v>
      </c>
      <c r="M541" s="20" t="s">
        <v>1615</v>
      </c>
      <c r="N541" s="20" t="s">
        <v>1485</v>
      </c>
      <c r="P541">
        <v>1</v>
      </c>
      <c r="R541">
        <f t="shared" si="34"/>
        <v>29</v>
      </c>
      <c r="S541">
        <f t="shared" si="35"/>
        <v>8</v>
      </c>
    </row>
    <row r="542" spans="1:19" x14ac:dyDescent="0.2">
      <c r="A542" s="9">
        <v>360</v>
      </c>
      <c r="B542" s="22" t="s">
        <v>1616</v>
      </c>
      <c r="C542" s="22" t="s">
        <v>1617</v>
      </c>
      <c r="D542" s="23" t="s">
        <v>1618</v>
      </c>
      <c r="E542" s="4" t="s">
        <v>21</v>
      </c>
      <c r="F542" s="22" t="s">
        <v>64</v>
      </c>
      <c r="G542" s="9"/>
      <c r="H542" s="9"/>
      <c r="I542">
        <f t="shared" si="32"/>
        <v>2019</v>
      </c>
      <c r="J542">
        <f t="shared" si="33"/>
        <v>29</v>
      </c>
      <c r="K542" s="24">
        <v>43662</v>
      </c>
      <c r="L542" s="2" t="s">
        <v>23</v>
      </c>
      <c r="M542" s="22" t="s">
        <v>1619</v>
      </c>
      <c r="N542" s="22" t="s">
        <v>1620</v>
      </c>
      <c r="P542">
        <v>1</v>
      </c>
      <c r="R542">
        <f t="shared" si="34"/>
        <v>29</v>
      </c>
      <c r="S542">
        <f t="shared" si="35"/>
        <v>11</v>
      </c>
    </row>
    <row r="543" spans="1:19" x14ac:dyDescent="0.2">
      <c r="A543">
        <v>93</v>
      </c>
      <c r="B543" s="20" t="s">
        <v>1621</v>
      </c>
      <c r="C543" s="20" t="s">
        <v>237</v>
      </c>
      <c r="D543" s="20" t="s">
        <v>1622</v>
      </c>
      <c r="E543" s="20"/>
      <c r="F543" s="20" t="s">
        <v>78</v>
      </c>
      <c r="G543">
        <v>32.849166010823502</v>
      </c>
      <c r="H543">
        <v>35.061617587657501</v>
      </c>
      <c r="I543">
        <f t="shared" si="32"/>
        <v>2019</v>
      </c>
      <c r="J543">
        <f t="shared" si="33"/>
        <v>29</v>
      </c>
      <c r="K543" s="21">
        <v>43663</v>
      </c>
      <c r="L543" s="2" t="s">
        <v>23</v>
      </c>
      <c r="M543" s="20" t="s">
        <v>1623</v>
      </c>
      <c r="N543" s="20" t="s">
        <v>1624</v>
      </c>
      <c r="P543">
        <v>1</v>
      </c>
      <c r="R543">
        <f t="shared" si="34"/>
        <v>29</v>
      </c>
      <c r="S543">
        <f t="shared" si="35"/>
        <v>0</v>
      </c>
    </row>
    <row r="544" spans="1:19" x14ac:dyDescent="0.2">
      <c r="A544">
        <v>62</v>
      </c>
      <c r="B544" s="20" t="s">
        <v>1625</v>
      </c>
      <c r="C544" s="20"/>
      <c r="D544" s="20" t="s">
        <v>1622</v>
      </c>
      <c r="E544" s="20"/>
      <c r="F544" s="20" t="s">
        <v>78</v>
      </c>
      <c r="G544">
        <v>32.849166010823502</v>
      </c>
      <c r="H544">
        <v>35.061617587657501</v>
      </c>
      <c r="I544">
        <f t="shared" si="32"/>
        <v>2019</v>
      </c>
      <c r="J544">
        <f t="shared" si="33"/>
        <v>29</v>
      </c>
      <c r="K544" s="21">
        <v>43663</v>
      </c>
      <c r="L544" s="2" t="s">
        <v>23</v>
      </c>
      <c r="M544" s="20" t="s">
        <v>1626</v>
      </c>
      <c r="N544" s="20"/>
      <c r="P544">
        <v>1</v>
      </c>
      <c r="R544">
        <f t="shared" si="34"/>
        <v>29</v>
      </c>
      <c r="S544">
        <f t="shared" si="35"/>
        <v>0</v>
      </c>
    </row>
    <row r="545" spans="1:19" x14ac:dyDescent="0.2">
      <c r="A545">
        <v>462</v>
      </c>
      <c r="B545" s="20" t="s">
        <v>1627</v>
      </c>
      <c r="C545" s="20" t="s">
        <v>484</v>
      </c>
      <c r="D545" s="20" t="s">
        <v>1628</v>
      </c>
      <c r="E545" s="20"/>
      <c r="F545" s="20"/>
      <c r="I545">
        <f t="shared" si="32"/>
        <v>2019</v>
      </c>
      <c r="J545">
        <f t="shared" si="33"/>
        <v>29</v>
      </c>
      <c r="K545" s="21">
        <v>43664</v>
      </c>
      <c r="L545" s="2" t="s">
        <v>23</v>
      </c>
      <c r="M545" s="20" t="s">
        <v>1629</v>
      </c>
      <c r="N545" s="20" t="s">
        <v>1630</v>
      </c>
      <c r="P545">
        <v>1</v>
      </c>
      <c r="R545">
        <f t="shared" si="34"/>
        <v>29</v>
      </c>
      <c r="S545">
        <f t="shared" si="35"/>
        <v>0</v>
      </c>
    </row>
    <row r="546" spans="1:19" x14ac:dyDescent="0.2">
      <c r="A546" s="9">
        <v>127</v>
      </c>
      <c r="B546" s="22" t="s">
        <v>1631</v>
      </c>
      <c r="C546" s="22" t="s">
        <v>1632</v>
      </c>
      <c r="D546" s="23" t="s">
        <v>1633</v>
      </c>
      <c r="E546" s="23"/>
      <c r="F546" s="22"/>
      <c r="G546" s="9"/>
      <c r="H546" s="9"/>
      <c r="I546">
        <f t="shared" si="32"/>
        <v>2019</v>
      </c>
      <c r="J546">
        <f t="shared" si="33"/>
        <v>29</v>
      </c>
      <c r="K546" s="24">
        <v>43665</v>
      </c>
      <c r="L546" s="2" t="s">
        <v>23</v>
      </c>
      <c r="M546" s="22" t="s">
        <v>1634</v>
      </c>
      <c r="N546" s="22" t="s">
        <v>1635</v>
      </c>
      <c r="P546">
        <v>1</v>
      </c>
      <c r="R546">
        <f t="shared" si="34"/>
        <v>29</v>
      </c>
      <c r="S546">
        <f t="shared" si="35"/>
        <v>0</v>
      </c>
    </row>
    <row r="547" spans="1:19" x14ac:dyDescent="0.2">
      <c r="A547" s="12">
        <v>79</v>
      </c>
      <c r="B547" s="25" t="s">
        <v>1636</v>
      </c>
      <c r="C547" s="25" t="s">
        <v>1637</v>
      </c>
      <c r="D547" s="25" t="s">
        <v>1638</v>
      </c>
      <c r="E547" s="4" t="s">
        <v>21</v>
      </c>
      <c r="F547" s="25" t="s">
        <v>22</v>
      </c>
      <c r="I547">
        <f t="shared" si="32"/>
        <v>2019</v>
      </c>
      <c r="J547">
        <f t="shared" si="33"/>
        <v>29</v>
      </c>
      <c r="K547" s="26">
        <v>43666</v>
      </c>
      <c r="L547" s="2" t="s">
        <v>23</v>
      </c>
      <c r="M547" s="25" t="s">
        <v>1639</v>
      </c>
      <c r="N547" s="25" t="s">
        <v>1640</v>
      </c>
      <c r="P547">
        <v>1</v>
      </c>
      <c r="R547">
        <f t="shared" si="34"/>
        <v>29</v>
      </c>
      <c r="S547">
        <f t="shared" si="35"/>
        <v>11</v>
      </c>
    </row>
    <row r="548" spans="1:19" x14ac:dyDescent="0.2">
      <c r="A548">
        <v>76</v>
      </c>
      <c r="B548" s="20" t="s">
        <v>1641</v>
      </c>
      <c r="C548" s="20"/>
      <c r="D548" s="20" t="s">
        <v>1642</v>
      </c>
      <c r="E548" s="5" t="s">
        <v>100</v>
      </c>
      <c r="F548" s="20" t="s">
        <v>676</v>
      </c>
      <c r="G548">
        <v>32.708964182181099</v>
      </c>
      <c r="H548">
        <v>34.940899754832301</v>
      </c>
      <c r="I548">
        <f t="shared" si="32"/>
        <v>2019</v>
      </c>
      <c r="J548">
        <f t="shared" si="33"/>
        <v>30</v>
      </c>
      <c r="K548" s="21">
        <v>43667</v>
      </c>
      <c r="L548" s="2" t="s">
        <v>23</v>
      </c>
      <c r="M548" s="27" t="s">
        <v>1643</v>
      </c>
      <c r="N548" s="20"/>
      <c r="P548">
        <v>1</v>
      </c>
      <c r="R548">
        <f t="shared" si="34"/>
        <v>10</v>
      </c>
      <c r="S548">
        <f t="shared" si="35"/>
        <v>1</v>
      </c>
    </row>
    <row r="549" spans="1:19" x14ac:dyDescent="0.2">
      <c r="A549" t="s">
        <v>1644</v>
      </c>
      <c r="B549" s="20" t="s">
        <v>1645</v>
      </c>
      <c r="C549" s="20" t="s">
        <v>1646</v>
      </c>
      <c r="D549" s="20" t="s">
        <v>1647</v>
      </c>
      <c r="E549" s="20"/>
      <c r="F549" s="20"/>
      <c r="I549">
        <f t="shared" si="32"/>
        <v>2019</v>
      </c>
      <c r="J549">
        <f t="shared" si="33"/>
        <v>30</v>
      </c>
      <c r="K549" s="21">
        <v>43667</v>
      </c>
      <c r="L549" s="2" t="s">
        <v>23</v>
      </c>
      <c r="M549" s="20" t="s">
        <v>1648</v>
      </c>
      <c r="N549" s="20" t="s">
        <v>1649</v>
      </c>
      <c r="P549">
        <v>1</v>
      </c>
      <c r="R549">
        <f t="shared" si="34"/>
        <v>10</v>
      </c>
      <c r="S549">
        <f t="shared" si="35"/>
        <v>0</v>
      </c>
    </row>
    <row r="550" spans="1:19" x14ac:dyDescent="0.2">
      <c r="A550" s="12">
        <v>252</v>
      </c>
      <c r="B550" s="25" t="s">
        <v>1650</v>
      </c>
      <c r="C550" s="25" t="s">
        <v>1651</v>
      </c>
      <c r="D550" s="28" t="s">
        <v>1652</v>
      </c>
      <c r="E550" s="28"/>
      <c r="F550" s="25"/>
      <c r="G550" s="12"/>
      <c r="H550" s="12"/>
      <c r="I550">
        <f t="shared" si="32"/>
        <v>2019</v>
      </c>
      <c r="J550">
        <f t="shared" si="33"/>
        <v>30</v>
      </c>
      <c r="K550" s="29">
        <v>43669</v>
      </c>
      <c r="L550" s="2" t="s">
        <v>23</v>
      </c>
      <c r="M550" s="25" t="s">
        <v>1653</v>
      </c>
      <c r="N550" s="25" t="s">
        <v>1654</v>
      </c>
      <c r="P550">
        <v>1</v>
      </c>
      <c r="R550">
        <f t="shared" si="34"/>
        <v>10</v>
      </c>
      <c r="S550">
        <f t="shared" si="35"/>
        <v>0</v>
      </c>
    </row>
    <row r="551" spans="1:19" x14ac:dyDescent="0.2">
      <c r="A551" s="9">
        <v>70</v>
      </c>
      <c r="B551" s="22" t="s">
        <v>1655</v>
      </c>
      <c r="C551" s="22" t="s">
        <v>1646</v>
      </c>
      <c r="D551" s="22" t="s">
        <v>1656</v>
      </c>
      <c r="E551" s="5" t="s">
        <v>47</v>
      </c>
      <c r="F551" s="22" t="s">
        <v>75</v>
      </c>
      <c r="I551">
        <f t="shared" si="32"/>
        <v>2019</v>
      </c>
      <c r="J551">
        <f t="shared" si="33"/>
        <v>30</v>
      </c>
      <c r="K551" s="30">
        <v>43669</v>
      </c>
      <c r="L551" s="2" t="s">
        <v>23</v>
      </c>
      <c r="M551" s="22" t="s">
        <v>1657</v>
      </c>
      <c r="N551" s="22" t="s">
        <v>1658</v>
      </c>
      <c r="P551">
        <v>1</v>
      </c>
      <c r="R551">
        <f t="shared" si="34"/>
        <v>10</v>
      </c>
      <c r="S551">
        <f t="shared" si="35"/>
        <v>2</v>
      </c>
    </row>
    <row r="552" spans="1:19" x14ac:dyDescent="0.2">
      <c r="A552"/>
      <c r="B552" s="20" t="s">
        <v>1659</v>
      </c>
      <c r="C552" s="20" t="s">
        <v>1660</v>
      </c>
      <c r="D552" s="20" t="s">
        <v>1661</v>
      </c>
      <c r="E552" s="20"/>
      <c r="F552" s="20"/>
      <c r="I552">
        <f t="shared" si="32"/>
        <v>2019</v>
      </c>
      <c r="J552">
        <f t="shared" si="33"/>
        <v>30</v>
      </c>
      <c r="K552" s="21">
        <v>43673</v>
      </c>
      <c r="L552" s="2" t="s">
        <v>23</v>
      </c>
      <c r="M552" s="20" t="s">
        <v>1662</v>
      </c>
      <c r="N552" s="20" t="s">
        <v>1663</v>
      </c>
      <c r="P552">
        <v>1</v>
      </c>
      <c r="R552">
        <f t="shared" si="34"/>
        <v>10</v>
      </c>
      <c r="S552">
        <f t="shared" si="35"/>
        <v>0</v>
      </c>
    </row>
    <row r="553" spans="1:19" x14ac:dyDescent="0.2">
      <c r="A553" s="12">
        <v>424</v>
      </c>
      <c r="B553" s="25" t="s">
        <v>1664</v>
      </c>
      <c r="C553" s="25" t="s">
        <v>625</v>
      </c>
      <c r="D553" s="28" t="s">
        <v>1665</v>
      </c>
      <c r="E553" s="28"/>
      <c r="F553" s="25" t="s">
        <v>665</v>
      </c>
      <c r="G553" s="12"/>
      <c r="H553" s="12"/>
      <c r="I553">
        <f t="shared" si="32"/>
        <v>2019</v>
      </c>
      <c r="J553">
        <f t="shared" si="33"/>
        <v>30</v>
      </c>
      <c r="K553" s="29">
        <v>43673</v>
      </c>
      <c r="L553" s="2" t="s">
        <v>23</v>
      </c>
      <c r="M553" s="25" t="s">
        <v>1666</v>
      </c>
      <c r="N553" s="25" t="s">
        <v>1667</v>
      </c>
      <c r="P553">
        <v>1</v>
      </c>
      <c r="R553">
        <f t="shared" si="34"/>
        <v>10</v>
      </c>
      <c r="S553">
        <f t="shared" si="35"/>
        <v>0</v>
      </c>
    </row>
    <row r="554" spans="1:19" x14ac:dyDescent="0.2">
      <c r="A554" s="9"/>
      <c r="B554" s="22"/>
      <c r="C554" s="22" t="s">
        <v>331</v>
      </c>
      <c r="D554" s="23" t="s">
        <v>1665</v>
      </c>
      <c r="E554" s="23"/>
      <c r="F554" s="22" t="s">
        <v>30</v>
      </c>
      <c r="G554" s="9"/>
      <c r="H554" s="9"/>
      <c r="I554">
        <f t="shared" si="32"/>
        <v>2019</v>
      </c>
      <c r="J554">
        <f t="shared" si="33"/>
        <v>30</v>
      </c>
      <c r="K554" s="24">
        <v>43673</v>
      </c>
      <c r="L554" s="2" t="s">
        <v>23</v>
      </c>
      <c r="M554" s="22"/>
      <c r="N554" s="22"/>
      <c r="P554">
        <v>1</v>
      </c>
      <c r="R554">
        <f t="shared" si="34"/>
        <v>10</v>
      </c>
      <c r="S554">
        <f t="shared" si="35"/>
        <v>0</v>
      </c>
    </row>
    <row r="555" spans="1:19" x14ac:dyDescent="0.2">
      <c r="A555" s="12"/>
      <c r="B555" s="25"/>
      <c r="C555" s="25" t="s">
        <v>331</v>
      </c>
      <c r="D555" s="28" t="s">
        <v>1665</v>
      </c>
      <c r="E555" s="5" t="s">
        <v>47</v>
      </c>
      <c r="F555" s="25" t="s">
        <v>75</v>
      </c>
      <c r="G555" s="12"/>
      <c r="H555" s="12"/>
      <c r="I555">
        <f t="shared" si="32"/>
        <v>2019</v>
      </c>
      <c r="J555">
        <f t="shared" si="33"/>
        <v>30</v>
      </c>
      <c r="K555" s="29">
        <v>43673</v>
      </c>
      <c r="L555" s="2" t="s">
        <v>23</v>
      </c>
      <c r="M555" s="25"/>
      <c r="N555" s="25"/>
      <c r="P555">
        <v>1</v>
      </c>
      <c r="R555">
        <f t="shared" si="34"/>
        <v>10</v>
      </c>
      <c r="S555">
        <f t="shared" si="35"/>
        <v>2</v>
      </c>
    </row>
    <row r="556" spans="1:19" x14ac:dyDescent="0.2">
      <c r="A556" s="9"/>
      <c r="B556" s="22"/>
      <c r="C556" s="22" t="s">
        <v>331</v>
      </c>
      <c r="D556" s="23" t="s">
        <v>1665</v>
      </c>
      <c r="E556" s="4" t="s">
        <v>21</v>
      </c>
      <c r="F556" s="22" t="s">
        <v>22</v>
      </c>
      <c r="G556" s="9"/>
      <c r="H556" s="9"/>
      <c r="I556">
        <f t="shared" si="32"/>
        <v>2019</v>
      </c>
      <c r="J556">
        <f t="shared" si="33"/>
        <v>30</v>
      </c>
      <c r="K556" s="24">
        <v>43673</v>
      </c>
      <c r="L556" s="2" t="s">
        <v>23</v>
      </c>
      <c r="M556" s="22"/>
      <c r="N556" s="22"/>
      <c r="P556">
        <v>1</v>
      </c>
      <c r="R556">
        <f t="shared" si="34"/>
        <v>10</v>
      </c>
      <c r="S556">
        <f t="shared" si="35"/>
        <v>1</v>
      </c>
    </row>
    <row r="557" spans="1:19" x14ac:dyDescent="0.2">
      <c r="A557" s="12"/>
      <c r="B557" s="25"/>
      <c r="C557" s="25" t="s">
        <v>331</v>
      </c>
      <c r="D557" s="28" t="s">
        <v>1665</v>
      </c>
      <c r="E557" s="5" t="s">
        <v>73</v>
      </c>
      <c r="F557" s="25" t="s">
        <v>74</v>
      </c>
      <c r="G557" s="12"/>
      <c r="H557" s="12"/>
      <c r="I557">
        <f t="shared" si="32"/>
        <v>2019</v>
      </c>
      <c r="J557">
        <f t="shared" si="33"/>
        <v>30</v>
      </c>
      <c r="K557" s="29">
        <v>43673</v>
      </c>
      <c r="L557" s="2" t="s">
        <v>23</v>
      </c>
      <c r="M557" s="25"/>
      <c r="N557" s="25"/>
      <c r="P557">
        <v>1</v>
      </c>
      <c r="R557">
        <f t="shared" si="34"/>
        <v>10</v>
      </c>
      <c r="S557">
        <f t="shared" si="35"/>
        <v>1</v>
      </c>
    </row>
    <row r="558" spans="1:19" x14ac:dyDescent="0.2">
      <c r="A558" s="12">
        <v>199</v>
      </c>
      <c r="B558" s="25" t="s">
        <v>1668</v>
      </c>
      <c r="C558" s="25" t="s">
        <v>1669</v>
      </c>
      <c r="D558" s="25" t="s">
        <v>1670</v>
      </c>
      <c r="E558" s="25"/>
      <c r="F558" s="25" t="s">
        <v>1671</v>
      </c>
      <c r="I558">
        <f t="shared" si="32"/>
        <v>2019</v>
      </c>
      <c r="J558">
        <f t="shared" si="33"/>
        <v>31</v>
      </c>
      <c r="K558" s="26">
        <v>43675</v>
      </c>
      <c r="L558" s="2" t="s">
        <v>23</v>
      </c>
      <c r="M558" s="25" t="s">
        <v>1672</v>
      </c>
      <c r="N558" s="25" t="s">
        <v>1673</v>
      </c>
      <c r="P558">
        <v>1</v>
      </c>
      <c r="R558">
        <f t="shared" si="34"/>
        <v>7</v>
      </c>
      <c r="S558">
        <f t="shared" si="35"/>
        <v>0</v>
      </c>
    </row>
    <row r="559" spans="1:19" x14ac:dyDescent="0.2">
      <c r="A559" s="12">
        <v>418</v>
      </c>
      <c r="B559" s="25" t="s">
        <v>1674</v>
      </c>
      <c r="C559" s="25" t="s">
        <v>1332</v>
      </c>
      <c r="D559" s="28" t="s">
        <v>1675</v>
      </c>
      <c r="E559" s="28"/>
      <c r="F559" s="25" t="s">
        <v>30</v>
      </c>
      <c r="G559" s="12"/>
      <c r="H559" s="12"/>
      <c r="I559">
        <f t="shared" si="32"/>
        <v>2019</v>
      </c>
      <c r="J559">
        <f t="shared" si="33"/>
        <v>31</v>
      </c>
      <c r="K559" s="29">
        <v>43677</v>
      </c>
      <c r="L559" s="2" t="s">
        <v>23</v>
      </c>
      <c r="M559" s="25" t="s">
        <v>1676</v>
      </c>
      <c r="N559" s="25" t="s">
        <v>1677</v>
      </c>
      <c r="P559">
        <v>1</v>
      </c>
      <c r="R559">
        <f t="shared" si="34"/>
        <v>7</v>
      </c>
      <c r="S559">
        <f t="shared" si="35"/>
        <v>0</v>
      </c>
    </row>
    <row r="560" spans="1:19" x14ac:dyDescent="0.2">
      <c r="A560" s="9">
        <v>585</v>
      </c>
      <c r="B560" s="22" t="s">
        <v>1678</v>
      </c>
      <c r="C560" s="22" t="s">
        <v>625</v>
      </c>
      <c r="D560" s="23" t="s">
        <v>1679</v>
      </c>
      <c r="E560" s="5" t="s">
        <v>100</v>
      </c>
      <c r="F560" s="22" t="s">
        <v>1680</v>
      </c>
      <c r="G560" s="9"/>
      <c r="H560" s="9"/>
      <c r="I560">
        <f t="shared" si="32"/>
        <v>2019</v>
      </c>
      <c r="J560">
        <f t="shared" si="33"/>
        <v>31</v>
      </c>
      <c r="K560" s="24">
        <v>43679</v>
      </c>
      <c r="L560" s="2" t="s">
        <v>23</v>
      </c>
      <c r="M560" s="22" t="s">
        <v>1681</v>
      </c>
      <c r="N560" s="22" t="s">
        <v>1682</v>
      </c>
      <c r="P560">
        <v>1</v>
      </c>
      <c r="R560">
        <f t="shared" si="34"/>
        <v>7</v>
      </c>
      <c r="S560">
        <f t="shared" si="35"/>
        <v>1</v>
      </c>
    </row>
    <row r="561" spans="1:19" x14ac:dyDescent="0.2">
      <c r="A561" s="9">
        <v>585</v>
      </c>
      <c r="B561" s="22" t="s">
        <v>1678</v>
      </c>
      <c r="C561" s="22" t="s">
        <v>625</v>
      </c>
      <c r="D561" s="23" t="s">
        <v>1679</v>
      </c>
      <c r="E561" s="5" t="s">
        <v>47</v>
      </c>
      <c r="F561" s="22" t="s">
        <v>1680</v>
      </c>
      <c r="G561" s="9"/>
      <c r="H561" s="9"/>
      <c r="I561">
        <f t="shared" si="32"/>
        <v>2019</v>
      </c>
      <c r="J561">
        <f t="shared" si="33"/>
        <v>31</v>
      </c>
      <c r="K561" s="24">
        <v>43679</v>
      </c>
      <c r="L561" s="2" t="s">
        <v>23</v>
      </c>
      <c r="M561" s="22" t="s">
        <v>1681</v>
      </c>
      <c r="N561" s="22" t="s">
        <v>1682</v>
      </c>
      <c r="P561">
        <v>1</v>
      </c>
      <c r="R561">
        <f t="shared" si="34"/>
        <v>7</v>
      </c>
      <c r="S561">
        <f t="shared" si="35"/>
        <v>1</v>
      </c>
    </row>
    <row r="562" spans="1:19" x14ac:dyDescent="0.2">
      <c r="A562" s="9">
        <v>585</v>
      </c>
      <c r="B562" s="22" t="s">
        <v>1678</v>
      </c>
      <c r="C562" s="22" t="s">
        <v>625</v>
      </c>
      <c r="D562" s="23" t="s">
        <v>1679</v>
      </c>
      <c r="E562" s="12" t="s">
        <v>29</v>
      </c>
      <c r="F562" s="22" t="s">
        <v>1680</v>
      </c>
      <c r="G562" s="9"/>
      <c r="H562" s="9"/>
      <c r="I562">
        <f t="shared" si="32"/>
        <v>2019</v>
      </c>
      <c r="J562">
        <f t="shared" si="33"/>
        <v>31</v>
      </c>
      <c r="K562" s="24">
        <v>43679</v>
      </c>
      <c r="L562" s="2" t="s">
        <v>23</v>
      </c>
      <c r="M562" s="22" t="s">
        <v>1681</v>
      </c>
      <c r="N562" s="22" t="s">
        <v>1682</v>
      </c>
      <c r="P562">
        <v>1</v>
      </c>
      <c r="R562">
        <f t="shared" si="34"/>
        <v>7</v>
      </c>
      <c r="S562">
        <f t="shared" si="35"/>
        <v>1</v>
      </c>
    </row>
    <row r="563" spans="1:19" x14ac:dyDescent="0.2">
      <c r="B563" s="20" t="s">
        <v>1683</v>
      </c>
      <c r="C563" s="20" t="s">
        <v>468</v>
      </c>
      <c r="D563" s="20" t="s">
        <v>1684</v>
      </c>
      <c r="E563" s="20"/>
      <c r="F563" s="20" t="s">
        <v>150</v>
      </c>
      <c r="G563">
        <v>33.045236837092403</v>
      </c>
      <c r="H563">
        <v>35.1004249845763</v>
      </c>
      <c r="I563">
        <f t="shared" si="32"/>
        <v>2019</v>
      </c>
      <c r="J563">
        <f t="shared" si="33"/>
        <v>31</v>
      </c>
      <c r="K563" s="21">
        <v>43680</v>
      </c>
      <c r="L563" s="2" t="s">
        <v>23</v>
      </c>
      <c r="M563" s="20" t="s">
        <v>1685</v>
      </c>
      <c r="N563" s="20" t="s">
        <v>1686</v>
      </c>
      <c r="P563">
        <v>1</v>
      </c>
      <c r="R563">
        <f t="shared" si="34"/>
        <v>7</v>
      </c>
      <c r="S563">
        <f t="shared" si="35"/>
        <v>0</v>
      </c>
    </row>
    <row r="564" spans="1:19" x14ac:dyDescent="0.2">
      <c r="A564">
        <v>27</v>
      </c>
      <c r="B564" s="20" t="s">
        <v>1687</v>
      </c>
      <c r="C564" s="20" t="s">
        <v>1275</v>
      </c>
      <c r="D564" s="20" t="s">
        <v>1688</v>
      </c>
      <c r="E564" s="5" t="s">
        <v>73</v>
      </c>
      <c r="F564" s="20" t="s">
        <v>74</v>
      </c>
      <c r="G564">
        <v>32.093438590230903</v>
      </c>
      <c r="H564">
        <v>34.767717357132298</v>
      </c>
      <c r="I564">
        <f t="shared" si="32"/>
        <v>2019</v>
      </c>
      <c r="J564">
        <f t="shared" si="33"/>
        <v>31</v>
      </c>
      <c r="K564" s="21">
        <v>43680</v>
      </c>
      <c r="L564" s="2" t="s">
        <v>23</v>
      </c>
      <c r="M564" s="20" t="s">
        <v>1689</v>
      </c>
      <c r="N564" s="20" t="s">
        <v>1690</v>
      </c>
      <c r="P564">
        <v>1</v>
      </c>
      <c r="R564">
        <f t="shared" si="34"/>
        <v>7</v>
      </c>
      <c r="S564">
        <f t="shared" si="35"/>
        <v>1</v>
      </c>
    </row>
    <row r="565" spans="1:19" x14ac:dyDescent="0.2">
      <c r="A565" s="12">
        <v>108</v>
      </c>
      <c r="B565" s="25" t="s">
        <v>1691</v>
      </c>
      <c r="C565" s="25" t="s">
        <v>1692</v>
      </c>
      <c r="D565" s="28" t="s">
        <v>1693</v>
      </c>
      <c r="E565" s="28"/>
      <c r="F565" s="25"/>
      <c r="G565" s="12"/>
      <c r="H565" s="12"/>
      <c r="I565">
        <f t="shared" si="32"/>
        <v>2019</v>
      </c>
      <c r="J565">
        <f t="shared" si="33"/>
        <v>32</v>
      </c>
      <c r="K565" s="29">
        <v>43684</v>
      </c>
      <c r="L565" s="2" t="s">
        <v>23</v>
      </c>
      <c r="M565" s="25" t="s">
        <v>1694</v>
      </c>
      <c r="N565" s="25" t="s">
        <v>1695</v>
      </c>
      <c r="P565">
        <v>1</v>
      </c>
      <c r="R565">
        <f t="shared" si="34"/>
        <v>4</v>
      </c>
      <c r="S565">
        <f t="shared" si="35"/>
        <v>0</v>
      </c>
    </row>
    <row r="566" spans="1:19" x14ac:dyDescent="0.2">
      <c r="A566" s="12">
        <v>133</v>
      </c>
      <c r="B566" s="25" t="s">
        <v>1696</v>
      </c>
      <c r="C566" s="25" t="s">
        <v>1697</v>
      </c>
      <c r="D566" s="28" t="s">
        <v>1698</v>
      </c>
      <c r="E566" s="28"/>
      <c r="F566" s="25"/>
      <c r="G566" s="12"/>
      <c r="H566" s="12"/>
      <c r="I566">
        <f t="shared" si="32"/>
        <v>2019</v>
      </c>
      <c r="J566">
        <f t="shared" si="33"/>
        <v>32</v>
      </c>
      <c r="K566" s="29">
        <v>43684</v>
      </c>
      <c r="L566" s="2" t="s">
        <v>23</v>
      </c>
      <c r="M566" s="25" t="s">
        <v>1699</v>
      </c>
      <c r="N566" s="25" t="s">
        <v>1700</v>
      </c>
      <c r="P566">
        <v>1</v>
      </c>
      <c r="R566">
        <f t="shared" si="34"/>
        <v>4</v>
      </c>
      <c r="S566">
        <f t="shared" si="35"/>
        <v>0</v>
      </c>
    </row>
    <row r="567" spans="1:19" x14ac:dyDescent="0.2">
      <c r="A567" s="9">
        <v>30</v>
      </c>
      <c r="B567" s="22" t="s">
        <v>1701</v>
      </c>
      <c r="C567" s="22" t="s">
        <v>458</v>
      </c>
      <c r="D567" s="22" t="s">
        <v>1702</v>
      </c>
      <c r="E567" s="22"/>
      <c r="F567" s="22"/>
      <c r="I567">
        <f t="shared" si="32"/>
        <v>2019</v>
      </c>
      <c r="J567">
        <f t="shared" si="33"/>
        <v>32</v>
      </c>
      <c r="K567" s="30">
        <v>43685</v>
      </c>
      <c r="L567" s="2" t="s">
        <v>23</v>
      </c>
      <c r="M567" s="22" t="s">
        <v>1703</v>
      </c>
      <c r="N567" s="22" t="s">
        <v>1704</v>
      </c>
      <c r="P567">
        <v>1</v>
      </c>
      <c r="R567">
        <f t="shared" si="34"/>
        <v>4</v>
      </c>
      <c r="S567">
        <f t="shared" si="35"/>
        <v>0</v>
      </c>
    </row>
    <row r="568" spans="1:19" x14ac:dyDescent="0.2">
      <c r="A568" s="9">
        <v>97</v>
      </c>
      <c r="B568" s="22" t="s">
        <v>1705</v>
      </c>
      <c r="C568" s="22" t="s">
        <v>1706</v>
      </c>
      <c r="D568" s="23" t="s">
        <v>1707</v>
      </c>
      <c r="E568" s="23"/>
      <c r="F568" s="22"/>
      <c r="G568" s="9"/>
      <c r="H568" s="9"/>
      <c r="I568">
        <f t="shared" si="32"/>
        <v>2019</v>
      </c>
      <c r="J568">
        <f t="shared" si="33"/>
        <v>32</v>
      </c>
      <c r="K568" s="24">
        <v>43687</v>
      </c>
      <c r="L568" s="2" t="s">
        <v>23</v>
      </c>
      <c r="M568" s="22" t="s">
        <v>1708</v>
      </c>
      <c r="N568" s="22" t="s">
        <v>1709</v>
      </c>
      <c r="P568">
        <v>1</v>
      </c>
      <c r="R568">
        <f t="shared" si="34"/>
        <v>4</v>
      </c>
      <c r="S568">
        <f t="shared" si="35"/>
        <v>0</v>
      </c>
    </row>
    <row r="569" spans="1:19" x14ac:dyDescent="0.2">
      <c r="A569">
        <v>46</v>
      </c>
      <c r="B569" s="20" t="s">
        <v>1710</v>
      </c>
      <c r="C569" s="20"/>
      <c r="D569" s="20" t="s">
        <v>1711</v>
      </c>
      <c r="E569" s="5" t="s">
        <v>47</v>
      </c>
      <c r="F569" t="s">
        <v>526</v>
      </c>
      <c r="G569">
        <v>32.387344562227902</v>
      </c>
      <c r="H569">
        <v>34.8640819485164</v>
      </c>
      <c r="I569">
        <f t="shared" si="32"/>
        <v>2019</v>
      </c>
      <c r="J569">
        <f t="shared" si="33"/>
        <v>34</v>
      </c>
      <c r="K569" s="21">
        <v>43696</v>
      </c>
      <c r="L569" s="2" t="s">
        <v>23</v>
      </c>
      <c r="M569" s="20" t="s">
        <v>1712</v>
      </c>
      <c r="N569" s="20"/>
      <c r="P569">
        <v>1</v>
      </c>
      <c r="R569">
        <f t="shared" si="34"/>
        <v>1</v>
      </c>
      <c r="S569">
        <f t="shared" si="35"/>
        <v>1</v>
      </c>
    </row>
    <row r="570" spans="1:19" x14ac:dyDescent="0.2">
      <c r="A570" s="9">
        <v>592</v>
      </c>
      <c r="B570" s="9" t="s">
        <v>1713</v>
      </c>
      <c r="C570" s="9" t="s">
        <v>625</v>
      </c>
      <c r="D570" s="10" t="s">
        <v>1714</v>
      </c>
      <c r="E570" s="5" t="s">
        <v>73</v>
      </c>
      <c r="F570" s="9" t="s">
        <v>1465</v>
      </c>
      <c r="G570" s="9"/>
      <c r="H570" s="9"/>
      <c r="I570">
        <f t="shared" si="32"/>
        <v>2019</v>
      </c>
      <c r="J570">
        <f t="shared" si="33"/>
        <v>51</v>
      </c>
      <c r="K570" s="11">
        <v>43820</v>
      </c>
      <c r="L570" s="2" t="s">
        <v>23</v>
      </c>
      <c r="M570" s="9" t="s">
        <v>1715</v>
      </c>
      <c r="N570" s="9" t="s">
        <v>1716</v>
      </c>
      <c r="P570">
        <v>1</v>
      </c>
      <c r="R570">
        <f t="shared" si="34"/>
        <v>5</v>
      </c>
      <c r="S570">
        <f t="shared" si="35"/>
        <v>1</v>
      </c>
    </row>
    <row r="571" spans="1:19" x14ac:dyDescent="0.2">
      <c r="A571" s="9">
        <v>592</v>
      </c>
      <c r="B571" s="9" t="s">
        <v>1713</v>
      </c>
      <c r="C571" s="9" t="s">
        <v>625</v>
      </c>
      <c r="D571" s="10" t="s">
        <v>1714</v>
      </c>
      <c r="E571" s="5" t="s">
        <v>100</v>
      </c>
      <c r="F571" s="9" t="s">
        <v>1465</v>
      </c>
      <c r="G571" s="9"/>
      <c r="H571" s="9"/>
      <c r="I571">
        <f t="shared" si="32"/>
        <v>2019</v>
      </c>
      <c r="J571">
        <f t="shared" si="33"/>
        <v>51</v>
      </c>
      <c r="K571" s="11">
        <v>43820</v>
      </c>
      <c r="L571" s="2" t="s">
        <v>23</v>
      </c>
      <c r="M571" s="9" t="s">
        <v>1715</v>
      </c>
      <c r="N571" s="9" t="s">
        <v>1716</v>
      </c>
      <c r="P571">
        <v>1</v>
      </c>
      <c r="R571">
        <f t="shared" si="34"/>
        <v>5</v>
      </c>
      <c r="S571">
        <f t="shared" si="35"/>
        <v>1</v>
      </c>
    </row>
    <row r="572" spans="1:19" x14ac:dyDescent="0.2">
      <c r="A572" s="9">
        <v>592</v>
      </c>
      <c r="B572" s="9" t="s">
        <v>1713</v>
      </c>
      <c r="C572" s="9" t="s">
        <v>625</v>
      </c>
      <c r="D572" s="10" t="s">
        <v>1714</v>
      </c>
      <c r="E572" s="5" t="s">
        <v>47</v>
      </c>
      <c r="F572" s="9" t="s">
        <v>1465</v>
      </c>
      <c r="G572" s="9"/>
      <c r="H572" s="9"/>
      <c r="I572">
        <f t="shared" si="32"/>
        <v>2019</v>
      </c>
      <c r="J572">
        <f t="shared" si="33"/>
        <v>51</v>
      </c>
      <c r="K572" s="11">
        <v>43820</v>
      </c>
      <c r="L572" s="2" t="s">
        <v>23</v>
      </c>
      <c r="M572" s="9" t="s">
        <v>1715</v>
      </c>
      <c r="N572" s="9" t="s">
        <v>1716</v>
      </c>
      <c r="P572">
        <v>1</v>
      </c>
      <c r="R572">
        <f t="shared" si="34"/>
        <v>5</v>
      </c>
      <c r="S572">
        <f t="shared" si="35"/>
        <v>1</v>
      </c>
    </row>
    <row r="573" spans="1:19" x14ac:dyDescent="0.2">
      <c r="A573" s="9">
        <v>592</v>
      </c>
      <c r="B573" s="9" t="s">
        <v>1713</v>
      </c>
      <c r="C573" s="9" t="s">
        <v>625</v>
      </c>
      <c r="D573" s="10" t="s">
        <v>1714</v>
      </c>
      <c r="E573" s="12" t="s">
        <v>29</v>
      </c>
      <c r="F573" s="9" t="s">
        <v>1465</v>
      </c>
      <c r="G573" s="9"/>
      <c r="H573" s="9"/>
      <c r="I573">
        <f t="shared" si="32"/>
        <v>2019</v>
      </c>
      <c r="J573">
        <f t="shared" si="33"/>
        <v>51</v>
      </c>
      <c r="K573" s="11">
        <v>43820</v>
      </c>
      <c r="L573" s="2" t="s">
        <v>23</v>
      </c>
      <c r="M573" s="9" t="s">
        <v>1715</v>
      </c>
      <c r="N573" s="9" t="s">
        <v>1716</v>
      </c>
      <c r="P573">
        <v>1</v>
      </c>
      <c r="R573">
        <f t="shared" si="34"/>
        <v>5</v>
      </c>
      <c r="S573">
        <f t="shared" si="35"/>
        <v>1</v>
      </c>
    </row>
    <row r="574" spans="1:19" x14ac:dyDescent="0.2">
      <c r="A574" s="9">
        <v>592</v>
      </c>
      <c r="B574" s="9" t="s">
        <v>1713</v>
      </c>
      <c r="C574" s="9" t="s">
        <v>625</v>
      </c>
      <c r="D574" s="10" t="s">
        <v>1714</v>
      </c>
      <c r="E574" s="12" t="s">
        <v>21</v>
      </c>
      <c r="F574" s="9" t="s">
        <v>1465</v>
      </c>
      <c r="G574" s="9"/>
      <c r="H574" s="9"/>
      <c r="I574">
        <f t="shared" si="32"/>
        <v>2019</v>
      </c>
      <c r="J574">
        <f t="shared" si="33"/>
        <v>51</v>
      </c>
      <c r="K574" s="11">
        <v>43820</v>
      </c>
      <c r="L574" s="2" t="s">
        <v>23</v>
      </c>
      <c r="M574" s="9" t="s">
        <v>1715</v>
      </c>
      <c r="N574" s="9" t="s">
        <v>1716</v>
      </c>
      <c r="P574">
        <v>1</v>
      </c>
      <c r="R574">
        <f t="shared" si="34"/>
        <v>5</v>
      </c>
      <c r="S574">
        <f t="shared" si="35"/>
        <v>1</v>
      </c>
    </row>
    <row r="575" spans="1:19" x14ac:dyDescent="0.2">
      <c r="A575" s="1">
        <v>2</v>
      </c>
      <c r="B575" t="s">
        <v>1717</v>
      </c>
      <c r="C575" t="s">
        <v>68</v>
      </c>
      <c r="D575" t="s">
        <v>1718</v>
      </c>
      <c r="E575" s="5" t="s">
        <v>47</v>
      </c>
      <c r="F575" t="s">
        <v>243</v>
      </c>
      <c r="G575">
        <v>32.177466819907004</v>
      </c>
      <c r="H575">
        <v>34.801354466376203</v>
      </c>
      <c r="I575">
        <f t="shared" si="32"/>
        <v>2019</v>
      </c>
      <c r="J575">
        <f t="shared" si="33"/>
        <v>52</v>
      </c>
      <c r="K575" s="2">
        <v>43822</v>
      </c>
      <c r="L575" s="2" t="s">
        <v>23</v>
      </c>
      <c r="M575" t="s">
        <v>1719</v>
      </c>
      <c r="N575" t="s">
        <v>1720</v>
      </c>
      <c r="P575">
        <v>1</v>
      </c>
      <c r="R575">
        <f t="shared" si="34"/>
        <v>1</v>
      </c>
      <c r="S575">
        <f t="shared" si="35"/>
        <v>1</v>
      </c>
    </row>
    <row r="576" spans="1:19" x14ac:dyDescent="0.2">
      <c r="A576">
        <v>2</v>
      </c>
      <c r="B576" t="s">
        <v>1721</v>
      </c>
      <c r="C576" t="s">
        <v>237</v>
      </c>
      <c r="D576" t="s">
        <v>1722</v>
      </c>
      <c r="E576" s="5" t="s">
        <v>73</v>
      </c>
      <c r="F576" t="s">
        <v>74</v>
      </c>
      <c r="G576">
        <v>32.093438590230903</v>
      </c>
      <c r="H576">
        <v>34.767717357132298</v>
      </c>
      <c r="I576">
        <f t="shared" si="32"/>
        <v>2020</v>
      </c>
      <c r="J576">
        <f t="shared" si="33"/>
        <v>4</v>
      </c>
      <c r="K576" s="2">
        <v>43854</v>
      </c>
      <c r="L576" s="2" t="s">
        <v>23</v>
      </c>
      <c r="M576" t="s">
        <v>1723</v>
      </c>
      <c r="N576" t="s">
        <v>1724</v>
      </c>
      <c r="P576">
        <v>1</v>
      </c>
      <c r="R576">
        <f t="shared" si="34"/>
        <v>2</v>
      </c>
      <c r="S576">
        <f t="shared" si="35"/>
        <v>1</v>
      </c>
    </row>
    <row r="577" spans="1:19" x14ac:dyDescent="0.2">
      <c r="A577" s="12">
        <v>72</v>
      </c>
      <c r="B577" s="12" t="s">
        <v>1725</v>
      </c>
      <c r="C577" s="12" t="s">
        <v>555</v>
      </c>
      <c r="D577" s="13" t="s">
        <v>1726</v>
      </c>
      <c r="E577" s="13"/>
      <c r="F577" s="12"/>
      <c r="G577" s="12"/>
      <c r="H577" s="12"/>
      <c r="I577">
        <f t="shared" si="32"/>
        <v>2020</v>
      </c>
      <c r="J577">
        <f t="shared" si="33"/>
        <v>4</v>
      </c>
      <c r="K577" s="14">
        <v>43854</v>
      </c>
      <c r="L577" s="2" t="s">
        <v>23</v>
      </c>
      <c r="M577" s="12" t="s">
        <v>1727</v>
      </c>
      <c r="N577" s="12" t="s">
        <v>1728</v>
      </c>
      <c r="P577">
        <v>1</v>
      </c>
      <c r="R577">
        <f t="shared" si="34"/>
        <v>2</v>
      </c>
      <c r="S577">
        <f t="shared" si="35"/>
        <v>0</v>
      </c>
    </row>
    <row r="578" spans="1:19" x14ac:dyDescent="0.2">
      <c r="A578">
        <v>541</v>
      </c>
      <c r="B578" t="s">
        <v>1729</v>
      </c>
      <c r="C578" t="s">
        <v>19</v>
      </c>
      <c r="D578" t="s">
        <v>1730</v>
      </c>
      <c r="E578" s="5" t="s">
        <v>73</v>
      </c>
      <c r="F578" t="s">
        <v>74</v>
      </c>
      <c r="G578">
        <v>32.093438590230903</v>
      </c>
      <c r="H578">
        <v>34.767717357132298</v>
      </c>
      <c r="I578">
        <f t="shared" ref="I578:I641" si="36">YEAR(K578)</f>
        <v>2020</v>
      </c>
      <c r="J578">
        <f t="shared" ref="J578:J641" si="37">WEEKNUM(K578)</f>
        <v>5</v>
      </c>
      <c r="K578" s="2">
        <v>43856</v>
      </c>
      <c r="L578" s="2" t="s">
        <v>23</v>
      </c>
      <c r="M578" t="s">
        <v>1731</v>
      </c>
      <c r="N578" t="s">
        <v>1732</v>
      </c>
      <c r="P578">
        <v>1</v>
      </c>
      <c r="R578">
        <f t="shared" si="34"/>
        <v>3</v>
      </c>
      <c r="S578">
        <f t="shared" si="35"/>
        <v>1</v>
      </c>
    </row>
    <row r="579" spans="1:19" x14ac:dyDescent="0.2">
      <c r="A579">
        <v>37</v>
      </c>
      <c r="B579" t="s">
        <v>1733</v>
      </c>
      <c r="C579" t="s">
        <v>1734</v>
      </c>
      <c r="D579" t="s">
        <v>1735</v>
      </c>
      <c r="I579">
        <f t="shared" si="36"/>
        <v>2020</v>
      </c>
      <c r="J579">
        <f t="shared" si="37"/>
        <v>5</v>
      </c>
      <c r="K579" s="2">
        <v>43856</v>
      </c>
      <c r="L579" s="2" t="s">
        <v>23</v>
      </c>
      <c r="M579" t="s">
        <v>1736</v>
      </c>
      <c r="N579" t="s">
        <v>1737</v>
      </c>
      <c r="P579">
        <v>1</v>
      </c>
      <c r="R579">
        <f t="shared" ref="R579:R642" si="38">COUNTIFS($J$2:$J$997,J579,$I$2:$I$997,I579)</f>
        <v>3</v>
      </c>
      <c r="S579">
        <f t="shared" ref="S579:S642" si="39">COUNTIFS($J$2:$J$997,J579,$I$2:$I$997,I579,$E$2:$E$997,E579)</f>
        <v>0</v>
      </c>
    </row>
    <row r="580" spans="1:19" x14ac:dyDescent="0.2">
      <c r="A580" t="s">
        <v>1738</v>
      </c>
      <c r="B580" t="s">
        <v>1739</v>
      </c>
      <c r="C580" t="s">
        <v>1212</v>
      </c>
      <c r="D580" t="s">
        <v>1740</v>
      </c>
      <c r="I580">
        <f t="shared" si="36"/>
        <v>2020</v>
      </c>
      <c r="J580">
        <f t="shared" si="37"/>
        <v>5</v>
      </c>
      <c r="K580" s="2">
        <v>43856</v>
      </c>
      <c r="L580" s="2" t="s">
        <v>23</v>
      </c>
      <c r="M580" t="s">
        <v>1741</v>
      </c>
      <c r="N580" t="s">
        <v>1742</v>
      </c>
      <c r="P580">
        <v>1</v>
      </c>
      <c r="R580">
        <f t="shared" si="38"/>
        <v>3</v>
      </c>
      <c r="S580">
        <f t="shared" si="39"/>
        <v>0</v>
      </c>
    </row>
    <row r="581" spans="1:19" x14ac:dyDescent="0.2">
      <c r="A581" t="s">
        <v>1743</v>
      </c>
      <c r="B581" t="s">
        <v>1744</v>
      </c>
      <c r="C581" t="s">
        <v>1745</v>
      </c>
      <c r="D581" t="s">
        <v>1746</v>
      </c>
      <c r="I581">
        <f t="shared" si="36"/>
        <v>2020</v>
      </c>
      <c r="J581">
        <f t="shared" si="37"/>
        <v>18</v>
      </c>
      <c r="K581" s="2">
        <v>43952</v>
      </c>
      <c r="L581" s="2" t="s">
        <v>23</v>
      </c>
      <c r="M581" t="s">
        <v>1747</v>
      </c>
      <c r="N581" t="s">
        <v>1748</v>
      </c>
      <c r="P581">
        <v>1</v>
      </c>
      <c r="R581">
        <f t="shared" si="38"/>
        <v>1</v>
      </c>
      <c r="S581">
        <f t="shared" si="39"/>
        <v>0</v>
      </c>
    </row>
    <row r="582" spans="1:19" x14ac:dyDescent="0.2">
      <c r="A582" t="s">
        <v>1749</v>
      </c>
      <c r="B582" t="s">
        <v>1750</v>
      </c>
      <c r="C582" t="s">
        <v>1751</v>
      </c>
      <c r="D582" t="s">
        <v>1752</v>
      </c>
      <c r="I582">
        <f t="shared" si="36"/>
        <v>2020</v>
      </c>
      <c r="J582">
        <f t="shared" si="37"/>
        <v>19</v>
      </c>
      <c r="K582" s="2">
        <v>43955</v>
      </c>
      <c r="L582" s="2" t="s">
        <v>23</v>
      </c>
      <c r="M582" t="s">
        <v>1753</v>
      </c>
      <c r="N582" t="s">
        <v>1754</v>
      </c>
      <c r="P582">
        <v>1</v>
      </c>
      <c r="R582">
        <f t="shared" si="38"/>
        <v>1</v>
      </c>
      <c r="S582">
        <f t="shared" si="39"/>
        <v>0</v>
      </c>
    </row>
    <row r="583" spans="1:19" x14ac:dyDescent="0.2">
      <c r="A583">
        <v>19</v>
      </c>
      <c r="B583" t="s">
        <v>1755</v>
      </c>
      <c r="C583" t="s">
        <v>688</v>
      </c>
      <c r="D583" t="s">
        <v>1756</v>
      </c>
      <c r="E583" s="4" t="s">
        <v>21</v>
      </c>
      <c r="F583" t="s">
        <v>64</v>
      </c>
      <c r="G583">
        <v>31.8169667122236</v>
      </c>
      <c r="H583">
        <v>34.639611775767101</v>
      </c>
      <c r="I583">
        <f t="shared" si="36"/>
        <v>2020</v>
      </c>
      <c r="J583">
        <f t="shared" si="37"/>
        <v>22</v>
      </c>
      <c r="K583" s="2">
        <v>43979</v>
      </c>
      <c r="L583" s="2" t="s">
        <v>23</v>
      </c>
      <c r="M583" t="s">
        <v>1757</v>
      </c>
      <c r="N583" t="s">
        <v>1758</v>
      </c>
      <c r="P583">
        <v>1</v>
      </c>
      <c r="R583">
        <f t="shared" si="38"/>
        <v>2</v>
      </c>
      <c r="S583">
        <f t="shared" si="39"/>
        <v>1</v>
      </c>
    </row>
    <row r="584" spans="1:19" x14ac:dyDescent="0.2">
      <c r="A584" s="9"/>
      <c r="B584" s="9"/>
      <c r="C584" s="9" t="s">
        <v>661</v>
      </c>
      <c r="D584" s="10" t="s">
        <v>1759</v>
      </c>
      <c r="E584" s="5" t="s">
        <v>73</v>
      </c>
      <c r="F584" s="9" t="s">
        <v>74</v>
      </c>
      <c r="G584" s="9"/>
      <c r="H584" s="9"/>
      <c r="I584">
        <f t="shared" si="36"/>
        <v>2020</v>
      </c>
      <c r="J584">
        <f t="shared" si="37"/>
        <v>22</v>
      </c>
      <c r="K584" s="11">
        <v>43979</v>
      </c>
      <c r="L584" s="2" t="s">
        <v>23</v>
      </c>
      <c r="M584" s="9"/>
      <c r="N584" s="9"/>
      <c r="P584">
        <v>1</v>
      </c>
      <c r="R584">
        <f t="shared" si="38"/>
        <v>2</v>
      </c>
      <c r="S584">
        <f t="shared" si="39"/>
        <v>1</v>
      </c>
    </row>
    <row r="585" spans="1:19" x14ac:dyDescent="0.2">
      <c r="A585" s="12">
        <v>42</v>
      </c>
      <c r="B585" s="12" t="s">
        <v>1760</v>
      </c>
      <c r="C585" s="12" t="s">
        <v>1606</v>
      </c>
      <c r="D585" s="13" t="s">
        <v>1761</v>
      </c>
      <c r="E585" s="13"/>
      <c r="F585" s="12" t="s">
        <v>30</v>
      </c>
      <c r="G585" s="12"/>
      <c r="H585" s="12"/>
      <c r="I585">
        <f t="shared" si="36"/>
        <v>2020</v>
      </c>
      <c r="J585">
        <f t="shared" si="37"/>
        <v>23</v>
      </c>
      <c r="K585" s="14">
        <v>43985</v>
      </c>
      <c r="L585" s="2" t="s">
        <v>23</v>
      </c>
      <c r="M585" s="12" t="s">
        <v>1762</v>
      </c>
      <c r="N585" s="12" t="s">
        <v>1763</v>
      </c>
      <c r="P585">
        <v>1</v>
      </c>
      <c r="R585">
        <f t="shared" si="38"/>
        <v>10</v>
      </c>
      <c r="S585">
        <f t="shared" si="39"/>
        <v>0</v>
      </c>
    </row>
    <row r="586" spans="1:19" x14ac:dyDescent="0.2">
      <c r="A586" s="9"/>
      <c r="B586" s="9"/>
      <c r="C586" s="9"/>
      <c r="D586" s="10" t="s">
        <v>1761</v>
      </c>
      <c r="E586" s="5" t="s">
        <v>47</v>
      </c>
      <c r="F586" s="9" t="s">
        <v>75</v>
      </c>
      <c r="G586" s="9"/>
      <c r="H586" s="9"/>
      <c r="I586">
        <f t="shared" si="36"/>
        <v>2020</v>
      </c>
      <c r="J586">
        <f t="shared" si="37"/>
        <v>23</v>
      </c>
      <c r="K586" s="11">
        <v>43985</v>
      </c>
      <c r="L586" s="2" t="s">
        <v>23</v>
      </c>
      <c r="M586" s="9"/>
      <c r="N586" s="9"/>
      <c r="P586">
        <v>1</v>
      </c>
      <c r="R586">
        <f t="shared" si="38"/>
        <v>10</v>
      </c>
      <c r="S586">
        <f t="shared" si="39"/>
        <v>1</v>
      </c>
    </row>
    <row r="587" spans="1:19" x14ac:dyDescent="0.2">
      <c r="A587" s="12"/>
      <c r="B587" s="12"/>
      <c r="C587" s="12"/>
      <c r="D587" s="13" t="s">
        <v>1761</v>
      </c>
      <c r="E587" s="13"/>
      <c r="F587" s="12" t="s">
        <v>48</v>
      </c>
      <c r="G587" s="12"/>
      <c r="H587" s="12"/>
      <c r="I587">
        <f t="shared" si="36"/>
        <v>2020</v>
      </c>
      <c r="J587">
        <f t="shared" si="37"/>
        <v>23</v>
      </c>
      <c r="K587" s="14">
        <v>43985</v>
      </c>
      <c r="L587" s="2" t="s">
        <v>23</v>
      </c>
      <c r="M587" s="12"/>
      <c r="N587" s="12"/>
      <c r="P587">
        <v>1</v>
      </c>
      <c r="R587">
        <f t="shared" si="38"/>
        <v>10</v>
      </c>
      <c r="S587">
        <f t="shared" si="39"/>
        <v>0</v>
      </c>
    </row>
    <row r="588" spans="1:19" x14ac:dyDescent="0.2">
      <c r="A588" s="9"/>
      <c r="B588" s="9"/>
      <c r="C588" s="9"/>
      <c r="D588" s="10" t="s">
        <v>1761</v>
      </c>
      <c r="E588" s="5" t="s">
        <v>73</v>
      </c>
      <c r="F588" s="9" t="s">
        <v>74</v>
      </c>
      <c r="G588" s="9"/>
      <c r="H588" s="9"/>
      <c r="I588">
        <f t="shared" si="36"/>
        <v>2020</v>
      </c>
      <c r="J588">
        <f t="shared" si="37"/>
        <v>23</v>
      </c>
      <c r="K588" s="11">
        <v>43985</v>
      </c>
      <c r="L588" s="2" t="s">
        <v>23</v>
      </c>
      <c r="M588" s="9"/>
      <c r="N588" s="9"/>
      <c r="P588">
        <v>1</v>
      </c>
      <c r="R588">
        <f t="shared" si="38"/>
        <v>10</v>
      </c>
      <c r="S588">
        <f t="shared" si="39"/>
        <v>2</v>
      </c>
    </row>
    <row r="589" spans="1:19" x14ac:dyDescent="0.2">
      <c r="A589" s="12"/>
      <c r="B589" s="12"/>
      <c r="C589" s="12"/>
      <c r="D589" s="13" t="s">
        <v>1761</v>
      </c>
      <c r="E589" s="4" t="s">
        <v>21</v>
      </c>
      <c r="F589" s="12" t="s">
        <v>64</v>
      </c>
      <c r="G589" s="12"/>
      <c r="H589" s="12"/>
      <c r="I589">
        <f t="shared" si="36"/>
        <v>2020</v>
      </c>
      <c r="J589">
        <f t="shared" si="37"/>
        <v>23</v>
      </c>
      <c r="K589" s="14">
        <v>43985</v>
      </c>
      <c r="L589" s="2" t="s">
        <v>23</v>
      </c>
      <c r="M589" s="12"/>
      <c r="N589" s="12"/>
      <c r="P589">
        <v>1</v>
      </c>
      <c r="R589">
        <f t="shared" si="38"/>
        <v>10</v>
      </c>
      <c r="S589">
        <f t="shared" si="39"/>
        <v>1</v>
      </c>
    </row>
    <row r="590" spans="1:19" x14ac:dyDescent="0.2">
      <c r="A590" s="9"/>
      <c r="B590" s="9"/>
      <c r="C590" s="9" t="s">
        <v>1764</v>
      </c>
      <c r="D590" s="10" t="s">
        <v>1761</v>
      </c>
      <c r="E590" s="10"/>
      <c r="F590" s="9" t="s">
        <v>242</v>
      </c>
      <c r="G590" s="9"/>
      <c r="H590" s="9"/>
      <c r="I590">
        <f t="shared" si="36"/>
        <v>2020</v>
      </c>
      <c r="J590">
        <f t="shared" si="37"/>
        <v>23</v>
      </c>
      <c r="K590" s="11">
        <v>43985</v>
      </c>
      <c r="L590" s="2" t="s">
        <v>23</v>
      </c>
      <c r="M590" s="9"/>
      <c r="N590" s="9"/>
      <c r="P590">
        <v>1</v>
      </c>
      <c r="R590">
        <f t="shared" si="38"/>
        <v>10</v>
      </c>
      <c r="S590">
        <f t="shared" si="39"/>
        <v>0</v>
      </c>
    </row>
    <row r="591" spans="1:19" x14ac:dyDescent="0.2">
      <c r="A591" s="9">
        <v>132</v>
      </c>
      <c r="B591" s="9" t="s">
        <v>1765</v>
      </c>
      <c r="C591" s="9" t="s">
        <v>1766</v>
      </c>
      <c r="D591" s="10" t="s">
        <v>1767</v>
      </c>
      <c r="E591" s="10"/>
      <c r="F591" s="9" t="s">
        <v>665</v>
      </c>
      <c r="G591" s="9"/>
      <c r="H591" s="9"/>
      <c r="I591">
        <f t="shared" si="36"/>
        <v>2020</v>
      </c>
      <c r="J591">
        <f t="shared" si="37"/>
        <v>23</v>
      </c>
      <c r="K591" s="11">
        <v>43988</v>
      </c>
      <c r="L591" s="2" t="s">
        <v>23</v>
      </c>
      <c r="M591" s="9" t="s">
        <v>1768</v>
      </c>
      <c r="N591" s="9" t="s">
        <v>1769</v>
      </c>
      <c r="P591">
        <v>1</v>
      </c>
      <c r="R591">
        <f t="shared" si="38"/>
        <v>10</v>
      </c>
      <c r="S591">
        <f t="shared" si="39"/>
        <v>0</v>
      </c>
    </row>
    <row r="592" spans="1:19" x14ac:dyDescent="0.2">
      <c r="A592" s="9"/>
      <c r="B592" s="9"/>
      <c r="C592" s="9" t="s">
        <v>1770</v>
      </c>
      <c r="D592" s="10" t="s">
        <v>1767</v>
      </c>
      <c r="E592" s="10"/>
      <c r="F592" s="9" t="s">
        <v>30</v>
      </c>
      <c r="G592" s="9"/>
      <c r="H592" s="9"/>
      <c r="I592">
        <f t="shared" si="36"/>
        <v>2020</v>
      </c>
      <c r="J592">
        <f t="shared" si="37"/>
        <v>23</v>
      </c>
      <c r="K592" s="11">
        <v>43988</v>
      </c>
      <c r="L592" s="2" t="s">
        <v>23</v>
      </c>
      <c r="M592" s="9"/>
      <c r="N592" s="9"/>
      <c r="P592">
        <v>1</v>
      </c>
      <c r="R592">
        <f t="shared" si="38"/>
        <v>10</v>
      </c>
      <c r="S592">
        <f t="shared" si="39"/>
        <v>0</v>
      </c>
    </row>
    <row r="593" spans="1:19" x14ac:dyDescent="0.2">
      <c r="A593" s="12"/>
      <c r="B593" s="12"/>
      <c r="C593" s="12" t="s">
        <v>1770</v>
      </c>
      <c r="D593" s="13" t="s">
        <v>1767</v>
      </c>
      <c r="E593" s="13"/>
      <c r="F593" s="12" t="s">
        <v>48</v>
      </c>
      <c r="G593" s="12"/>
      <c r="H593" s="12"/>
      <c r="I593">
        <f t="shared" si="36"/>
        <v>2020</v>
      </c>
      <c r="J593">
        <f t="shared" si="37"/>
        <v>23</v>
      </c>
      <c r="K593" s="14">
        <v>43988</v>
      </c>
      <c r="L593" s="2" t="s">
        <v>23</v>
      </c>
      <c r="M593" s="12"/>
      <c r="N593" s="12"/>
      <c r="P593">
        <v>1</v>
      </c>
      <c r="R593">
        <f t="shared" si="38"/>
        <v>10</v>
      </c>
      <c r="S593">
        <f t="shared" si="39"/>
        <v>0</v>
      </c>
    </row>
    <row r="594" spans="1:19" x14ac:dyDescent="0.2">
      <c r="A594" s="12"/>
      <c r="B594" s="12"/>
      <c r="C594" s="12" t="s">
        <v>1770</v>
      </c>
      <c r="D594" s="13" t="s">
        <v>1767</v>
      </c>
      <c r="E594" s="5" t="s">
        <v>73</v>
      </c>
      <c r="F594" s="12" t="s">
        <v>74</v>
      </c>
      <c r="G594" s="12"/>
      <c r="H594" s="12"/>
      <c r="I594">
        <f t="shared" si="36"/>
        <v>2020</v>
      </c>
      <c r="J594">
        <f t="shared" si="37"/>
        <v>23</v>
      </c>
      <c r="K594" s="14">
        <v>43988</v>
      </c>
      <c r="L594" s="2" t="s">
        <v>23</v>
      </c>
      <c r="M594" s="12"/>
      <c r="N594" s="12"/>
      <c r="P594">
        <v>1</v>
      </c>
      <c r="R594">
        <f t="shared" si="38"/>
        <v>10</v>
      </c>
      <c r="S594">
        <f t="shared" si="39"/>
        <v>2</v>
      </c>
    </row>
    <row r="595" spans="1:19" x14ac:dyDescent="0.2">
      <c r="A595">
        <v>436</v>
      </c>
      <c r="B595" t="s">
        <v>1771</v>
      </c>
      <c r="C595" t="s">
        <v>1772</v>
      </c>
      <c r="D595" t="s">
        <v>1773</v>
      </c>
      <c r="F595" t="s">
        <v>242</v>
      </c>
      <c r="G595">
        <v>32.023220011216303</v>
      </c>
      <c r="H595">
        <v>34.738647655010197</v>
      </c>
      <c r="I595">
        <f t="shared" si="36"/>
        <v>2020</v>
      </c>
      <c r="J595">
        <f t="shared" si="37"/>
        <v>24</v>
      </c>
      <c r="K595" s="2">
        <v>43989</v>
      </c>
      <c r="L595" s="2" t="s">
        <v>23</v>
      </c>
      <c r="M595" t="s">
        <v>1774</v>
      </c>
      <c r="N595" t="s">
        <v>1775</v>
      </c>
      <c r="P595">
        <v>1</v>
      </c>
      <c r="R595">
        <f t="shared" si="38"/>
        <v>3</v>
      </c>
      <c r="S595">
        <f t="shared" si="39"/>
        <v>0</v>
      </c>
    </row>
    <row r="596" spans="1:19" x14ac:dyDescent="0.2">
      <c r="A596">
        <v>58</v>
      </c>
      <c r="B596" t="s">
        <v>1776</v>
      </c>
      <c r="D596" t="s">
        <v>1777</v>
      </c>
      <c r="E596" s="5" t="s">
        <v>73</v>
      </c>
      <c r="F596" t="s">
        <v>74</v>
      </c>
      <c r="G596">
        <v>32.093438590230903</v>
      </c>
      <c r="H596">
        <v>34.767717357132298</v>
      </c>
      <c r="I596">
        <f t="shared" si="36"/>
        <v>2020</v>
      </c>
      <c r="J596">
        <f t="shared" si="37"/>
        <v>24</v>
      </c>
      <c r="K596" s="2">
        <v>43989</v>
      </c>
      <c r="L596" s="2" t="s">
        <v>23</v>
      </c>
      <c r="M596" t="s">
        <v>1778</v>
      </c>
      <c r="P596">
        <v>1</v>
      </c>
      <c r="R596">
        <f t="shared" si="38"/>
        <v>3</v>
      </c>
      <c r="S596">
        <f t="shared" si="39"/>
        <v>1</v>
      </c>
    </row>
    <row r="597" spans="1:19" x14ac:dyDescent="0.2">
      <c r="A597">
        <v>82</v>
      </c>
      <c r="B597" t="s">
        <v>1779</v>
      </c>
      <c r="D597" t="s">
        <v>351</v>
      </c>
      <c r="E597" s="4" t="s">
        <v>21</v>
      </c>
      <c r="F597" t="s">
        <v>70</v>
      </c>
      <c r="G597">
        <v>32.002493003827801</v>
      </c>
      <c r="H597">
        <v>34.731694234364099</v>
      </c>
      <c r="I597">
        <f t="shared" si="36"/>
        <v>2020</v>
      </c>
      <c r="J597">
        <f t="shared" si="37"/>
        <v>24</v>
      </c>
      <c r="K597" s="2">
        <v>43990</v>
      </c>
      <c r="L597" s="2" t="s">
        <v>23</v>
      </c>
      <c r="M597" t="s">
        <v>1780</v>
      </c>
      <c r="P597">
        <v>1</v>
      </c>
      <c r="R597">
        <f t="shared" si="38"/>
        <v>3</v>
      </c>
      <c r="S597">
        <f t="shared" si="39"/>
        <v>1</v>
      </c>
    </row>
    <row r="598" spans="1:19" x14ac:dyDescent="0.2">
      <c r="B598" t="s">
        <v>1781</v>
      </c>
      <c r="C598" t="s">
        <v>1782</v>
      </c>
      <c r="D598" t="s">
        <v>1783</v>
      </c>
      <c r="E598" s="5" t="s">
        <v>73</v>
      </c>
      <c r="F598" t="s">
        <v>74</v>
      </c>
      <c r="G598">
        <v>32.093438590230903</v>
      </c>
      <c r="H598">
        <v>34.767717357132298</v>
      </c>
      <c r="I598">
        <f t="shared" si="36"/>
        <v>2020</v>
      </c>
      <c r="J598">
        <f t="shared" si="37"/>
        <v>25</v>
      </c>
      <c r="K598" s="2">
        <v>43999</v>
      </c>
      <c r="L598" s="2" t="s">
        <v>23</v>
      </c>
      <c r="M598" t="s">
        <v>1784</v>
      </c>
      <c r="N598" t="s">
        <v>1785</v>
      </c>
      <c r="P598">
        <v>1</v>
      </c>
      <c r="R598">
        <f t="shared" si="38"/>
        <v>2</v>
      </c>
      <c r="S598">
        <f t="shared" si="39"/>
        <v>2</v>
      </c>
    </row>
    <row r="599" spans="1:19" x14ac:dyDescent="0.2">
      <c r="A599">
        <v>348</v>
      </c>
      <c r="B599" t="s">
        <v>1786</v>
      </c>
      <c r="C599" t="s">
        <v>1787</v>
      </c>
      <c r="D599" t="s">
        <v>1788</v>
      </c>
      <c r="E599" s="5" t="s">
        <v>73</v>
      </c>
      <c r="F599" t="s">
        <v>74</v>
      </c>
      <c r="G599">
        <v>32.093438590230903</v>
      </c>
      <c r="H599">
        <v>34.767717357132298</v>
      </c>
      <c r="I599">
        <f t="shared" si="36"/>
        <v>2020</v>
      </c>
      <c r="J599">
        <f t="shared" si="37"/>
        <v>25</v>
      </c>
      <c r="K599" s="2">
        <v>44001</v>
      </c>
      <c r="L599" s="2" t="s">
        <v>23</v>
      </c>
      <c r="M599" t="s">
        <v>1789</v>
      </c>
      <c r="N599" t="s">
        <v>1790</v>
      </c>
      <c r="P599">
        <v>1</v>
      </c>
      <c r="R599">
        <f t="shared" si="38"/>
        <v>2</v>
      </c>
      <c r="S599">
        <f t="shared" si="39"/>
        <v>2</v>
      </c>
    </row>
    <row r="600" spans="1:19" x14ac:dyDescent="0.2">
      <c r="A600" s="12">
        <v>385</v>
      </c>
      <c r="B600" s="12" t="s">
        <v>1791</v>
      </c>
      <c r="C600" s="12" t="s">
        <v>1792</v>
      </c>
      <c r="D600" s="12" t="s">
        <v>1793</v>
      </c>
      <c r="E600" s="12"/>
      <c r="F600" s="12" t="s">
        <v>150</v>
      </c>
      <c r="I600">
        <f t="shared" si="36"/>
        <v>2020</v>
      </c>
      <c r="J600">
        <f t="shared" si="37"/>
        <v>26</v>
      </c>
      <c r="K600" s="17">
        <v>44004</v>
      </c>
      <c r="L600" s="2" t="s">
        <v>23</v>
      </c>
      <c r="M600" s="12" t="s">
        <v>1794</v>
      </c>
      <c r="N600" s="12" t="s">
        <v>1795</v>
      </c>
      <c r="P600">
        <v>1</v>
      </c>
      <c r="R600">
        <f t="shared" si="38"/>
        <v>2</v>
      </c>
      <c r="S600">
        <f t="shared" si="39"/>
        <v>0</v>
      </c>
    </row>
    <row r="601" spans="1:19" x14ac:dyDescent="0.2">
      <c r="A601">
        <v>81</v>
      </c>
      <c r="B601" t="s">
        <v>1796</v>
      </c>
      <c r="C601" t="s">
        <v>458</v>
      </c>
      <c r="D601" t="s">
        <v>1797</v>
      </c>
      <c r="E601" s="5" t="s">
        <v>47</v>
      </c>
      <c r="F601" t="s">
        <v>75</v>
      </c>
      <c r="G601">
        <v>32.439273327223297</v>
      </c>
      <c r="H601">
        <v>34.878068554773698</v>
      </c>
      <c r="I601">
        <f t="shared" si="36"/>
        <v>2020</v>
      </c>
      <c r="J601">
        <f t="shared" si="37"/>
        <v>26</v>
      </c>
      <c r="K601" s="2">
        <v>44007</v>
      </c>
      <c r="L601" s="2" t="s">
        <v>23</v>
      </c>
      <c r="M601" t="s">
        <v>1798</v>
      </c>
      <c r="N601" t="s">
        <v>1799</v>
      </c>
      <c r="P601">
        <v>1</v>
      </c>
      <c r="R601">
        <f t="shared" si="38"/>
        <v>2</v>
      </c>
      <c r="S601">
        <f t="shared" si="39"/>
        <v>1</v>
      </c>
    </row>
    <row r="602" spans="1:19" x14ac:dyDescent="0.2">
      <c r="A602" s="1">
        <v>42</v>
      </c>
      <c r="B602" t="s">
        <v>1800</v>
      </c>
      <c r="C602" t="s">
        <v>237</v>
      </c>
      <c r="D602" t="s">
        <v>1801</v>
      </c>
      <c r="E602" s="4" t="s">
        <v>21</v>
      </c>
      <c r="F602" t="s">
        <v>70</v>
      </c>
      <c r="G602">
        <v>32.002493003827801</v>
      </c>
      <c r="H602">
        <v>34.731694234364099</v>
      </c>
      <c r="I602">
        <f t="shared" si="36"/>
        <v>2020</v>
      </c>
      <c r="J602">
        <f t="shared" si="37"/>
        <v>27</v>
      </c>
      <c r="K602" s="2">
        <v>44010</v>
      </c>
      <c r="L602" s="2" t="s">
        <v>23</v>
      </c>
      <c r="M602" t="s">
        <v>1802</v>
      </c>
      <c r="N602" t="s">
        <v>1803</v>
      </c>
      <c r="P602">
        <v>1</v>
      </c>
      <c r="R602">
        <f t="shared" si="38"/>
        <v>31</v>
      </c>
      <c r="S602">
        <f t="shared" si="39"/>
        <v>7</v>
      </c>
    </row>
    <row r="603" spans="1:19" x14ac:dyDescent="0.2">
      <c r="B603" t="s">
        <v>1804</v>
      </c>
      <c r="C603" t="s">
        <v>1244</v>
      </c>
      <c r="D603" t="s">
        <v>1805</v>
      </c>
      <c r="E603" s="4" t="s">
        <v>21</v>
      </c>
      <c r="F603" t="s">
        <v>22</v>
      </c>
      <c r="G603">
        <v>31.681438420965801</v>
      </c>
      <c r="H603">
        <v>34.554694789741902</v>
      </c>
      <c r="I603">
        <f t="shared" si="36"/>
        <v>2020</v>
      </c>
      <c r="J603">
        <f t="shared" si="37"/>
        <v>27</v>
      </c>
      <c r="K603" s="2">
        <v>44010</v>
      </c>
      <c r="L603" s="2" t="s">
        <v>23</v>
      </c>
      <c r="M603" t="s">
        <v>1806</v>
      </c>
      <c r="N603" t="s">
        <v>1807</v>
      </c>
      <c r="P603">
        <v>1</v>
      </c>
      <c r="R603">
        <f t="shared" si="38"/>
        <v>31</v>
      </c>
      <c r="S603">
        <f t="shared" si="39"/>
        <v>7</v>
      </c>
    </row>
    <row r="604" spans="1:19" x14ac:dyDescent="0.2">
      <c r="A604">
        <v>14</v>
      </c>
      <c r="B604" t="s">
        <v>1808</v>
      </c>
      <c r="C604" t="s">
        <v>237</v>
      </c>
      <c r="D604" t="s">
        <v>351</v>
      </c>
      <c r="I604">
        <f t="shared" si="36"/>
        <v>2020</v>
      </c>
      <c r="J604">
        <f t="shared" si="37"/>
        <v>27</v>
      </c>
      <c r="K604" s="2">
        <v>44010</v>
      </c>
      <c r="L604" s="2" t="s">
        <v>23</v>
      </c>
      <c r="M604" t="s">
        <v>1809</v>
      </c>
      <c r="N604" t="s">
        <v>353</v>
      </c>
      <c r="P604">
        <v>1</v>
      </c>
      <c r="R604">
        <f t="shared" si="38"/>
        <v>31</v>
      </c>
      <c r="S604">
        <f t="shared" si="39"/>
        <v>0</v>
      </c>
    </row>
    <row r="605" spans="1:19" x14ac:dyDescent="0.2">
      <c r="A605">
        <v>315</v>
      </c>
      <c r="B605" t="s">
        <v>1810</v>
      </c>
      <c r="C605" t="s">
        <v>763</v>
      </c>
      <c r="D605" t="s">
        <v>1811</v>
      </c>
      <c r="E605" s="4" t="s">
        <v>21</v>
      </c>
      <c r="F605" t="s">
        <v>22</v>
      </c>
      <c r="G605">
        <v>31.681438420965801</v>
      </c>
      <c r="H605">
        <v>34.554694789741902</v>
      </c>
      <c r="I605">
        <f t="shared" si="36"/>
        <v>2020</v>
      </c>
      <c r="J605">
        <f t="shared" si="37"/>
        <v>27</v>
      </c>
      <c r="K605" s="2">
        <v>44012</v>
      </c>
      <c r="L605" s="2" t="s">
        <v>23</v>
      </c>
      <c r="M605" t="s">
        <v>1812</v>
      </c>
      <c r="N605" t="s">
        <v>1813</v>
      </c>
      <c r="P605">
        <v>1</v>
      </c>
      <c r="R605">
        <f t="shared" si="38"/>
        <v>31</v>
      </c>
      <c r="S605">
        <f t="shared" si="39"/>
        <v>7</v>
      </c>
    </row>
    <row r="606" spans="1:19" x14ac:dyDescent="0.2">
      <c r="A606" s="12">
        <v>64</v>
      </c>
      <c r="B606" s="12" t="s">
        <v>1814</v>
      </c>
      <c r="C606" s="12" t="s">
        <v>1606</v>
      </c>
      <c r="D606" s="13" t="s">
        <v>1815</v>
      </c>
      <c r="E606" s="4" t="s">
        <v>21</v>
      </c>
      <c r="F606" s="12" t="s">
        <v>70</v>
      </c>
      <c r="G606" s="12"/>
      <c r="H606" s="12"/>
      <c r="I606">
        <f t="shared" si="36"/>
        <v>2020</v>
      </c>
      <c r="J606">
        <f t="shared" si="37"/>
        <v>27</v>
      </c>
      <c r="K606" s="14">
        <v>44013</v>
      </c>
      <c r="L606" s="2" t="s">
        <v>23</v>
      </c>
      <c r="M606" s="12" t="s">
        <v>1816</v>
      </c>
      <c r="N606" s="12" t="s">
        <v>1817</v>
      </c>
      <c r="P606">
        <v>1</v>
      </c>
      <c r="R606">
        <f t="shared" si="38"/>
        <v>31</v>
      </c>
      <c r="S606">
        <f t="shared" si="39"/>
        <v>7</v>
      </c>
    </row>
    <row r="607" spans="1:19" x14ac:dyDescent="0.2">
      <c r="A607" s="9">
        <v>4</v>
      </c>
      <c r="B607" s="9" t="s">
        <v>1818</v>
      </c>
      <c r="C607" s="9" t="s">
        <v>331</v>
      </c>
      <c r="D607" s="10" t="s">
        <v>1819</v>
      </c>
      <c r="E607" s="10"/>
      <c r="F607" s="9" t="s">
        <v>1820</v>
      </c>
      <c r="G607" s="9"/>
      <c r="H607" s="9"/>
      <c r="I607">
        <f t="shared" si="36"/>
        <v>2020</v>
      </c>
      <c r="J607">
        <f t="shared" si="37"/>
        <v>27</v>
      </c>
      <c r="K607" s="11">
        <v>44014</v>
      </c>
      <c r="L607" s="2" t="s">
        <v>23</v>
      </c>
      <c r="M607" s="9" t="s">
        <v>1821</v>
      </c>
      <c r="N607" s="9" t="s">
        <v>1822</v>
      </c>
      <c r="P607">
        <v>1</v>
      </c>
      <c r="R607">
        <f t="shared" si="38"/>
        <v>31</v>
      </c>
      <c r="S607">
        <f t="shared" si="39"/>
        <v>0</v>
      </c>
    </row>
    <row r="608" spans="1:19" x14ac:dyDescent="0.2">
      <c r="A608" s="12">
        <v>69</v>
      </c>
      <c r="B608" s="12" t="s">
        <v>1823</v>
      </c>
      <c r="C608" s="12" t="s">
        <v>1824</v>
      </c>
      <c r="D608" s="13" t="s">
        <v>1825</v>
      </c>
      <c r="E608" s="13"/>
      <c r="F608" s="12"/>
      <c r="G608" s="12"/>
      <c r="H608" s="12"/>
      <c r="I608">
        <f t="shared" si="36"/>
        <v>2020</v>
      </c>
      <c r="J608">
        <f t="shared" si="37"/>
        <v>27</v>
      </c>
      <c r="K608" s="14">
        <v>44014</v>
      </c>
      <c r="L608" s="2" t="s">
        <v>23</v>
      </c>
      <c r="M608" s="12" t="s">
        <v>1826</v>
      </c>
      <c r="N608" s="12" t="s">
        <v>1827</v>
      </c>
      <c r="P608">
        <v>1</v>
      </c>
      <c r="R608">
        <f t="shared" si="38"/>
        <v>31</v>
      </c>
      <c r="S608">
        <f t="shared" si="39"/>
        <v>0</v>
      </c>
    </row>
    <row r="609" spans="1:19" x14ac:dyDescent="0.2">
      <c r="A609" s="12">
        <v>243</v>
      </c>
      <c r="B609" s="12" t="s">
        <v>1828</v>
      </c>
      <c r="C609" s="12" t="s">
        <v>1280</v>
      </c>
      <c r="D609" s="13" t="s">
        <v>1829</v>
      </c>
      <c r="E609" s="13"/>
      <c r="F609" s="12"/>
      <c r="G609" s="12"/>
      <c r="H609" s="12"/>
      <c r="I609">
        <f t="shared" si="36"/>
        <v>2020</v>
      </c>
      <c r="J609">
        <f t="shared" si="37"/>
        <v>27</v>
      </c>
      <c r="K609" s="14">
        <v>44014</v>
      </c>
      <c r="L609" s="2" t="s">
        <v>23</v>
      </c>
      <c r="M609" s="12" t="s">
        <v>1830</v>
      </c>
      <c r="N609" s="12" t="s">
        <v>1831</v>
      </c>
      <c r="P609">
        <v>1</v>
      </c>
      <c r="R609">
        <f t="shared" si="38"/>
        <v>31</v>
      </c>
      <c r="S609">
        <f t="shared" si="39"/>
        <v>0</v>
      </c>
    </row>
    <row r="610" spans="1:19" x14ac:dyDescent="0.2">
      <c r="A610" s="12"/>
      <c r="B610" s="12"/>
      <c r="C610" s="12" t="s">
        <v>331</v>
      </c>
      <c r="D610" s="13" t="s">
        <v>1832</v>
      </c>
      <c r="E610" s="5" t="s">
        <v>73</v>
      </c>
      <c r="F610" s="12" t="s">
        <v>643</v>
      </c>
      <c r="G610" s="12"/>
      <c r="H610" s="12"/>
      <c r="I610">
        <f t="shared" si="36"/>
        <v>2020</v>
      </c>
      <c r="J610">
        <f t="shared" si="37"/>
        <v>27</v>
      </c>
      <c r="K610" s="14">
        <v>44014</v>
      </c>
      <c r="L610" s="2" t="s">
        <v>23</v>
      </c>
      <c r="M610" s="12"/>
      <c r="N610" s="12"/>
      <c r="P610">
        <v>1</v>
      </c>
      <c r="R610">
        <f t="shared" si="38"/>
        <v>31</v>
      </c>
      <c r="S610">
        <f t="shared" si="39"/>
        <v>6</v>
      </c>
    </row>
    <row r="611" spans="1:19" x14ac:dyDescent="0.2">
      <c r="A611" s="12"/>
      <c r="B611" s="12"/>
      <c r="C611" s="12" t="s">
        <v>331</v>
      </c>
      <c r="D611" s="13" t="s">
        <v>1832</v>
      </c>
      <c r="E611" s="5" t="s">
        <v>100</v>
      </c>
      <c r="F611" s="12" t="s">
        <v>643</v>
      </c>
      <c r="G611" s="12"/>
      <c r="H611" s="12"/>
      <c r="I611">
        <f t="shared" si="36"/>
        <v>2020</v>
      </c>
      <c r="J611">
        <f t="shared" si="37"/>
        <v>27</v>
      </c>
      <c r="K611" s="14">
        <v>44014</v>
      </c>
      <c r="L611" s="2" t="s">
        <v>23</v>
      </c>
      <c r="M611" s="12"/>
      <c r="N611" s="12"/>
      <c r="P611">
        <v>1</v>
      </c>
      <c r="R611">
        <f t="shared" si="38"/>
        <v>31</v>
      </c>
      <c r="S611">
        <f t="shared" si="39"/>
        <v>8</v>
      </c>
    </row>
    <row r="612" spans="1:19" x14ac:dyDescent="0.2">
      <c r="A612" s="12"/>
      <c r="B612" s="12"/>
      <c r="C612" s="12" t="s">
        <v>331</v>
      </c>
      <c r="D612" s="13" t="s">
        <v>1832</v>
      </c>
      <c r="E612" s="5" t="s">
        <v>47</v>
      </c>
      <c r="F612" s="12" t="s">
        <v>643</v>
      </c>
      <c r="G612" s="12"/>
      <c r="H612" s="12"/>
      <c r="I612">
        <f t="shared" si="36"/>
        <v>2020</v>
      </c>
      <c r="J612">
        <f t="shared" si="37"/>
        <v>27</v>
      </c>
      <c r="K612" s="14">
        <v>44014</v>
      </c>
      <c r="L612" s="2" t="s">
        <v>23</v>
      </c>
      <c r="M612" s="12"/>
      <c r="N612" s="12"/>
      <c r="P612">
        <v>1</v>
      </c>
      <c r="R612">
        <f t="shared" si="38"/>
        <v>31</v>
      </c>
      <c r="S612">
        <f t="shared" si="39"/>
        <v>5</v>
      </c>
    </row>
    <row r="613" spans="1:19" x14ac:dyDescent="0.2">
      <c r="A613" s="12"/>
      <c r="B613" s="12"/>
      <c r="C613" s="12" t="s">
        <v>331</v>
      </c>
      <c r="D613" s="13" t="s">
        <v>1832</v>
      </c>
      <c r="E613" s="12" t="s">
        <v>29</v>
      </c>
      <c r="F613" s="12" t="s">
        <v>643</v>
      </c>
      <c r="G613" s="12"/>
      <c r="H613" s="12"/>
      <c r="I613">
        <f t="shared" si="36"/>
        <v>2020</v>
      </c>
      <c r="J613">
        <f t="shared" si="37"/>
        <v>27</v>
      </c>
      <c r="K613" s="14">
        <v>44014</v>
      </c>
      <c r="L613" s="2" t="s">
        <v>23</v>
      </c>
      <c r="M613" s="12"/>
      <c r="N613" s="12"/>
      <c r="P613">
        <v>1</v>
      </c>
      <c r="R613">
        <f t="shared" si="38"/>
        <v>31</v>
      </c>
      <c r="S613">
        <f t="shared" si="39"/>
        <v>1</v>
      </c>
    </row>
    <row r="614" spans="1:19" x14ac:dyDescent="0.2">
      <c r="A614" s="12"/>
      <c r="B614" s="12"/>
      <c r="C614" s="12" t="s">
        <v>331</v>
      </c>
      <c r="D614" s="13" t="s">
        <v>1832</v>
      </c>
      <c r="E614" s="12" t="s">
        <v>21</v>
      </c>
      <c r="F614" s="12" t="s">
        <v>643</v>
      </c>
      <c r="G614" s="12"/>
      <c r="H614" s="12"/>
      <c r="I614">
        <f t="shared" si="36"/>
        <v>2020</v>
      </c>
      <c r="J614">
        <f t="shared" si="37"/>
        <v>27</v>
      </c>
      <c r="K614" s="14">
        <v>44014</v>
      </c>
      <c r="L614" s="2" t="s">
        <v>23</v>
      </c>
      <c r="M614" s="12"/>
      <c r="N614" s="12"/>
      <c r="P614">
        <v>1</v>
      </c>
      <c r="R614">
        <f t="shared" si="38"/>
        <v>31</v>
      </c>
      <c r="S614">
        <f t="shared" si="39"/>
        <v>7</v>
      </c>
    </row>
    <row r="615" spans="1:19" x14ac:dyDescent="0.2">
      <c r="A615" s="12">
        <v>106</v>
      </c>
      <c r="B615" s="12" t="s">
        <v>1833</v>
      </c>
      <c r="C615" s="12" t="s">
        <v>1834</v>
      </c>
      <c r="D615" s="13" t="s">
        <v>1835</v>
      </c>
      <c r="E615" s="9" t="s">
        <v>100</v>
      </c>
      <c r="F615" s="12" t="s">
        <v>1836</v>
      </c>
      <c r="G615" s="12"/>
      <c r="H615" s="12"/>
      <c r="I615">
        <f t="shared" si="36"/>
        <v>2020</v>
      </c>
      <c r="J615">
        <f t="shared" si="37"/>
        <v>27</v>
      </c>
      <c r="K615" s="14">
        <v>44014</v>
      </c>
      <c r="L615" s="2" t="s">
        <v>23</v>
      </c>
      <c r="M615" s="12" t="s">
        <v>1837</v>
      </c>
      <c r="N615" s="12" t="s">
        <v>1838</v>
      </c>
      <c r="P615">
        <v>1</v>
      </c>
      <c r="R615">
        <f t="shared" si="38"/>
        <v>31</v>
      </c>
      <c r="S615">
        <f t="shared" si="39"/>
        <v>8</v>
      </c>
    </row>
    <row r="616" spans="1:19" x14ac:dyDescent="0.2">
      <c r="A616" s="12">
        <v>106</v>
      </c>
      <c r="B616" s="12" t="s">
        <v>1833</v>
      </c>
      <c r="C616" s="12" t="s">
        <v>1834</v>
      </c>
      <c r="D616" s="13" t="s">
        <v>1835</v>
      </c>
      <c r="E616" s="10" t="s">
        <v>47</v>
      </c>
      <c r="F616" s="12" t="s">
        <v>1836</v>
      </c>
      <c r="G616" s="12"/>
      <c r="H616" s="12"/>
      <c r="I616">
        <f t="shared" si="36"/>
        <v>2020</v>
      </c>
      <c r="J616">
        <f t="shared" si="37"/>
        <v>27</v>
      </c>
      <c r="K616" s="14">
        <v>44014</v>
      </c>
      <c r="L616" s="2" t="s">
        <v>23</v>
      </c>
      <c r="M616" s="12" t="s">
        <v>1837</v>
      </c>
      <c r="N616" s="12" t="s">
        <v>1838</v>
      </c>
      <c r="P616">
        <v>1</v>
      </c>
      <c r="R616">
        <f t="shared" si="38"/>
        <v>31</v>
      </c>
      <c r="S616">
        <f t="shared" si="39"/>
        <v>5</v>
      </c>
    </row>
    <row r="617" spans="1:19" x14ac:dyDescent="0.2">
      <c r="A617" s="12">
        <v>106</v>
      </c>
      <c r="B617" s="12" t="s">
        <v>1833</v>
      </c>
      <c r="C617" s="12" t="s">
        <v>1834</v>
      </c>
      <c r="D617" s="13" t="s">
        <v>1835</v>
      </c>
      <c r="E617" s="10" t="s">
        <v>21</v>
      </c>
      <c r="F617" s="12" t="s">
        <v>1836</v>
      </c>
      <c r="G617" s="12"/>
      <c r="H617" s="12"/>
      <c r="I617">
        <f t="shared" si="36"/>
        <v>2020</v>
      </c>
      <c r="J617">
        <f t="shared" si="37"/>
        <v>27</v>
      </c>
      <c r="K617" s="14">
        <v>44014</v>
      </c>
      <c r="L617" s="2" t="s">
        <v>23</v>
      </c>
      <c r="M617" s="12" t="s">
        <v>1837</v>
      </c>
      <c r="N617" s="12" t="s">
        <v>1838</v>
      </c>
      <c r="P617">
        <v>1</v>
      </c>
      <c r="R617">
        <f t="shared" si="38"/>
        <v>31</v>
      </c>
      <c r="S617">
        <f t="shared" si="39"/>
        <v>7</v>
      </c>
    </row>
    <row r="618" spans="1:19" x14ac:dyDescent="0.2">
      <c r="A618" s="12">
        <v>106</v>
      </c>
      <c r="B618" s="12" t="s">
        <v>1833</v>
      </c>
      <c r="C618" s="12" t="s">
        <v>1834</v>
      </c>
      <c r="D618" s="13" t="s">
        <v>1835</v>
      </c>
      <c r="E618" s="13" t="s">
        <v>73</v>
      </c>
      <c r="F618" s="12" t="s">
        <v>1836</v>
      </c>
      <c r="G618" s="12"/>
      <c r="H618" s="12"/>
      <c r="I618">
        <f t="shared" si="36"/>
        <v>2020</v>
      </c>
      <c r="J618">
        <f t="shared" si="37"/>
        <v>27</v>
      </c>
      <c r="K618" s="14">
        <v>44014</v>
      </c>
      <c r="L618" s="2" t="s">
        <v>23</v>
      </c>
      <c r="M618" s="12" t="s">
        <v>1837</v>
      </c>
      <c r="N618" s="12" t="s">
        <v>1838</v>
      </c>
      <c r="P618">
        <v>1</v>
      </c>
      <c r="R618">
        <f t="shared" si="38"/>
        <v>31</v>
      </c>
      <c r="S618">
        <f t="shared" si="39"/>
        <v>6</v>
      </c>
    </row>
    <row r="619" spans="1:19" x14ac:dyDescent="0.2">
      <c r="A619">
        <v>319</v>
      </c>
      <c r="B619" t="s">
        <v>1839</v>
      </c>
      <c r="C619" t="s">
        <v>1840</v>
      </c>
      <c r="D619" s="6" t="s">
        <v>1841</v>
      </c>
      <c r="E619" s="5" t="s">
        <v>73</v>
      </c>
      <c r="F619" t="s">
        <v>74</v>
      </c>
      <c r="G619">
        <v>32.093438590230903</v>
      </c>
      <c r="H619">
        <v>34.767717357132298</v>
      </c>
      <c r="I619">
        <f t="shared" si="36"/>
        <v>2020</v>
      </c>
      <c r="J619">
        <f t="shared" si="37"/>
        <v>27</v>
      </c>
      <c r="K619" s="2">
        <v>44015</v>
      </c>
      <c r="L619" s="2" t="s">
        <v>23</v>
      </c>
      <c r="M619" t="s">
        <v>1842</v>
      </c>
      <c r="N619" t="s">
        <v>1843</v>
      </c>
      <c r="P619">
        <v>1</v>
      </c>
      <c r="R619">
        <f t="shared" si="38"/>
        <v>31</v>
      </c>
      <c r="S619">
        <f t="shared" si="39"/>
        <v>6</v>
      </c>
    </row>
    <row r="620" spans="1:19" x14ac:dyDescent="0.2">
      <c r="A620">
        <v>261</v>
      </c>
      <c r="B620" t="s">
        <v>1844</v>
      </c>
      <c r="C620" t="s">
        <v>1261</v>
      </c>
      <c r="D620" t="s">
        <v>1845</v>
      </c>
      <c r="E620" s="5" t="s">
        <v>73</v>
      </c>
      <c r="F620" t="s">
        <v>1169</v>
      </c>
      <c r="G620">
        <v>32.093438590230903</v>
      </c>
      <c r="H620">
        <v>34.767717357132298</v>
      </c>
      <c r="I620">
        <f t="shared" si="36"/>
        <v>2020</v>
      </c>
      <c r="J620">
        <f t="shared" si="37"/>
        <v>27</v>
      </c>
      <c r="K620" s="2">
        <v>44015</v>
      </c>
      <c r="L620" s="2" t="s">
        <v>23</v>
      </c>
      <c r="M620" t="s">
        <v>1846</v>
      </c>
      <c r="N620" t="s">
        <v>1847</v>
      </c>
      <c r="P620">
        <v>1</v>
      </c>
      <c r="R620">
        <f t="shared" si="38"/>
        <v>31</v>
      </c>
      <c r="S620">
        <f t="shared" si="39"/>
        <v>6</v>
      </c>
    </row>
    <row r="621" spans="1:19" x14ac:dyDescent="0.2">
      <c r="A621" s="1">
        <v>12</v>
      </c>
      <c r="B621" t="s">
        <v>1848</v>
      </c>
      <c r="C621" t="s">
        <v>458</v>
      </c>
      <c r="D621" t="s">
        <v>1845</v>
      </c>
      <c r="E621" s="5" t="s">
        <v>73</v>
      </c>
      <c r="F621" t="s">
        <v>1169</v>
      </c>
      <c r="G621">
        <v>32.093438590230903</v>
      </c>
      <c r="H621">
        <v>34.767717357132298</v>
      </c>
      <c r="I621">
        <f t="shared" si="36"/>
        <v>2020</v>
      </c>
      <c r="J621">
        <f t="shared" si="37"/>
        <v>27</v>
      </c>
      <c r="K621" s="2">
        <v>44015</v>
      </c>
      <c r="L621" s="2" t="s">
        <v>23</v>
      </c>
      <c r="M621" t="s">
        <v>1849</v>
      </c>
      <c r="N621" t="s">
        <v>1850</v>
      </c>
      <c r="P621">
        <v>1</v>
      </c>
      <c r="R621">
        <f t="shared" si="38"/>
        <v>31</v>
      </c>
      <c r="S621">
        <f t="shared" si="39"/>
        <v>6</v>
      </c>
    </row>
    <row r="622" spans="1:19" x14ac:dyDescent="0.2">
      <c r="A622">
        <v>66</v>
      </c>
      <c r="B622" t="s">
        <v>1851</v>
      </c>
      <c r="C622" t="s">
        <v>458</v>
      </c>
      <c r="D622" t="s">
        <v>1845</v>
      </c>
      <c r="E622" s="5" t="s">
        <v>73</v>
      </c>
      <c r="F622" t="s">
        <v>1169</v>
      </c>
      <c r="G622">
        <v>32.093438590230903</v>
      </c>
      <c r="H622">
        <v>34.767717357132298</v>
      </c>
      <c r="I622">
        <f t="shared" si="36"/>
        <v>2020</v>
      </c>
      <c r="J622">
        <f t="shared" si="37"/>
        <v>27</v>
      </c>
      <c r="K622" s="2">
        <v>44015</v>
      </c>
      <c r="L622" s="2" t="s">
        <v>23</v>
      </c>
      <c r="M622" t="s">
        <v>1852</v>
      </c>
      <c r="N622" t="s">
        <v>1850</v>
      </c>
      <c r="P622">
        <v>1</v>
      </c>
      <c r="R622">
        <f t="shared" si="38"/>
        <v>31</v>
      </c>
      <c r="S622">
        <f t="shared" si="39"/>
        <v>6</v>
      </c>
    </row>
    <row r="623" spans="1:19" x14ac:dyDescent="0.2">
      <c r="A623" s="1">
        <v>1</v>
      </c>
      <c r="B623" t="s">
        <v>1853</v>
      </c>
      <c r="C623" t="s">
        <v>872</v>
      </c>
      <c r="D623" t="s">
        <v>1854</v>
      </c>
      <c r="E623" s="5" t="s">
        <v>100</v>
      </c>
      <c r="F623" t="s">
        <v>1855</v>
      </c>
      <c r="G623">
        <v>32.534712182793399</v>
      </c>
      <c r="H623">
        <v>34.901794616790603</v>
      </c>
      <c r="I623">
        <f t="shared" si="36"/>
        <v>2020</v>
      </c>
      <c r="J623">
        <f t="shared" si="37"/>
        <v>27</v>
      </c>
      <c r="K623" s="2">
        <v>44016</v>
      </c>
      <c r="L623" s="2" t="s">
        <v>23</v>
      </c>
      <c r="M623" t="s">
        <v>1856</v>
      </c>
      <c r="N623" t="s">
        <v>1857</v>
      </c>
      <c r="P623">
        <v>1</v>
      </c>
      <c r="R623">
        <f t="shared" si="38"/>
        <v>31</v>
      </c>
      <c r="S623">
        <f t="shared" si="39"/>
        <v>8</v>
      </c>
    </row>
    <row r="624" spans="1:19" x14ac:dyDescent="0.2">
      <c r="A624">
        <v>60</v>
      </c>
      <c r="B624" t="s">
        <v>1858</v>
      </c>
      <c r="C624" t="s">
        <v>1859</v>
      </c>
      <c r="D624" t="s">
        <v>1860</v>
      </c>
      <c r="E624" s="4" t="s">
        <v>21</v>
      </c>
      <c r="F624" t="s">
        <v>64</v>
      </c>
      <c r="G624">
        <v>31.8169667122236</v>
      </c>
      <c r="H624">
        <v>34.639611775767101</v>
      </c>
      <c r="I624">
        <f t="shared" si="36"/>
        <v>2020</v>
      </c>
      <c r="J624">
        <f t="shared" si="37"/>
        <v>27</v>
      </c>
      <c r="K624" s="2">
        <v>44016</v>
      </c>
      <c r="L624" s="2" t="s">
        <v>23</v>
      </c>
      <c r="M624" t="s">
        <v>1861</v>
      </c>
      <c r="N624" t="s">
        <v>1862</v>
      </c>
      <c r="P624">
        <v>1</v>
      </c>
      <c r="R624">
        <f t="shared" si="38"/>
        <v>31</v>
      </c>
      <c r="S624">
        <f t="shared" si="39"/>
        <v>7</v>
      </c>
    </row>
    <row r="625" spans="1:19" x14ac:dyDescent="0.2">
      <c r="A625">
        <v>51</v>
      </c>
      <c r="B625" t="s">
        <v>1863</v>
      </c>
      <c r="D625" t="s">
        <v>873</v>
      </c>
      <c r="E625" s="5" t="s">
        <v>47</v>
      </c>
      <c r="F625" t="s">
        <v>75</v>
      </c>
      <c r="G625">
        <v>32.439273327223297</v>
      </c>
      <c r="H625">
        <v>34.878068554773698</v>
      </c>
      <c r="I625">
        <f t="shared" si="36"/>
        <v>2020</v>
      </c>
      <c r="J625">
        <f t="shared" si="37"/>
        <v>27</v>
      </c>
      <c r="K625" s="2">
        <v>44016</v>
      </c>
      <c r="L625" s="2" t="s">
        <v>23</v>
      </c>
      <c r="M625" t="s">
        <v>1864</v>
      </c>
      <c r="P625">
        <v>1</v>
      </c>
      <c r="R625">
        <f t="shared" si="38"/>
        <v>31</v>
      </c>
      <c r="S625">
        <f t="shared" si="39"/>
        <v>5</v>
      </c>
    </row>
    <row r="626" spans="1:19" x14ac:dyDescent="0.2">
      <c r="A626" s="1">
        <v>1</v>
      </c>
      <c r="B626" t="s">
        <v>1853</v>
      </c>
      <c r="C626" t="s">
        <v>872</v>
      </c>
      <c r="D626" t="s">
        <v>1854</v>
      </c>
      <c r="E626" s="5" t="s">
        <v>47</v>
      </c>
      <c r="F626" t="s">
        <v>75</v>
      </c>
      <c r="G626">
        <v>32.439273327223297</v>
      </c>
      <c r="H626">
        <v>34.878068554773698</v>
      </c>
      <c r="I626">
        <f t="shared" si="36"/>
        <v>2020</v>
      </c>
      <c r="J626">
        <f t="shared" si="37"/>
        <v>27</v>
      </c>
      <c r="K626" s="2">
        <v>44016</v>
      </c>
      <c r="L626" s="2" t="s">
        <v>23</v>
      </c>
      <c r="M626" t="s">
        <v>1856</v>
      </c>
      <c r="N626" t="s">
        <v>1857</v>
      </c>
      <c r="P626">
        <v>1</v>
      </c>
      <c r="R626">
        <f t="shared" si="38"/>
        <v>31</v>
      </c>
      <c r="S626">
        <f t="shared" si="39"/>
        <v>5</v>
      </c>
    </row>
    <row r="627" spans="1:19" x14ac:dyDescent="0.2">
      <c r="A627">
        <v>51</v>
      </c>
      <c r="B627" t="s">
        <v>1863</v>
      </c>
      <c r="D627" t="s">
        <v>873</v>
      </c>
      <c r="E627" s="5" t="s">
        <v>100</v>
      </c>
      <c r="F627" t="s">
        <v>676</v>
      </c>
      <c r="G627">
        <v>32.708964182181099</v>
      </c>
      <c r="H627">
        <v>34.940899754832301</v>
      </c>
      <c r="I627">
        <f t="shared" si="36"/>
        <v>2020</v>
      </c>
      <c r="J627">
        <f t="shared" si="37"/>
        <v>27</v>
      </c>
      <c r="K627" s="2">
        <v>44016</v>
      </c>
      <c r="L627" s="2" t="s">
        <v>23</v>
      </c>
      <c r="M627" t="s">
        <v>1864</v>
      </c>
      <c r="P627">
        <v>1</v>
      </c>
      <c r="R627">
        <f t="shared" si="38"/>
        <v>31</v>
      </c>
      <c r="S627">
        <f t="shared" si="39"/>
        <v>8</v>
      </c>
    </row>
    <row r="628" spans="1:19" x14ac:dyDescent="0.2">
      <c r="A628" s="1">
        <v>1</v>
      </c>
      <c r="B628" t="s">
        <v>1853</v>
      </c>
      <c r="C628" t="s">
        <v>872</v>
      </c>
      <c r="D628" t="s">
        <v>1854</v>
      </c>
      <c r="E628" s="5" t="s">
        <v>100</v>
      </c>
      <c r="F628" t="s">
        <v>676</v>
      </c>
      <c r="G628">
        <v>32.708964182181099</v>
      </c>
      <c r="H628">
        <v>34.940899754832301</v>
      </c>
      <c r="I628">
        <f t="shared" si="36"/>
        <v>2020</v>
      </c>
      <c r="J628">
        <f t="shared" si="37"/>
        <v>27</v>
      </c>
      <c r="K628" s="2">
        <v>44016</v>
      </c>
      <c r="L628" s="2" t="s">
        <v>23</v>
      </c>
      <c r="M628" t="s">
        <v>1856</v>
      </c>
      <c r="N628" t="s">
        <v>1857</v>
      </c>
      <c r="P628">
        <v>1</v>
      </c>
      <c r="R628">
        <f t="shared" si="38"/>
        <v>31</v>
      </c>
      <c r="S628">
        <f t="shared" si="39"/>
        <v>8</v>
      </c>
    </row>
    <row r="629" spans="1:19" x14ac:dyDescent="0.2">
      <c r="A629">
        <v>51</v>
      </c>
      <c r="B629" t="s">
        <v>1863</v>
      </c>
      <c r="D629" t="s">
        <v>873</v>
      </c>
      <c r="E629" s="5" t="s">
        <v>100</v>
      </c>
      <c r="F629" t="s">
        <v>1855</v>
      </c>
      <c r="G629">
        <v>32.534712182793399</v>
      </c>
      <c r="H629">
        <v>34.901794616790603</v>
      </c>
      <c r="I629">
        <f t="shared" si="36"/>
        <v>2020</v>
      </c>
      <c r="J629">
        <f t="shared" si="37"/>
        <v>27</v>
      </c>
      <c r="K629" s="2">
        <v>44016</v>
      </c>
      <c r="L629" s="2" t="s">
        <v>23</v>
      </c>
      <c r="M629" t="s">
        <v>1864</v>
      </c>
      <c r="P629">
        <v>1</v>
      </c>
      <c r="R629">
        <f t="shared" si="38"/>
        <v>31</v>
      </c>
      <c r="S629">
        <f t="shared" si="39"/>
        <v>8</v>
      </c>
    </row>
    <row r="630" spans="1:19" x14ac:dyDescent="0.2">
      <c r="A630" s="1">
        <v>1</v>
      </c>
      <c r="B630" t="s">
        <v>1853</v>
      </c>
      <c r="C630" t="s">
        <v>872</v>
      </c>
      <c r="D630" t="s">
        <v>1854</v>
      </c>
      <c r="E630" s="5" t="s">
        <v>47</v>
      </c>
      <c r="F630" t="s">
        <v>311</v>
      </c>
      <c r="G630">
        <v>32.407273907970499</v>
      </c>
      <c r="H630">
        <v>34.867624243272601</v>
      </c>
      <c r="I630">
        <f t="shared" si="36"/>
        <v>2020</v>
      </c>
      <c r="J630">
        <f t="shared" si="37"/>
        <v>27</v>
      </c>
      <c r="K630" s="2">
        <v>44016</v>
      </c>
      <c r="L630" s="2" t="s">
        <v>23</v>
      </c>
      <c r="M630" t="s">
        <v>1856</v>
      </c>
      <c r="N630" t="s">
        <v>1857</v>
      </c>
      <c r="P630">
        <v>1</v>
      </c>
      <c r="R630">
        <f t="shared" si="38"/>
        <v>31</v>
      </c>
      <c r="S630">
        <f t="shared" si="39"/>
        <v>5</v>
      </c>
    </row>
    <row r="631" spans="1:19" x14ac:dyDescent="0.2">
      <c r="A631">
        <v>51</v>
      </c>
      <c r="B631" t="s">
        <v>1863</v>
      </c>
      <c r="D631" t="s">
        <v>873</v>
      </c>
      <c r="E631" s="5" t="s">
        <v>100</v>
      </c>
      <c r="F631" t="s">
        <v>885</v>
      </c>
      <c r="G631">
        <v>32.515814807338202</v>
      </c>
      <c r="H631">
        <v>34.896646884804703</v>
      </c>
      <c r="I631">
        <f t="shared" si="36"/>
        <v>2020</v>
      </c>
      <c r="J631">
        <f t="shared" si="37"/>
        <v>27</v>
      </c>
      <c r="K631" s="2">
        <v>44016</v>
      </c>
      <c r="L631" s="2" t="s">
        <v>23</v>
      </c>
      <c r="M631" t="s">
        <v>1864</v>
      </c>
      <c r="P631">
        <v>1</v>
      </c>
      <c r="R631">
        <f t="shared" si="38"/>
        <v>31</v>
      </c>
      <c r="S631">
        <f t="shared" si="39"/>
        <v>8</v>
      </c>
    </row>
    <row r="632" spans="1:19" x14ac:dyDescent="0.2">
      <c r="A632" s="1">
        <v>1</v>
      </c>
      <c r="B632" t="s">
        <v>1853</v>
      </c>
      <c r="C632" t="s">
        <v>872</v>
      </c>
      <c r="D632" t="s">
        <v>1854</v>
      </c>
      <c r="E632" s="5" t="s">
        <v>100</v>
      </c>
      <c r="F632" t="s">
        <v>885</v>
      </c>
      <c r="G632">
        <v>32.515814807338202</v>
      </c>
      <c r="H632">
        <v>34.896646884804703</v>
      </c>
      <c r="I632">
        <f t="shared" si="36"/>
        <v>2020</v>
      </c>
      <c r="J632">
        <f t="shared" si="37"/>
        <v>27</v>
      </c>
      <c r="K632" s="2">
        <v>44016</v>
      </c>
      <c r="L632" s="2" t="s">
        <v>23</v>
      </c>
      <c r="M632" t="s">
        <v>1856</v>
      </c>
      <c r="N632" t="s">
        <v>1857</v>
      </c>
      <c r="P632">
        <v>1</v>
      </c>
      <c r="R632">
        <f t="shared" si="38"/>
        <v>31</v>
      </c>
      <c r="S632">
        <f t="shared" si="39"/>
        <v>8</v>
      </c>
    </row>
    <row r="633" spans="1:19" x14ac:dyDescent="0.2">
      <c r="A633" s="12">
        <v>218</v>
      </c>
      <c r="B633" s="12" t="s">
        <v>1865</v>
      </c>
      <c r="C633" s="12" t="s">
        <v>520</v>
      </c>
      <c r="D633" s="13" t="s">
        <v>1866</v>
      </c>
      <c r="E633" s="13"/>
      <c r="F633" s="12"/>
      <c r="G633" s="12"/>
      <c r="H633" s="12"/>
      <c r="I633">
        <f t="shared" si="36"/>
        <v>2020</v>
      </c>
      <c r="J633">
        <f t="shared" si="37"/>
        <v>28</v>
      </c>
      <c r="K633" s="14">
        <v>44017</v>
      </c>
      <c r="L633" s="2" t="s">
        <v>23</v>
      </c>
      <c r="M633" s="12" t="s">
        <v>1867</v>
      </c>
      <c r="N633" s="12" t="s">
        <v>1868</v>
      </c>
      <c r="P633">
        <v>1</v>
      </c>
      <c r="R633">
        <f t="shared" si="38"/>
        <v>21</v>
      </c>
      <c r="S633">
        <f t="shared" si="39"/>
        <v>0</v>
      </c>
    </row>
    <row r="634" spans="1:19" x14ac:dyDescent="0.2">
      <c r="A634">
        <v>90</v>
      </c>
      <c r="B634" t="s">
        <v>1869</v>
      </c>
      <c r="D634" t="s">
        <v>1870</v>
      </c>
      <c r="E634" s="5" t="s">
        <v>29</v>
      </c>
      <c r="F634" t="s">
        <v>30</v>
      </c>
      <c r="G634">
        <v>32.8371203553017</v>
      </c>
      <c r="H634">
        <v>34.9792189455856</v>
      </c>
      <c r="I634">
        <f t="shared" si="36"/>
        <v>2020</v>
      </c>
      <c r="J634">
        <f t="shared" si="37"/>
        <v>28</v>
      </c>
      <c r="K634" s="2">
        <v>44019</v>
      </c>
      <c r="L634" s="2" t="s">
        <v>23</v>
      </c>
      <c r="M634" t="s">
        <v>1871</v>
      </c>
      <c r="P634">
        <v>1</v>
      </c>
      <c r="R634">
        <f t="shared" si="38"/>
        <v>21</v>
      </c>
      <c r="S634">
        <f t="shared" si="39"/>
        <v>4</v>
      </c>
    </row>
    <row r="635" spans="1:19" x14ac:dyDescent="0.2">
      <c r="A635">
        <v>194</v>
      </c>
      <c r="B635" t="s">
        <v>1872</v>
      </c>
      <c r="C635" t="s">
        <v>845</v>
      </c>
      <c r="D635" t="s">
        <v>1873</v>
      </c>
      <c r="E635" s="5" t="s">
        <v>29</v>
      </c>
      <c r="F635" t="s">
        <v>30</v>
      </c>
      <c r="G635">
        <v>32.8371203553017</v>
      </c>
      <c r="H635">
        <v>34.9792189455856</v>
      </c>
      <c r="I635">
        <f t="shared" si="36"/>
        <v>2020</v>
      </c>
      <c r="J635">
        <f t="shared" si="37"/>
        <v>28</v>
      </c>
      <c r="K635" s="2">
        <v>44019</v>
      </c>
      <c r="L635" s="2" t="s">
        <v>23</v>
      </c>
      <c r="M635" t="s">
        <v>1874</v>
      </c>
      <c r="N635" t="s">
        <v>1875</v>
      </c>
      <c r="P635">
        <v>1</v>
      </c>
      <c r="R635">
        <f t="shared" si="38"/>
        <v>21</v>
      </c>
      <c r="S635">
        <f t="shared" si="39"/>
        <v>4</v>
      </c>
    </row>
    <row r="636" spans="1:19" x14ac:dyDescent="0.2">
      <c r="A636" s="12">
        <v>74</v>
      </c>
      <c r="B636" s="12" t="s">
        <v>1876</v>
      </c>
      <c r="C636" s="12" t="s">
        <v>986</v>
      </c>
      <c r="D636" s="12" t="s">
        <v>1877</v>
      </c>
      <c r="E636" s="4" t="s">
        <v>21</v>
      </c>
      <c r="F636" s="12" t="s">
        <v>448</v>
      </c>
      <c r="I636">
        <f t="shared" si="36"/>
        <v>2020</v>
      </c>
      <c r="J636">
        <f t="shared" si="37"/>
        <v>28</v>
      </c>
      <c r="K636" s="17">
        <v>44019</v>
      </c>
      <c r="L636" s="2" t="s">
        <v>23</v>
      </c>
      <c r="M636" s="12" t="s">
        <v>1878</v>
      </c>
      <c r="N636" s="12" t="s">
        <v>1879</v>
      </c>
      <c r="P636">
        <v>1</v>
      </c>
      <c r="R636">
        <f t="shared" si="38"/>
        <v>21</v>
      </c>
      <c r="S636">
        <f t="shared" si="39"/>
        <v>14</v>
      </c>
    </row>
    <row r="637" spans="1:19" x14ac:dyDescent="0.2">
      <c r="A637" s="12">
        <v>90</v>
      </c>
      <c r="B637" s="12" t="s">
        <v>1880</v>
      </c>
      <c r="C637" s="12" t="s">
        <v>752</v>
      </c>
      <c r="D637" s="13" t="s">
        <v>1881</v>
      </c>
      <c r="E637" s="13"/>
      <c r="F637" s="12" t="s">
        <v>81</v>
      </c>
      <c r="G637" s="12"/>
      <c r="H637" s="12"/>
      <c r="I637">
        <f t="shared" si="36"/>
        <v>2020</v>
      </c>
      <c r="J637">
        <f t="shared" si="37"/>
        <v>28</v>
      </c>
      <c r="K637" s="14">
        <v>44020</v>
      </c>
      <c r="L637" s="2" t="s">
        <v>23</v>
      </c>
      <c r="M637" s="12" t="s">
        <v>1882</v>
      </c>
      <c r="N637" s="12" t="s">
        <v>1883</v>
      </c>
      <c r="P637">
        <v>1</v>
      </c>
      <c r="R637">
        <f t="shared" si="38"/>
        <v>21</v>
      </c>
      <c r="S637">
        <f t="shared" si="39"/>
        <v>0</v>
      </c>
    </row>
    <row r="638" spans="1:19" x14ac:dyDescent="0.2">
      <c r="A638">
        <v>15</v>
      </c>
      <c r="B638" t="s">
        <v>1884</v>
      </c>
      <c r="C638" t="s">
        <v>237</v>
      </c>
      <c r="D638" t="s">
        <v>1885</v>
      </c>
      <c r="E638" s="4" t="s">
        <v>21</v>
      </c>
      <c r="F638" t="s">
        <v>22</v>
      </c>
      <c r="G638">
        <v>31.681438420965801</v>
      </c>
      <c r="H638">
        <v>34.554694789741902</v>
      </c>
      <c r="I638">
        <f t="shared" si="36"/>
        <v>2020</v>
      </c>
      <c r="J638">
        <f t="shared" si="37"/>
        <v>28</v>
      </c>
      <c r="K638" s="2">
        <v>44021</v>
      </c>
      <c r="L638" s="2" t="s">
        <v>23</v>
      </c>
      <c r="M638" t="s">
        <v>1886</v>
      </c>
      <c r="N638" t="s">
        <v>1887</v>
      </c>
      <c r="P638">
        <v>1</v>
      </c>
      <c r="R638">
        <f t="shared" si="38"/>
        <v>21</v>
      </c>
      <c r="S638">
        <f t="shared" si="39"/>
        <v>14</v>
      </c>
    </row>
    <row r="639" spans="1:19" x14ac:dyDescent="0.2">
      <c r="A639">
        <v>7</v>
      </c>
      <c r="B639" t="s">
        <v>1888</v>
      </c>
      <c r="C639" t="s">
        <v>1049</v>
      </c>
      <c r="D639" t="s">
        <v>1889</v>
      </c>
      <c r="E639" s="4" t="s">
        <v>21</v>
      </c>
      <c r="F639" t="s">
        <v>22</v>
      </c>
      <c r="G639">
        <v>31.681438420965801</v>
      </c>
      <c r="H639">
        <v>34.554694789741902</v>
      </c>
      <c r="I639">
        <f t="shared" si="36"/>
        <v>2020</v>
      </c>
      <c r="J639">
        <f t="shared" si="37"/>
        <v>28</v>
      </c>
      <c r="K639" s="2">
        <v>44021</v>
      </c>
      <c r="L639" s="2" t="s">
        <v>23</v>
      </c>
      <c r="M639" t="s">
        <v>1890</v>
      </c>
      <c r="N639" t="s">
        <v>1891</v>
      </c>
      <c r="P639">
        <v>1</v>
      </c>
      <c r="R639">
        <f t="shared" si="38"/>
        <v>21</v>
      </c>
      <c r="S639">
        <f t="shared" si="39"/>
        <v>14</v>
      </c>
    </row>
    <row r="640" spans="1:19" x14ac:dyDescent="0.2">
      <c r="A640" s="1">
        <v>174</v>
      </c>
      <c r="B640" t="s">
        <v>1892</v>
      </c>
      <c r="C640" t="s">
        <v>287</v>
      </c>
      <c r="D640" t="s">
        <v>1893</v>
      </c>
      <c r="E640" s="4" t="s">
        <v>21</v>
      </c>
      <c r="F640" t="s">
        <v>22</v>
      </c>
      <c r="G640">
        <v>31.681438420965801</v>
      </c>
      <c r="H640">
        <v>34.554694789741902</v>
      </c>
      <c r="I640">
        <f t="shared" si="36"/>
        <v>2020</v>
      </c>
      <c r="J640">
        <f t="shared" si="37"/>
        <v>28</v>
      </c>
      <c r="K640" s="2">
        <v>44021</v>
      </c>
      <c r="L640" s="2" t="s">
        <v>23</v>
      </c>
      <c r="M640" t="s">
        <v>1894</v>
      </c>
      <c r="N640" t="s">
        <v>1895</v>
      </c>
      <c r="P640">
        <v>1</v>
      </c>
      <c r="R640">
        <f t="shared" si="38"/>
        <v>21</v>
      </c>
      <c r="S640">
        <f t="shared" si="39"/>
        <v>14</v>
      </c>
    </row>
    <row r="641" spans="1:19" x14ac:dyDescent="0.2">
      <c r="A641">
        <v>375</v>
      </c>
      <c r="B641" t="s">
        <v>1896</v>
      </c>
      <c r="C641" t="s">
        <v>1897</v>
      </c>
      <c r="D641" t="s">
        <v>1898</v>
      </c>
      <c r="E641" s="4" t="s">
        <v>21</v>
      </c>
      <c r="F641" t="s">
        <v>22</v>
      </c>
      <c r="G641">
        <v>31.681438420965801</v>
      </c>
      <c r="H641">
        <v>34.554694789741902</v>
      </c>
      <c r="I641">
        <f t="shared" si="36"/>
        <v>2020</v>
      </c>
      <c r="J641">
        <f t="shared" si="37"/>
        <v>28</v>
      </c>
      <c r="K641" s="2">
        <v>44021</v>
      </c>
      <c r="L641" s="2" t="s">
        <v>23</v>
      </c>
      <c r="M641" t="s">
        <v>1899</v>
      </c>
      <c r="N641" t="s">
        <v>1900</v>
      </c>
      <c r="P641">
        <v>1</v>
      </c>
      <c r="R641">
        <f t="shared" si="38"/>
        <v>21</v>
      </c>
      <c r="S641">
        <f t="shared" si="39"/>
        <v>14</v>
      </c>
    </row>
    <row r="642" spans="1:19" x14ac:dyDescent="0.2">
      <c r="A642">
        <v>69</v>
      </c>
      <c r="B642" t="s">
        <v>1901</v>
      </c>
      <c r="C642" t="s">
        <v>1902</v>
      </c>
      <c r="D642" t="s">
        <v>1898</v>
      </c>
      <c r="E642" s="4" t="s">
        <v>21</v>
      </c>
      <c r="F642" t="s">
        <v>22</v>
      </c>
      <c r="G642">
        <v>31.681438420965801</v>
      </c>
      <c r="H642">
        <v>34.554694789741902</v>
      </c>
      <c r="I642">
        <f t="shared" ref="I642:I705" si="40">YEAR(K642)</f>
        <v>2020</v>
      </c>
      <c r="J642">
        <f t="shared" ref="J642:J705" si="41">WEEKNUM(K642)</f>
        <v>28</v>
      </c>
      <c r="K642" s="2">
        <v>44021</v>
      </c>
      <c r="L642" s="2" t="s">
        <v>23</v>
      </c>
      <c r="M642" t="s">
        <v>1903</v>
      </c>
      <c r="N642" t="s">
        <v>1900</v>
      </c>
      <c r="P642">
        <v>1</v>
      </c>
      <c r="R642">
        <f t="shared" si="38"/>
        <v>21</v>
      </c>
      <c r="S642">
        <f t="shared" si="39"/>
        <v>14</v>
      </c>
    </row>
    <row r="643" spans="1:19" x14ac:dyDescent="0.2">
      <c r="A643">
        <v>161</v>
      </c>
      <c r="B643" t="s">
        <v>1904</v>
      </c>
      <c r="C643" t="s">
        <v>287</v>
      </c>
      <c r="D643" t="s">
        <v>1893</v>
      </c>
      <c r="E643" s="4" t="s">
        <v>21</v>
      </c>
      <c r="F643" t="s">
        <v>22</v>
      </c>
      <c r="G643">
        <v>31.681438420965801</v>
      </c>
      <c r="H643">
        <v>34.554694789741902</v>
      </c>
      <c r="I643">
        <f t="shared" si="40"/>
        <v>2020</v>
      </c>
      <c r="J643">
        <f t="shared" si="41"/>
        <v>28</v>
      </c>
      <c r="K643" s="2">
        <v>44021</v>
      </c>
      <c r="L643" s="2" t="s">
        <v>23</v>
      </c>
      <c r="M643" t="s">
        <v>1905</v>
      </c>
      <c r="N643" t="s">
        <v>1895</v>
      </c>
      <c r="P643">
        <v>1</v>
      </c>
      <c r="R643">
        <f t="shared" ref="R643:R677" si="42">COUNTIFS($J$2:$J$997,J643,$I$2:$I$997,I643)</f>
        <v>21</v>
      </c>
      <c r="S643">
        <f t="shared" ref="S643:S677" si="43">COUNTIFS($J$2:$J$997,J643,$I$2:$I$997,I643,$E$2:$E$997,E643)</f>
        <v>14</v>
      </c>
    </row>
    <row r="644" spans="1:19" x14ac:dyDescent="0.2">
      <c r="A644">
        <v>452</v>
      </c>
      <c r="B644" t="s">
        <v>1906</v>
      </c>
      <c r="C644" t="s">
        <v>1907</v>
      </c>
      <c r="D644" t="s">
        <v>1908</v>
      </c>
      <c r="E644" s="4" t="s">
        <v>21</v>
      </c>
      <c r="F644" t="s">
        <v>22</v>
      </c>
      <c r="G644">
        <v>31.681438420965801</v>
      </c>
      <c r="H644">
        <v>34.554694789741902</v>
      </c>
      <c r="I644">
        <f t="shared" si="40"/>
        <v>2020</v>
      </c>
      <c r="J644">
        <f t="shared" si="41"/>
        <v>28</v>
      </c>
      <c r="K644" s="2">
        <v>44021</v>
      </c>
      <c r="L644" s="2" t="s">
        <v>23</v>
      </c>
      <c r="M644" t="s">
        <v>1909</v>
      </c>
      <c r="N644" t="s">
        <v>1910</v>
      </c>
      <c r="P644">
        <v>1</v>
      </c>
      <c r="R644">
        <f t="shared" si="42"/>
        <v>21</v>
      </c>
      <c r="S644">
        <f t="shared" si="43"/>
        <v>14</v>
      </c>
    </row>
    <row r="645" spans="1:19" x14ac:dyDescent="0.2">
      <c r="B645" t="s">
        <v>1911</v>
      </c>
      <c r="C645" t="s">
        <v>1912</v>
      </c>
      <c r="D645" t="s">
        <v>1913</v>
      </c>
      <c r="E645" s="4" t="s">
        <v>21</v>
      </c>
      <c r="F645" t="s">
        <v>22</v>
      </c>
      <c r="G645">
        <v>31.681438420965801</v>
      </c>
      <c r="H645">
        <v>34.554694789741902</v>
      </c>
      <c r="I645">
        <f t="shared" si="40"/>
        <v>2020</v>
      </c>
      <c r="J645">
        <f t="shared" si="41"/>
        <v>28</v>
      </c>
      <c r="K645" s="2">
        <v>44021</v>
      </c>
      <c r="L645" s="2" t="s">
        <v>23</v>
      </c>
      <c r="M645" t="s">
        <v>1914</v>
      </c>
      <c r="N645" t="s">
        <v>1915</v>
      </c>
      <c r="P645">
        <v>1</v>
      </c>
      <c r="R645">
        <f t="shared" si="42"/>
        <v>21</v>
      </c>
      <c r="S645">
        <f t="shared" si="43"/>
        <v>14</v>
      </c>
    </row>
    <row r="646" spans="1:19" x14ac:dyDescent="0.2">
      <c r="B646" t="s">
        <v>1916</v>
      </c>
      <c r="C646" t="s">
        <v>1782</v>
      </c>
      <c r="D646" t="s">
        <v>1917</v>
      </c>
      <c r="E646" s="4" t="s">
        <v>21</v>
      </c>
      <c r="F646" t="s">
        <v>22</v>
      </c>
      <c r="G646">
        <v>31.681438420965801</v>
      </c>
      <c r="H646">
        <v>34.554694789741902</v>
      </c>
      <c r="I646">
        <f t="shared" si="40"/>
        <v>2020</v>
      </c>
      <c r="J646">
        <f t="shared" si="41"/>
        <v>28</v>
      </c>
      <c r="K646" s="2">
        <v>44021</v>
      </c>
      <c r="L646" s="2" t="s">
        <v>23</v>
      </c>
      <c r="M646" t="s">
        <v>1918</v>
      </c>
      <c r="N646" t="s">
        <v>1919</v>
      </c>
      <c r="P646">
        <v>1</v>
      </c>
      <c r="R646">
        <f t="shared" si="42"/>
        <v>21</v>
      </c>
      <c r="S646">
        <f t="shared" si="43"/>
        <v>14</v>
      </c>
    </row>
    <row r="647" spans="1:19" x14ac:dyDescent="0.2">
      <c r="A647" s="12">
        <v>220</v>
      </c>
      <c r="B647" s="12" t="s">
        <v>1920</v>
      </c>
      <c r="C647" s="12" t="s">
        <v>1921</v>
      </c>
      <c r="D647" s="12" t="s">
        <v>1922</v>
      </c>
      <c r="E647" s="12" t="s">
        <v>29</v>
      </c>
      <c r="F647" s="12" t="s">
        <v>696</v>
      </c>
      <c r="I647">
        <f t="shared" si="40"/>
        <v>2020</v>
      </c>
      <c r="J647">
        <f t="shared" si="41"/>
        <v>28</v>
      </c>
      <c r="K647" s="17">
        <v>44021</v>
      </c>
      <c r="L647" s="2" t="s">
        <v>23</v>
      </c>
      <c r="M647" s="12" t="s">
        <v>1923</v>
      </c>
      <c r="N647" s="12" t="s">
        <v>1924</v>
      </c>
      <c r="P647">
        <v>1</v>
      </c>
      <c r="R647">
        <f t="shared" si="42"/>
        <v>21</v>
      </c>
      <c r="S647">
        <f t="shared" si="43"/>
        <v>4</v>
      </c>
    </row>
    <row r="648" spans="1:19" x14ac:dyDescent="0.2">
      <c r="A648" s="9">
        <v>83</v>
      </c>
      <c r="B648" s="9" t="s">
        <v>1925</v>
      </c>
      <c r="C648" s="9" t="s">
        <v>1926</v>
      </c>
      <c r="D648" s="9" t="s">
        <v>1927</v>
      </c>
      <c r="E648" s="4" t="s">
        <v>21</v>
      </c>
      <c r="F648" s="9" t="s">
        <v>22</v>
      </c>
      <c r="I648">
        <f t="shared" si="40"/>
        <v>2020</v>
      </c>
      <c r="J648">
        <f t="shared" si="41"/>
        <v>28</v>
      </c>
      <c r="K648" s="16">
        <v>44021</v>
      </c>
      <c r="L648" s="2" t="s">
        <v>23</v>
      </c>
      <c r="M648" s="9" t="s">
        <v>1928</v>
      </c>
      <c r="N648" s="9" t="s">
        <v>1929</v>
      </c>
      <c r="P648">
        <v>1</v>
      </c>
      <c r="R648">
        <f t="shared" si="42"/>
        <v>21</v>
      </c>
      <c r="S648">
        <f t="shared" si="43"/>
        <v>14</v>
      </c>
    </row>
    <row r="649" spans="1:19" x14ac:dyDescent="0.2">
      <c r="B649" t="s">
        <v>1930</v>
      </c>
      <c r="C649" t="s">
        <v>1931</v>
      </c>
      <c r="D649" t="s">
        <v>1932</v>
      </c>
      <c r="E649" s="4" t="s">
        <v>21</v>
      </c>
      <c r="F649" t="s">
        <v>22</v>
      </c>
      <c r="G649">
        <v>31.681438420965801</v>
      </c>
      <c r="H649">
        <v>34.554694789741902</v>
      </c>
      <c r="I649">
        <f t="shared" si="40"/>
        <v>2020</v>
      </c>
      <c r="J649">
        <f t="shared" si="41"/>
        <v>28</v>
      </c>
      <c r="K649" s="2">
        <v>44022</v>
      </c>
      <c r="L649" s="2" t="s">
        <v>23</v>
      </c>
      <c r="M649" t="s">
        <v>1933</v>
      </c>
      <c r="N649" t="s">
        <v>1934</v>
      </c>
      <c r="P649">
        <v>1</v>
      </c>
      <c r="R649">
        <f t="shared" si="42"/>
        <v>21</v>
      </c>
      <c r="S649">
        <f t="shared" si="43"/>
        <v>14</v>
      </c>
    </row>
    <row r="650" spans="1:19" x14ac:dyDescent="0.2">
      <c r="A650">
        <v>466</v>
      </c>
      <c r="B650" t="s">
        <v>1935</v>
      </c>
      <c r="C650" t="s">
        <v>170</v>
      </c>
      <c r="D650" t="s">
        <v>1936</v>
      </c>
      <c r="E650" s="4" t="s">
        <v>29</v>
      </c>
      <c r="F650" t="s">
        <v>30</v>
      </c>
      <c r="G650">
        <v>32.8371203553017</v>
      </c>
      <c r="H650">
        <v>34.9792189455856</v>
      </c>
      <c r="I650">
        <f t="shared" si="40"/>
        <v>2020</v>
      </c>
      <c r="J650">
        <f t="shared" si="41"/>
        <v>28</v>
      </c>
      <c r="K650" s="2">
        <v>44022</v>
      </c>
      <c r="L650" s="2" t="s">
        <v>23</v>
      </c>
      <c r="M650" t="s">
        <v>1937</v>
      </c>
      <c r="N650" t="s">
        <v>1938</v>
      </c>
      <c r="P650">
        <v>1</v>
      </c>
      <c r="R650">
        <f t="shared" si="42"/>
        <v>21</v>
      </c>
      <c r="S650">
        <f t="shared" si="43"/>
        <v>4</v>
      </c>
    </row>
    <row r="651" spans="1:19" x14ac:dyDescent="0.2">
      <c r="A651" s="12"/>
      <c r="B651" s="12"/>
      <c r="C651" s="12" t="s">
        <v>1939</v>
      </c>
      <c r="D651" s="13" t="s">
        <v>408</v>
      </c>
      <c r="E651" s="4" t="s">
        <v>21</v>
      </c>
      <c r="F651" s="12" t="s">
        <v>22</v>
      </c>
      <c r="G651" s="12"/>
      <c r="H651" s="12"/>
      <c r="I651">
        <f t="shared" si="40"/>
        <v>2020</v>
      </c>
      <c r="J651">
        <f t="shared" si="41"/>
        <v>28</v>
      </c>
      <c r="K651" s="14">
        <v>44022</v>
      </c>
      <c r="L651" s="2" t="s">
        <v>23</v>
      </c>
      <c r="M651" s="12"/>
      <c r="N651" s="12"/>
      <c r="P651">
        <v>1</v>
      </c>
      <c r="R651">
        <f t="shared" si="42"/>
        <v>21</v>
      </c>
      <c r="S651">
        <f t="shared" si="43"/>
        <v>14</v>
      </c>
    </row>
    <row r="652" spans="1:19" x14ac:dyDescent="0.2">
      <c r="B652" s="20" t="s">
        <v>1940</v>
      </c>
      <c r="C652" s="20" t="s">
        <v>397</v>
      </c>
      <c r="D652" s="20" t="s">
        <v>1941</v>
      </c>
      <c r="E652" s="4" t="s">
        <v>21</v>
      </c>
      <c r="F652" s="20" t="s">
        <v>22</v>
      </c>
      <c r="G652">
        <v>31.681438420965801</v>
      </c>
      <c r="H652">
        <v>34.554694789741902</v>
      </c>
      <c r="I652">
        <f t="shared" si="40"/>
        <v>2020</v>
      </c>
      <c r="J652">
        <f t="shared" si="41"/>
        <v>28</v>
      </c>
      <c r="K652" s="21">
        <v>44023</v>
      </c>
      <c r="L652" s="2" t="s">
        <v>23</v>
      </c>
      <c r="M652" s="20" t="s">
        <v>1942</v>
      </c>
      <c r="N652" s="20" t="s">
        <v>1943</v>
      </c>
      <c r="P652">
        <v>1</v>
      </c>
      <c r="R652">
        <f t="shared" si="42"/>
        <v>21</v>
      </c>
      <c r="S652">
        <f t="shared" si="43"/>
        <v>14</v>
      </c>
    </row>
    <row r="653" spans="1:19" x14ac:dyDescent="0.2">
      <c r="A653">
        <v>642</v>
      </c>
      <c r="B653" s="20" t="s">
        <v>1944</v>
      </c>
      <c r="C653" s="20" t="s">
        <v>1212</v>
      </c>
      <c r="D653" s="20" t="s">
        <v>1945</v>
      </c>
      <c r="E653" s="5" t="s">
        <v>47</v>
      </c>
      <c r="F653" s="20" t="s">
        <v>75</v>
      </c>
      <c r="G653">
        <v>32.439273327223297</v>
      </c>
      <c r="H653">
        <v>34.878068554773698</v>
      </c>
      <c r="I653">
        <f t="shared" si="40"/>
        <v>2020</v>
      </c>
      <c r="J653">
        <f t="shared" si="41"/>
        <v>28</v>
      </c>
      <c r="K653" s="21">
        <v>44023</v>
      </c>
      <c r="L653" s="2" t="s">
        <v>23</v>
      </c>
      <c r="M653" s="20" t="s">
        <v>1946</v>
      </c>
      <c r="N653" s="20" t="s">
        <v>1947</v>
      </c>
      <c r="P653">
        <v>1</v>
      </c>
      <c r="R653">
        <f t="shared" si="42"/>
        <v>21</v>
      </c>
      <c r="S653">
        <f t="shared" si="43"/>
        <v>1</v>
      </c>
    </row>
    <row r="654" spans="1:19" x14ac:dyDescent="0.2">
      <c r="A654" s="12">
        <v>35</v>
      </c>
      <c r="B654" s="25" t="s">
        <v>1948</v>
      </c>
      <c r="C654" s="25" t="s">
        <v>1949</v>
      </c>
      <c r="D654" s="28" t="s">
        <v>1950</v>
      </c>
      <c r="E654" s="4" t="s">
        <v>21</v>
      </c>
      <c r="F654" s="25" t="s">
        <v>22</v>
      </c>
      <c r="G654" s="12"/>
      <c r="H654" s="12"/>
      <c r="I654">
        <f t="shared" si="40"/>
        <v>2020</v>
      </c>
      <c r="J654">
        <f t="shared" si="41"/>
        <v>29</v>
      </c>
      <c r="K654" s="29">
        <v>44024</v>
      </c>
      <c r="L654" s="2" t="s">
        <v>23</v>
      </c>
      <c r="M654" s="25" t="s">
        <v>1951</v>
      </c>
      <c r="N654" s="25" t="s">
        <v>1952</v>
      </c>
      <c r="P654">
        <v>1</v>
      </c>
      <c r="R654">
        <f t="shared" si="42"/>
        <v>17</v>
      </c>
      <c r="S654">
        <f t="shared" si="43"/>
        <v>4</v>
      </c>
    </row>
    <row r="655" spans="1:19" x14ac:dyDescent="0.2">
      <c r="A655" s="1">
        <v>423</v>
      </c>
      <c r="B655" s="20" t="s">
        <v>1953</v>
      </c>
      <c r="C655" s="20" t="s">
        <v>1954</v>
      </c>
      <c r="D655" s="20" t="s">
        <v>1955</v>
      </c>
      <c r="E655" s="4" t="s">
        <v>21</v>
      </c>
      <c r="F655" s="20" t="s">
        <v>22</v>
      </c>
      <c r="G655">
        <v>31.681438420965801</v>
      </c>
      <c r="H655">
        <v>34.554694789741902</v>
      </c>
      <c r="I655">
        <f t="shared" si="40"/>
        <v>2020</v>
      </c>
      <c r="J655">
        <f t="shared" si="41"/>
        <v>29</v>
      </c>
      <c r="K655" s="21">
        <v>44025</v>
      </c>
      <c r="L655" s="2" t="s">
        <v>23</v>
      </c>
      <c r="M655" s="20" t="s">
        <v>1956</v>
      </c>
      <c r="N655" s="20" t="s">
        <v>1957</v>
      </c>
      <c r="P655">
        <v>1</v>
      </c>
      <c r="R655">
        <f t="shared" si="42"/>
        <v>17</v>
      </c>
      <c r="S655">
        <f t="shared" si="43"/>
        <v>4</v>
      </c>
    </row>
    <row r="656" spans="1:19" x14ac:dyDescent="0.2">
      <c r="B656" s="20" t="s">
        <v>1953</v>
      </c>
      <c r="C656" s="20" t="s">
        <v>1954</v>
      </c>
      <c r="D656" s="20" t="s">
        <v>1955</v>
      </c>
      <c r="E656" s="4" t="s">
        <v>21</v>
      </c>
      <c r="F656" s="20" t="s">
        <v>22</v>
      </c>
      <c r="G656">
        <v>31.681438420965801</v>
      </c>
      <c r="H656">
        <v>34.554694789741902</v>
      </c>
      <c r="I656">
        <f t="shared" si="40"/>
        <v>2020</v>
      </c>
      <c r="J656">
        <f t="shared" si="41"/>
        <v>29</v>
      </c>
      <c r="K656" s="21">
        <v>44025</v>
      </c>
      <c r="L656" s="2" t="s">
        <v>23</v>
      </c>
      <c r="M656" s="20" t="s">
        <v>1956</v>
      </c>
      <c r="N656" s="20" t="s">
        <v>1957</v>
      </c>
      <c r="P656">
        <v>1</v>
      </c>
      <c r="R656">
        <f t="shared" si="42"/>
        <v>17</v>
      </c>
      <c r="S656">
        <f t="shared" si="43"/>
        <v>4</v>
      </c>
    </row>
    <row r="657" spans="1:19" x14ac:dyDescent="0.2">
      <c r="A657">
        <v>121</v>
      </c>
      <c r="B657" s="20" t="s">
        <v>1958</v>
      </c>
      <c r="C657" s="20" t="s">
        <v>1959</v>
      </c>
      <c r="D657" s="20" t="s">
        <v>1960</v>
      </c>
      <c r="E657" s="20" t="s">
        <v>29</v>
      </c>
      <c r="F657" s="20" t="s">
        <v>30</v>
      </c>
      <c r="G657">
        <v>32.8371203553017</v>
      </c>
      <c r="H657">
        <v>34.9792189455856</v>
      </c>
      <c r="I657">
        <f t="shared" si="40"/>
        <v>2020</v>
      </c>
      <c r="J657">
        <f t="shared" si="41"/>
        <v>29</v>
      </c>
      <c r="K657" s="21">
        <v>44025</v>
      </c>
      <c r="L657" s="2" t="s">
        <v>23</v>
      </c>
      <c r="M657" s="20" t="s">
        <v>1961</v>
      </c>
      <c r="N657" s="20" t="s">
        <v>1962</v>
      </c>
      <c r="P657">
        <v>1</v>
      </c>
      <c r="R657">
        <f t="shared" si="42"/>
        <v>17</v>
      </c>
      <c r="S657">
        <f t="shared" si="43"/>
        <v>9</v>
      </c>
    </row>
    <row r="658" spans="1:19" x14ac:dyDescent="0.2">
      <c r="B658" s="20" t="s">
        <v>1963</v>
      </c>
      <c r="C658" s="20" t="s">
        <v>1964</v>
      </c>
      <c r="D658" s="20" t="s">
        <v>1965</v>
      </c>
      <c r="E658" s="20" t="s">
        <v>29</v>
      </c>
      <c r="F658" s="20" t="s">
        <v>30</v>
      </c>
      <c r="G658">
        <v>32.8371203553017</v>
      </c>
      <c r="H658">
        <v>34.9792189455856</v>
      </c>
      <c r="I658">
        <f t="shared" si="40"/>
        <v>2020</v>
      </c>
      <c r="J658">
        <f t="shared" si="41"/>
        <v>29</v>
      </c>
      <c r="K658" s="21">
        <v>44025</v>
      </c>
      <c r="L658" s="2" t="s">
        <v>23</v>
      </c>
      <c r="M658" s="20" t="s">
        <v>1966</v>
      </c>
      <c r="N658" s="20" t="s">
        <v>1967</v>
      </c>
      <c r="P658">
        <v>1</v>
      </c>
      <c r="R658">
        <f t="shared" si="42"/>
        <v>17</v>
      </c>
      <c r="S658">
        <f t="shared" si="43"/>
        <v>9</v>
      </c>
    </row>
    <row r="659" spans="1:19" x14ac:dyDescent="0.2">
      <c r="B659" s="20" t="s">
        <v>1968</v>
      </c>
      <c r="C659" s="20" t="s">
        <v>1964</v>
      </c>
      <c r="D659" s="20" t="s">
        <v>1965</v>
      </c>
      <c r="E659" s="20" t="s">
        <v>29</v>
      </c>
      <c r="F659" s="20" t="s">
        <v>30</v>
      </c>
      <c r="G659">
        <v>32.8371203553017</v>
      </c>
      <c r="H659">
        <v>34.9792189455856</v>
      </c>
      <c r="I659">
        <f t="shared" si="40"/>
        <v>2020</v>
      </c>
      <c r="J659">
        <f t="shared" si="41"/>
        <v>29</v>
      </c>
      <c r="K659" s="21">
        <v>44025</v>
      </c>
      <c r="L659" s="2" t="s">
        <v>23</v>
      </c>
      <c r="M659" s="20" t="s">
        <v>1969</v>
      </c>
      <c r="N659" s="20" t="s">
        <v>1967</v>
      </c>
      <c r="P659">
        <v>1</v>
      </c>
      <c r="R659">
        <f t="shared" si="42"/>
        <v>17</v>
      </c>
      <c r="S659">
        <f t="shared" si="43"/>
        <v>9</v>
      </c>
    </row>
    <row r="660" spans="1:19" x14ac:dyDescent="0.2">
      <c r="B660" s="20" t="s">
        <v>1970</v>
      </c>
      <c r="C660" s="20" t="s">
        <v>1971</v>
      </c>
      <c r="D660" s="20" t="s">
        <v>1965</v>
      </c>
      <c r="E660" s="20" t="s">
        <v>29</v>
      </c>
      <c r="F660" s="20" t="s">
        <v>30</v>
      </c>
      <c r="G660">
        <v>32.8371203553017</v>
      </c>
      <c r="H660">
        <v>34.9792189455856</v>
      </c>
      <c r="I660">
        <f t="shared" si="40"/>
        <v>2020</v>
      </c>
      <c r="J660">
        <f t="shared" si="41"/>
        <v>29</v>
      </c>
      <c r="K660" s="21">
        <v>44025</v>
      </c>
      <c r="L660" s="2" t="s">
        <v>23</v>
      </c>
      <c r="M660" s="20" t="s">
        <v>1972</v>
      </c>
      <c r="N660" s="20" t="s">
        <v>1973</v>
      </c>
      <c r="P660">
        <v>1</v>
      </c>
      <c r="R660">
        <f t="shared" si="42"/>
        <v>17</v>
      </c>
      <c r="S660">
        <f t="shared" si="43"/>
        <v>9</v>
      </c>
    </row>
    <row r="661" spans="1:19" x14ac:dyDescent="0.2">
      <c r="A661" s="12">
        <v>2</v>
      </c>
      <c r="B661" s="25" t="s">
        <v>1974</v>
      </c>
      <c r="C661" s="25" t="s">
        <v>1975</v>
      </c>
      <c r="D661" s="25" t="s">
        <v>1976</v>
      </c>
      <c r="E661" s="20" t="s">
        <v>29</v>
      </c>
      <c r="F661" s="25" t="s">
        <v>30</v>
      </c>
      <c r="I661">
        <f t="shared" si="40"/>
        <v>2020</v>
      </c>
      <c r="J661">
        <f t="shared" si="41"/>
        <v>29</v>
      </c>
      <c r="K661" s="26">
        <v>44025</v>
      </c>
      <c r="L661" s="2" t="s">
        <v>23</v>
      </c>
      <c r="M661" s="25" t="s">
        <v>1977</v>
      </c>
      <c r="N661" s="25" t="s">
        <v>1978</v>
      </c>
      <c r="P661">
        <v>1</v>
      </c>
      <c r="R661">
        <f t="shared" si="42"/>
        <v>17</v>
      </c>
      <c r="S661">
        <f t="shared" si="43"/>
        <v>9</v>
      </c>
    </row>
    <row r="662" spans="1:19" x14ac:dyDescent="0.2">
      <c r="A662">
        <v>3</v>
      </c>
      <c r="B662" s="20" t="s">
        <v>1979</v>
      </c>
      <c r="C662" s="20"/>
      <c r="D662" s="20" t="s">
        <v>1980</v>
      </c>
      <c r="E662" s="20" t="s">
        <v>29</v>
      </c>
      <c r="F662" s="20" t="s">
        <v>30</v>
      </c>
      <c r="G662">
        <v>32.8371203553017</v>
      </c>
      <c r="H662">
        <v>34.9792189455856</v>
      </c>
      <c r="I662">
        <f t="shared" si="40"/>
        <v>2020</v>
      </c>
      <c r="J662">
        <f t="shared" si="41"/>
        <v>29</v>
      </c>
      <c r="K662" s="21">
        <v>44028</v>
      </c>
      <c r="L662" s="2" t="s">
        <v>23</v>
      </c>
      <c r="M662" s="20" t="s">
        <v>1981</v>
      </c>
      <c r="N662" s="20" t="s">
        <v>1843</v>
      </c>
      <c r="P662">
        <v>1</v>
      </c>
      <c r="R662">
        <f t="shared" si="42"/>
        <v>17</v>
      </c>
      <c r="S662">
        <f t="shared" si="43"/>
        <v>9</v>
      </c>
    </row>
    <row r="663" spans="1:19" x14ac:dyDescent="0.2">
      <c r="A663">
        <v>362</v>
      </c>
      <c r="B663" s="20" t="s">
        <v>1982</v>
      </c>
      <c r="C663" s="20" t="s">
        <v>500</v>
      </c>
      <c r="D663" s="20" t="s">
        <v>1983</v>
      </c>
      <c r="E663" s="20" t="s">
        <v>29</v>
      </c>
      <c r="F663" s="20" t="s">
        <v>30</v>
      </c>
      <c r="G663">
        <v>32.8371203553017</v>
      </c>
      <c r="H663">
        <v>34.9792189455856</v>
      </c>
      <c r="I663">
        <f t="shared" si="40"/>
        <v>2020</v>
      </c>
      <c r="J663">
        <f t="shared" si="41"/>
        <v>29</v>
      </c>
      <c r="K663" s="21">
        <v>44028</v>
      </c>
      <c r="L663" s="2" t="s">
        <v>23</v>
      </c>
      <c r="M663" s="20" t="s">
        <v>1984</v>
      </c>
      <c r="N663" s="20" t="s">
        <v>1985</v>
      </c>
      <c r="P663">
        <v>1</v>
      </c>
      <c r="R663">
        <f t="shared" si="42"/>
        <v>17</v>
      </c>
      <c r="S663">
        <f t="shared" si="43"/>
        <v>9</v>
      </c>
    </row>
    <row r="664" spans="1:19" x14ac:dyDescent="0.2">
      <c r="A664">
        <v>100</v>
      </c>
      <c r="B664" s="20" t="s">
        <v>1986</v>
      </c>
      <c r="C664" s="20"/>
      <c r="D664" s="20" t="s">
        <v>1987</v>
      </c>
      <c r="E664" s="20" t="s">
        <v>29</v>
      </c>
      <c r="F664" s="20" t="s">
        <v>30</v>
      </c>
      <c r="G664">
        <v>32.8371203553017</v>
      </c>
      <c r="H664">
        <v>34.9792189455856</v>
      </c>
      <c r="I664">
        <f t="shared" si="40"/>
        <v>2020</v>
      </c>
      <c r="J664">
        <f t="shared" si="41"/>
        <v>29</v>
      </c>
      <c r="K664" s="21">
        <v>44028</v>
      </c>
      <c r="L664" s="2" t="s">
        <v>23</v>
      </c>
      <c r="M664" s="20" t="s">
        <v>1988</v>
      </c>
      <c r="N664" s="20"/>
      <c r="P664">
        <v>1</v>
      </c>
      <c r="R664">
        <f t="shared" si="42"/>
        <v>17</v>
      </c>
      <c r="S664">
        <f t="shared" si="43"/>
        <v>9</v>
      </c>
    </row>
    <row r="665" spans="1:19" x14ac:dyDescent="0.2">
      <c r="A665" s="9">
        <v>20</v>
      </c>
      <c r="B665" s="22" t="s">
        <v>1989</v>
      </c>
      <c r="C665" s="22" t="s">
        <v>1824</v>
      </c>
      <c r="D665" s="23" t="s">
        <v>1990</v>
      </c>
      <c r="E665" s="23"/>
      <c r="F665" s="22"/>
      <c r="G665" s="9"/>
      <c r="H665" s="9"/>
      <c r="I665">
        <f t="shared" si="40"/>
        <v>2020</v>
      </c>
      <c r="J665">
        <f t="shared" si="41"/>
        <v>29</v>
      </c>
      <c r="K665" s="24">
        <v>44029</v>
      </c>
      <c r="L665" s="2" t="s">
        <v>23</v>
      </c>
      <c r="M665" s="22" t="s">
        <v>1991</v>
      </c>
      <c r="N665" s="22" t="s">
        <v>1992</v>
      </c>
      <c r="P665">
        <v>1</v>
      </c>
      <c r="R665">
        <f t="shared" si="42"/>
        <v>17</v>
      </c>
      <c r="S665">
        <f t="shared" si="43"/>
        <v>0</v>
      </c>
    </row>
    <row r="666" spans="1:19" x14ac:dyDescent="0.2">
      <c r="A666" s="9">
        <v>7</v>
      </c>
      <c r="B666" s="22" t="s">
        <v>1993</v>
      </c>
      <c r="C666" s="22" t="s">
        <v>331</v>
      </c>
      <c r="D666" s="23" t="s">
        <v>1994</v>
      </c>
      <c r="E666" s="9" t="s">
        <v>100</v>
      </c>
      <c r="F666" s="22" t="s">
        <v>643</v>
      </c>
      <c r="G666" s="9"/>
      <c r="H666" s="9"/>
      <c r="I666">
        <f t="shared" si="40"/>
        <v>2020</v>
      </c>
      <c r="J666">
        <f t="shared" si="41"/>
        <v>29</v>
      </c>
      <c r="K666" s="24">
        <v>44029</v>
      </c>
      <c r="L666" s="2" t="s">
        <v>23</v>
      </c>
      <c r="M666" s="22" t="s">
        <v>1995</v>
      </c>
      <c r="N666" s="22" t="s">
        <v>1996</v>
      </c>
      <c r="P666">
        <v>1</v>
      </c>
      <c r="R666">
        <f t="shared" si="42"/>
        <v>17</v>
      </c>
      <c r="S666">
        <f t="shared" si="43"/>
        <v>1</v>
      </c>
    </row>
    <row r="667" spans="1:19" x14ac:dyDescent="0.2">
      <c r="A667" s="9">
        <v>7</v>
      </c>
      <c r="B667" s="22" t="s">
        <v>1993</v>
      </c>
      <c r="C667" s="22" t="s">
        <v>331</v>
      </c>
      <c r="D667" s="23" t="s">
        <v>1994</v>
      </c>
      <c r="E667" s="10" t="s">
        <v>47</v>
      </c>
      <c r="F667" s="22" t="s">
        <v>643</v>
      </c>
      <c r="G667" s="9"/>
      <c r="H667" s="9"/>
      <c r="I667">
        <f t="shared" si="40"/>
        <v>2020</v>
      </c>
      <c r="J667">
        <f t="shared" si="41"/>
        <v>29</v>
      </c>
      <c r="K667" s="24">
        <v>44029</v>
      </c>
      <c r="L667" s="2" t="s">
        <v>23</v>
      </c>
      <c r="M667" s="22" t="s">
        <v>1995</v>
      </c>
      <c r="N667" s="22" t="s">
        <v>1996</v>
      </c>
      <c r="P667">
        <v>1</v>
      </c>
      <c r="R667">
        <f t="shared" si="42"/>
        <v>17</v>
      </c>
      <c r="S667">
        <f t="shared" si="43"/>
        <v>1</v>
      </c>
    </row>
    <row r="668" spans="1:19" x14ac:dyDescent="0.2">
      <c r="A668" s="9">
        <v>7</v>
      </c>
      <c r="B668" s="22" t="s">
        <v>1993</v>
      </c>
      <c r="C668" s="22" t="s">
        <v>331</v>
      </c>
      <c r="D668" s="23" t="s">
        <v>1994</v>
      </c>
      <c r="E668" s="10" t="s">
        <v>21</v>
      </c>
      <c r="F668" s="22" t="s">
        <v>643</v>
      </c>
      <c r="G668" s="9"/>
      <c r="H668" s="9"/>
      <c r="I668">
        <f t="shared" si="40"/>
        <v>2020</v>
      </c>
      <c r="J668">
        <f t="shared" si="41"/>
        <v>29</v>
      </c>
      <c r="K668" s="24">
        <v>44029</v>
      </c>
      <c r="L668" s="2" t="s">
        <v>23</v>
      </c>
      <c r="M668" s="22" t="s">
        <v>1995</v>
      </c>
      <c r="N668" s="22" t="s">
        <v>1996</v>
      </c>
      <c r="P668">
        <v>1</v>
      </c>
      <c r="R668">
        <f t="shared" si="42"/>
        <v>17</v>
      </c>
      <c r="S668">
        <f t="shared" si="43"/>
        <v>4</v>
      </c>
    </row>
    <row r="669" spans="1:19" x14ac:dyDescent="0.2">
      <c r="A669" s="9">
        <v>7</v>
      </c>
      <c r="B669" s="22" t="s">
        <v>1993</v>
      </c>
      <c r="C669" s="22" t="s">
        <v>331</v>
      </c>
      <c r="D669" s="23" t="s">
        <v>1994</v>
      </c>
      <c r="E669" s="13" t="s">
        <v>73</v>
      </c>
      <c r="F669" s="22" t="s">
        <v>643</v>
      </c>
      <c r="G669" s="9"/>
      <c r="H669" s="9"/>
      <c r="I669">
        <f t="shared" si="40"/>
        <v>2020</v>
      </c>
      <c r="J669">
        <f t="shared" si="41"/>
        <v>29</v>
      </c>
      <c r="K669" s="24">
        <v>44029</v>
      </c>
      <c r="L669" s="2" t="s">
        <v>23</v>
      </c>
      <c r="M669" s="22" t="s">
        <v>1995</v>
      </c>
      <c r="N669" s="22" t="s">
        <v>1996</v>
      </c>
      <c r="P669">
        <v>1</v>
      </c>
      <c r="R669">
        <f t="shared" si="42"/>
        <v>17</v>
      </c>
      <c r="S669">
        <f t="shared" si="43"/>
        <v>1</v>
      </c>
    </row>
    <row r="670" spans="1:19" x14ac:dyDescent="0.2">
      <c r="A670" s="9">
        <v>7</v>
      </c>
      <c r="B670" s="22" t="s">
        <v>1993</v>
      </c>
      <c r="C670" s="22" t="s">
        <v>331</v>
      </c>
      <c r="D670" s="23" t="s">
        <v>1994</v>
      </c>
      <c r="E670" s="12" t="s">
        <v>29</v>
      </c>
      <c r="F670" s="22" t="s">
        <v>643</v>
      </c>
      <c r="G670" s="9"/>
      <c r="H670" s="9"/>
      <c r="I670">
        <f t="shared" si="40"/>
        <v>2020</v>
      </c>
      <c r="J670">
        <f t="shared" si="41"/>
        <v>29</v>
      </c>
      <c r="K670" s="24">
        <v>44029</v>
      </c>
      <c r="L670" s="2" t="s">
        <v>23</v>
      </c>
      <c r="M670" s="22" t="s">
        <v>1995</v>
      </c>
      <c r="N670" s="22" t="s">
        <v>1996</v>
      </c>
      <c r="P670">
        <v>1</v>
      </c>
      <c r="R670">
        <f t="shared" si="42"/>
        <v>17</v>
      </c>
      <c r="S670">
        <f t="shared" si="43"/>
        <v>9</v>
      </c>
    </row>
    <row r="671" spans="1:19" x14ac:dyDescent="0.2">
      <c r="A671">
        <v>17</v>
      </c>
      <c r="B671" s="20" t="s">
        <v>1997</v>
      </c>
      <c r="C671" s="20" t="s">
        <v>1998</v>
      </c>
      <c r="D671" s="20" t="s">
        <v>1999</v>
      </c>
      <c r="E671" s="20"/>
      <c r="F671" s="20"/>
      <c r="I671">
        <f t="shared" si="40"/>
        <v>2020</v>
      </c>
      <c r="J671">
        <f t="shared" si="41"/>
        <v>30</v>
      </c>
      <c r="K671" s="21">
        <v>44031</v>
      </c>
      <c r="L671" s="2" t="s">
        <v>23</v>
      </c>
      <c r="M671" s="20" t="s">
        <v>2000</v>
      </c>
      <c r="N671" s="20" t="s">
        <v>2001</v>
      </c>
      <c r="P671">
        <v>1</v>
      </c>
      <c r="R671">
        <f t="shared" si="42"/>
        <v>8</v>
      </c>
      <c r="S671">
        <f t="shared" si="43"/>
        <v>0</v>
      </c>
    </row>
    <row r="672" spans="1:19" x14ac:dyDescent="0.2">
      <c r="A672">
        <v>134</v>
      </c>
      <c r="B672" s="20" t="s">
        <v>2002</v>
      </c>
      <c r="C672" s="20" t="s">
        <v>1787</v>
      </c>
      <c r="D672" s="20" t="s">
        <v>2003</v>
      </c>
      <c r="E672" s="4" t="s">
        <v>21</v>
      </c>
      <c r="F672" s="20" t="s">
        <v>64</v>
      </c>
      <c r="G672">
        <v>31.8169667122236</v>
      </c>
      <c r="H672">
        <v>34.639611775767101</v>
      </c>
      <c r="I672">
        <f t="shared" si="40"/>
        <v>2020</v>
      </c>
      <c r="J672">
        <f t="shared" si="41"/>
        <v>30</v>
      </c>
      <c r="K672" s="21">
        <v>44033</v>
      </c>
      <c r="L672" s="2" t="s">
        <v>23</v>
      </c>
      <c r="M672" s="20" t="s">
        <v>2004</v>
      </c>
      <c r="N672" s="20" t="s">
        <v>2005</v>
      </c>
      <c r="P672">
        <v>1</v>
      </c>
      <c r="R672">
        <f t="shared" si="42"/>
        <v>8</v>
      </c>
      <c r="S672">
        <f t="shared" si="43"/>
        <v>2</v>
      </c>
    </row>
    <row r="673" spans="1:19" x14ac:dyDescent="0.2">
      <c r="A673">
        <v>29</v>
      </c>
      <c r="B673" s="20" t="s">
        <v>2006</v>
      </c>
      <c r="C673" s="20" t="s">
        <v>1859</v>
      </c>
      <c r="D673" s="20" t="s">
        <v>2003</v>
      </c>
      <c r="E673" s="4" t="s">
        <v>21</v>
      </c>
      <c r="F673" s="20" t="s">
        <v>64</v>
      </c>
      <c r="G673">
        <v>31.8169667122236</v>
      </c>
      <c r="H673">
        <v>34.639611775767101</v>
      </c>
      <c r="I673">
        <f t="shared" si="40"/>
        <v>2020</v>
      </c>
      <c r="J673">
        <f t="shared" si="41"/>
        <v>30</v>
      </c>
      <c r="K673" s="21">
        <v>44033</v>
      </c>
      <c r="L673" s="2" t="s">
        <v>23</v>
      </c>
      <c r="M673" s="20" t="s">
        <v>2007</v>
      </c>
      <c r="N673" s="20" t="s">
        <v>2005</v>
      </c>
      <c r="P673">
        <v>1</v>
      </c>
      <c r="R673">
        <f t="shared" si="42"/>
        <v>8</v>
      </c>
      <c r="S673">
        <f t="shared" si="43"/>
        <v>2</v>
      </c>
    </row>
    <row r="674" spans="1:19" x14ac:dyDescent="0.2">
      <c r="A674">
        <v>439</v>
      </c>
      <c r="B674" s="20" t="s">
        <v>2008</v>
      </c>
      <c r="C674" s="20" t="s">
        <v>1840</v>
      </c>
      <c r="D674" s="20" t="s">
        <v>2009</v>
      </c>
      <c r="E674" s="5" t="s">
        <v>47</v>
      </c>
      <c r="F674" s="20" t="s">
        <v>526</v>
      </c>
      <c r="G674">
        <v>32.387344562227902</v>
      </c>
      <c r="H674">
        <v>34.8640819485164</v>
      </c>
      <c r="I674">
        <f t="shared" si="40"/>
        <v>2020</v>
      </c>
      <c r="J674">
        <f t="shared" si="41"/>
        <v>30</v>
      </c>
      <c r="K674" s="21">
        <v>44033</v>
      </c>
      <c r="L674" s="2" t="s">
        <v>23</v>
      </c>
      <c r="M674" s="20" t="s">
        <v>2010</v>
      </c>
      <c r="N674" s="20" t="s">
        <v>1843</v>
      </c>
      <c r="P674">
        <v>1</v>
      </c>
      <c r="R674">
        <f t="shared" si="42"/>
        <v>8</v>
      </c>
      <c r="S674">
        <f t="shared" si="43"/>
        <v>2</v>
      </c>
    </row>
    <row r="675" spans="1:19" x14ac:dyDescent="0.2">
      <c r="A675"/>
      <c r="B675" s="20" t="s">
        <v>2011</v>
      </c>
      <c r="C675" s="20" t="s">
        <v>2012</v>
      </c>
      <c r="D675" s="20" t="s">
        <v>2013</v>
      </c>
      <c r="E675" s="20"/>
      <c r="F675" s="20"/>
      <c r="I675">
        <f t="shared" si="40"/>
        <v>2020</v>
      </c>
      <c r="J675">
        <f t="shared" si="41"/>
        <v>30</v>
      </c>
      <c r="K675" s="21">
        <v>44033</v>
      </c>
      <c r="L675" s="2" t="s">
        <v>23</v>
      </c>
      <c r="M675" s="20" t="s">
        <v>2014</v>
      </c>
      <c r="N675" s="20" t="s">
        <v>2015</v>
      </c>
      <c r="P675">
        <v>1</v>
      </c>
      <c r="R675">
        <f t="shared" si="42"/>
        <v>8</v>
      </c>
      <c r="S675">
        <f t="shared" si="43"/>
        <v>0</v>
      </c>
    </row>
    <row r="676" spans="1:19" x14ac:dyDescent="0.2">
      <c r="A676" t="s">
        <v>2016</v>
      </c>
      <c r="B676" s="20" t="s">
        <v>2017</v>
      </c>
      <c r="C676" s="20" t="s">
        <v>1275</v>
      </c>
      <c r="D676" s="20" t="s">
        <v>2018</v>
      </c>
      <c r="E676" s="20"/>
      <c r="F676" s="20"/>
      <c r="I676">
        <f t="shared" si="40"/>
        <v>2020</v>
      </c>
      <c r="J676">
        <f t="shared" si="41"/>
        <v>30</v>
      </c>
      <c r="K676" s="21">
        <v>44035</v>
      </c>
      <c r="L676" s="2" t="s">
        <v>23</v>
      </c>
      <c r="M676" s="20" t="s">
        <v>2019</v>
      </c>
      <c r="N676" s="20" t="s">
        <v>2020</v>
      </c>
      <c r="P676">
        <v>1</v>
      </c>
      <c r="R676">
        <f t="shared" si="42"/>
        <v>8</v>
      </c>
      <c r="S676">
        <f t="shared" si="43"/>
        <v>0</v>
      </c>
    </row>
    <row r="677" spans="1:19" x14ac:dyDescent="0.2">
      <c r="A677">
        <v>91</v>
      </c>
      <c r="B677" t="s">
        <v>2021</v>
      </c>
      <c r="D677" t="s">
        <v>2022</v>
      </c>
      <c r="E677" s="5" t="s">
        <v>29</v>
      </c>
      <c r="F677" t="s">
        <v>150</v>
      </c>
      <c r="G677">
        <v>33.045236837092403</v>
      </c>
      <c r="H677">
        <v>35.1004249845763</v>
      </c>
      <c r="I677">
        <f t="shared" si="40"/>
        <v>2020</v>
      </c>
      <c r="J677">
        <f t="shared" si="41"/>
        <v>30</v>
      </c>
      <c r="K677" s="2">
        <v>44037</v>
      </c>
      <c r="L677" s="2" t="s">
        <v>23</v>
      </c>
      <c r="M677" t="s">
        <v>2023</v>
      </c>
      <c r="O677" s="9" t="str">
        <f ca="1">IFERROR(__xludf.DUMMYFUNCTION("GOOGLETRANSLATE(D2,""ru"",""en"")"),"Medusa already off the coast of Israel: where you can get a burn")</f>
        <v>Medusa already off the coast of Israel: where you can get a burn</v>
      </c>
      <c r="P677" s="31">
        <v>1</v>
      </c>
      <c r="R677">
        <f t="shared" si="42"/>
        <v>8</v>
      </c>
      <c r="S677">
        <f t="shared" si="43"/>
        <v>1</v>
      </c>
    </row>
    <row r="678" spans="1:19" x14ac:dyDescent="0.2">
      <c r="A678" s="1">
        <v>73</v>
      </c>
      <c r="B678" t="s">
        <v>2024</v>
      </c>
      <c r="C678" t="s">
        <v>1859</v>
      </c>
      <c r="D678" t="s">
        <v>2025</v>
      </c>
      <c r="E678" s="5" t="s">
        <v>47</v>
      </c>
      <c r="F678" t="s">
        <v>243</v>
      </c>
      <c r="G678">
        <v>32.177466819907004</v>
      </c>
      <c r="H678">
        <v>34.801354466376203</v>
      </c>
      <c r="I678">
        <f t="shared" si="40"/>
        <v>2020</v>
      </c>
      <c r="J678">
        <f t="shared" si="41"/>
        <v>30</v>
      </c>
      <c r="K678" s="2">
        <v>44037</v>
      </c>
      <c r="L678" s="2" t="s">
        <v>23</v>
      </c>
      <c r="M678" t="s">
        <v>2026</v>
      </c>
      <c r="N678" t="s">
        <v>2027</v>
      </c>
      <c r="O678" s="12" t="str">
        <f ca="1">IFERROR(__xludf.DUMMYFUNCTION("GOOGLETRANSLATE(D2,""ru"",""en"")"),"Medusa already off the coast of Israel: where you can get a burn")</f>
        <v>Medusa already off the coast of Israel: where you can get a burn</v>
      </c>
      <c r="P678" s="32">
        <v>0</v>
      </c>
    </row>
    <row r="679" spans="1:19" x14ac:dyDescent="0.2">
      <c r="A679" s="9">
        <v>513</v>
      </c>
      <c r="B679" s="9" t="s">
        <v>2028</v>
      </c>
      <c r="C679" s="9" t="s">
        <v>321</v>
      </c>
      <c r="D679" s="10" t="s">
        <v>2029</v>
      </c>
      <c r="E679" s="10"/>
      <c r="F679" s="9"/>
      <c r="G679" s="9"/>
      <c r="H679" s="9"/>
      <c r="I679">
        <f t="shared" si="40"/>
        <v>2020</v>
      </c>
      <c r="J679">
        <f t="shared" si="41"/>
        <v>32</v>
      </c>
      <c r="K679" s="11">
        <v>44049</v>
      </c>
      <c r="L679" s="2" t="s">
        <v>23</v>
      </c>
      <c r="M679" s="9" t="s">
        <v>2030</v>
      </c>
      <c r="N679" s="9" t="s">
        <v>2031</v>
      </c>
      <c r="O679" s="9" t="str">
        <f ca="1">IFERROR(__xludf.DUMMYFUNCTION("GOOGLETRANSLATE(D5,""ru"",""en"")"),"The concentration of jellyfish on the Israeli coast of the Mediterranean Sea remains high - Newsru.co.il")</f>
        <v>The concentration of jellyfish on the Israeli coast of the Mediterranean Sea remains high - Newsru.co.il</v>
      </c>
      <c r="P679" s="31">
        <v>1</v>
      </c>
      <c r="R679">
        <f>COUNTIFS($J$2:$J$997,J679,$I$2:$I$997,I679)</f>
        <v>1</v>
      </c>
      <c r="S679">
        <f>COUNTIFS($J$2:$J$997,J679,$I$2:$I$997,I679,$E$2:$E$997,E679)</f>
        <v>0</v>
      </c>
    </row>
    <row r="680" spans="1:19" x14ac:dyDescent="0.2">
      <c r="A680" t="s">
        <v>2032</v>
      </c>
      <c r="B680" t="s">
        <v>2033</v>
      </c>
      <c r="C680" t="s">
        <v>164</v>
      </c>
      <c r="D680" t="s">
        <v>2034</v>
      </c>
      <c r="I680">
        <f t="shared" si="40"/>
        <v>2020</v>
      </c>
      <c r="J680">
        <f t="shared" si="41"/>
        <v>33</v>
      </c>
      <c r="K680" s="2">
        <v>44057</v>
      </c>
      <c r="L680" s="2" t="s">
        <v>23</v>
      </c>
      <c r="M680" t="s">
        <v>2035</v>
      </c>
      <c r="N680" t="s">
        <v>2036</v>
      </c>
      <c r="O680" s="12" t="str">
        <f ca="1">IFERROR(__xludf.DUMMYFUNCTION("GOOGLETRANSLATE(D7,""ru"",""en"")"),"Majes appeared off the coast of Israel - unusually large and aggressive")</f>
        <v>Majes appeared off the coast of Israel - unusually large and aggressive</v>
      </c>
      <c r="P680" s="12">
        <v>1</v>
      </c>
      <c r="R680">
        <f>COUNTIFS($J$2:$J$997,J680,$I$2:$I$997,I680)</f>
        <v>1</v>
      </c>
      <c r="S680">
        <f>COUNTIFS($J$2:$J$997,J680,$I$2:$I$997,I680,$E$2:$E$997,E680)</f>
        <v>0</v>
      </c>
    </row>
    <row r="681" spans="1:19" x14ac:dyDescent="0.2">
      <c r="A681" s="9">
        <v>144</v>
      </c>
      <c r="B681" s="9" t="s">
        <v>2037</v>
      </c>
      <c r="C681" s="9" t="s">
        <v>947</v>
      </c>
      <c r="D681" s="9" t="s">
        <v>2038</v>
      </c>
      <c r="E681" s="9"/>
      <c r="F681" s="9"/>
      <c r="I681">
        <f t="shared" si="40"/>
        <v>2020</v>
      </c>
      <c r="J681">
        <f t="shared" si="41"/>
        <v>40</v>
      </c>
      <c r="K681" s="16">
        <v>44107</v>
      </c>
      <c r="L681" s="2" t="s">
        <v>23</v>
      </c>
      <c r="M681" s="10" t="s">
        <v>2039</v>
      </c>
      <c r="N681" s="9" t="s">
        <v>2040</v>
      </c>
      <c r="O681" s="9" t="s">
        <v>2041</v>
      </c>
      <c r="P681" s="9">
        <v>0</v>
      </c>
    </row>
    <row r="682" spans="1:19" x14ac:dyDescent="0.2">
      <c r="A682" s="12">
        <v>328</v>
      </c>
      <c r="B682" s="12" t="s">
        <v>2042</v>
      </c>
      <c r="C682" s="12" t="s">
        <v>2043</v>
      </c>
      <c r="D682" s="13" t="s">
        <v>2044</v>
      </c>
      <c r="E682" s="13"/>
      <c r="F682" s="12"/>
      <c r="G682" s="12"/>
      <c r="H682" s="12"/>
      <c r="I682">
        <f t="shared" si="40"/>
        <v>2020</v>
      </c>
      <c r="J682">
        <f t="shared" si="41"/>
        <v>44</v>
      </c>
      <c r="K682" s="14">
        <v>44131</v>
      </c>
      <c r="L682" s="2" t="s">
        <v>23</v>
      </c>
      <c r="M682" s="12" t="s">
        <v>2045</v>
      </c>
      <c r="N682" s="12" t="s">
        <v>2046</v>
      </c>
      <c r="O682" s="12"/>
      <c r="P682" s="12">
        <v>1</v>
      </c>
      <c r="R682">
        <f>COUNTIFS($J$2:$J$997,J682,$I$2:$I$997,I682)</f>
        <v>1</v>
      </c>
      <c r="S682">
        <f>COUNTIFS($J$2:$J$997,J682,$I$2:$I$997,I682,$E$2:$E$997,E682)</f>
        <v>0</v>
      </c>
    </row>
    <row r="683" spans="1:19" x14ac:dyDescent="0.2">
      <c r="A683" t="s">
        <v>2047</v>
      </c>
      <c r="B683" t="s">
        <v>2048</v>
      </c>
      <c r="C683" t="s">
        <v>2049</v>
      </c>
      <c r="D683" t="s">
        <v>2050</v>
      </c>
      <c r="I683">
        <f t="shared" si="40"/>
        <v>2020</v>
      </c>
      <c r="J683">
        <f t="shared" si="41"/>
        <v>46</v>
      </c>
      <c r="K683" s="2">
        <v>44147</v>
      </c>
      <c r="L683" s="2" t="s">
        <v>23</v>
      </c>
      <c r="M683" t="s">
        <v>2051</v>
      </c>
      <c r="N683" t="s">
        <v>2052</v>
      </c>
      <c r="O683" s="9" t="str">
        <f ca="1">IFERROR(__xludf.DUMMYFUNCTION("GOOGLETRANSLATE(D128,""ru"",""en"")"),"The gigantic clusters of jellyfish are moving to the coast of Israel (from ...")</f>
        <v>The gigantic clusters of jellyfish are moving to the coast of Israel (from ...</v>
      </c>
      <c r="P683" s="9">
        <v>1</v>
      </c>
      <c r="R683">
        <f>COUNTIFS($J$2:$J$997,J683,$I$2:$I$997,I683)</f>
        <v>1</v>
      </c>
      <c r="S683">
        <f>COUNTIFS($J$2:$J$997,J683,$I$2:$I$997,I683,$E$2:$E$997,E683)</f>
        <v>0</v>
      </c>
    </row>
    <row r="684" spans="1:19" x14ac:dyDescent="0.2">
      <c r="A684" s="12">
        <v>342</v>
      </c>
      <c r="B684" s="12" t="s">
        <v>2053</v>
      </c>
      <c r="C684" s="12" t="s">
        <v>2054</v>
      </c>
      <c r="D684" s="12" t="s">
        <v>2055</v>
      </c>
      <c r="E684" s="12"/>
      <c r="F684" s="12"/>
      <c r="I684">
        <f t="shared" si="40"/>
        <v>2020</v>
      </c>
      <c r="J684">
        <f t="shared" si="41"/>
        <v>53</v>
      </c>
      <c r="K684" s="17">
        <v>44196</v>
      </c>
      <c r="L684" s="2" t="s">
        <v>23</v>
      </c>
      <c r="M684" s="13" t="s">
        <v>2056</v>
      </c>
      <c r="N684" s="12" t="s">
        <v>2057</v>
      </c>
      <c r="O684" s="12" t="str">
        <f ca="1">IFERROR(__xludf.DUMMYFUNCTION("GOOGLETRANSLATE(D202,""ru"",""en"")"),"The Medus season ended on the Israeli coast ...")</f>
        <v>The Medus season ended on the Israeli coast ...</v>
      </c>
      <c r="P684" s="12">
        <v>0</v>
      </c>
    </row>
    <row r="685" spans="1:19" x14ac:dyDescent="0.2">
      <c r="A685" s="1">
        <v>27</v>
      </c>
      <c r="B685" t="s">
        <v>2058</v>
      </c>
      <c r="C685" t="s">
        <v>68</v>
      </c>
      <c r="D685" t="s">
        <v>2059</v>
      </c>
      <c r="E685" s="5" t="s">
        <v>73</v>
      </c>
      <c r="F685" t="s">
        <v>74</v>
      </c>
      <c r="G685">
        <v>32.093438590230903</v>
      </c>
      <c r="H685">
        <v>34.767717357132298</v>
      </c>
      <c r="I685">
        <f t="shared" si="40"/>
        <v>2021</v>
      </c>
      <c r="J685">
        <f t="shared" si="41"/>
        <v>6</v>
      </c>
      <c r="K685" s="2">
        <v>44227</v>
      </c>
      <c r="L685" s="2" t="s">
        <v>23</v>
      </c>
      <c r="M685" t="s">
        <v>2060</v>
      </c>
      <c r="N685" t="s">
        <v>2061</v>
      </c>
      <c r="O685" s="9" t="str">
        <f ca="1">IFERROR(__xludf.DUMMYFUNCTION("GOOGLETRANSLATE(D18,""ru"",""en"")"),"Medusa sailed to the shores of Israel unusually early: what you should know")</f>
        <v>Medusa sailed to the shores of Israel unusually early: what you should know</v>
      </c>
      <c r="P685" s="9">
        <v>1</v>
      </c>
      <c r="R685">
        <f>COUNTIFS($J$2:$J$997,J685,$I$2:$I$997,I685)</f>
        <v>2</v>
      </c>
      <c r="S685">
        <f>COUNTIFS($J$2:$J$997,J685,$I$2:$I$997,I685,$E$2:$E$997,E685)</f>
        <v>2</v>
      </c>
    </row>
    <row r="686" spans="1:19" x14ac:dyDescent="0.2">
      <c r="A686">
        <v>101</v>
      </c>
      <c r="B686" t="s">
        <v>2062</v>
      </c>
      <c r="C686" t="s">
        <v>2063</v>
      </c>
      <c r="D686" t="s">
        <v>2064</v>
      </c>
      <c r="E686" s="5" t="s">
        <v>73</v>
      </c>
      <c r="F686" t="s">
        <v>74</v>
      </c>
      <c r="G686">
        <v>32.093438590230903</v>
      </c>
      <c r="H686">
        <v>34.767717357132298</v>
      </c>
      <c r="I686">
        <f t="shared" si="40"/>
        <v>2021</v>
      </c>
      <c r="J686">
        <f t="shared" si="41"/>
        <v>6</v>
      </c>
      <c r="K686" s="2">
        <v>44227</v>
      </c>
      <c r="L686" s="2" t="s">
        <v>23</v>
      </c>
      <c r="M686" t="s">
        <v>2065</v>
      </c>
      <c r="N686" t="s">
        <v>2066</v>
      </c>
      <c r="O686" s="12" t="str">
        <f ca="1">IFERROR(__xludf.DUMMYFUNCTION("GOOGLETRANSLATE(D20,""ru"",""en"")"),"On the Mediterranean coast of Israel, the ""Medus season"" began")</f>
        <v>On the Mediterranean coast of Israel, the "Medus season" began</v>
      </c>
      <c r="P686" s="12">
        <v>1</v>
      </c>
      <c r="R686">
        <f>COUNTIFS($J$2:$J$997,J686,$I$2:$I$997,I686)</f>
        <v>2</v>
      </c>
      <c r="S686">
        <f>COUNTIFS($J$2:$J$997,J686,$I$2:$I$997,I686,$E$2:$E$997,E686)</f>
        <v>2</v>
      </c>
    </row>
    <row r="687" spans="1:19" x14ac:dyDescent="0.2">
      <c r="A687" t="s">
        <v>2067</v>
      </c>
      <c r="B687" t="s">
        <v>2068</v>
      </c>
      <c r="C687" t="s">
        <v>2069</v>
      </c>
      <c r="D687" t="s">
        <v>2070</v>
      </c>
      <c r="I687">
        <f t="shared" si="40"/>
        <v>2021</v>
      </c>
      <c r="J687">
        <f t="shared" si="41"/>
        <v>9</v>
      </c>
      <c r="K687" s="2">
        <v>44248</v>
      </c>
      <c r="L687" s="2" t="s">
        <v>23</v>
      </c>
      <c r="M687" t="s">
        <v>2071</v>
      </c>
      <c r="N687" t="s">
        <v>2072</v>
      </c>
      <c r="O687" s="9" t="str">
        <f ca="1">IFERROR(__xludf.DUMMYFUNCTION("GOOGLETRANSLATE(D21,""ru"",""en"")"),"Israel is experiencing an annual invasion of jellyfish: video. Details: Israeli")</f>
        <v>Israel is experiencing an annual invasion of jellyfish: video. Details: Israeli</v>
      </c>
      <c r="P687" s="9">
        <v>1</v>
      </c>
      <c r="R687">
        <f>COUNTIFS($J$2:$J$997,J687,$I$2:$I$997,I687)</f>
        <v>1</v>
      </c>
      <c r="S687">
        <f>COUNTIFS($J$2:$J$997,J687,$I$2:$I$997,I687,$E$2:$E$997,E687)</f>
        <v>0</v>
      </c>
    </row>
    <row r="688" spans="1:19" x14ac:dyDescent="0.2">
      <c r="A688">
        <v>236</v>
      </c>
      <c r="B688" t="s">
        <v>2073</v>
      </c>
      <c r="C688" t="s">
        <v>2074</v>
      </c>
      <c r="D688" t="s">
        <v>2075</v>
      </c>
      <c r="E688" s="4" t="s">
        <v>21</v>
      </c>
      <c r="F688" t="s">
        <v>168</v>
      </c>
      <c r="G688">
        <v>32.002493003827801</v>
      </c>
      <c r="H688">
        <v>34.731694234364099</v>
      </c>
      <c r="I688">
        <f t="shared" si="40"/>
        <v>2021</v>
      </c>
      <c r="J688">
        <f t="shared" si="41"/>
        <v>10</v>
      </c>
      <c r="K688" s="2">
        <v>44256</v>
      </c>
      <c r="L688" s="2" t="s">
        <v>23</v>
      </c>
      <c r="M688" t="s">
        <v>2076</v>
      </c>
      <c r="N688" t="s">
        <v>2077</v>
      </c>
      <c r="O688" s="12" t="str">
        <f ca="1">IFERROR(__xludf.DUMMYFUNCTION("GOOGLETRANSLATE(D145,""ru"",""en"")"),"A huge amount of jellyfish moves to the beaches of Israel")</f>
        <v>A huge amount of jellyfish moves to the beaches of Israel</v>
      </c>
      <c r="P688" s="12">
        <v>1</v>
      </c>
      <c r="R688">
        <f>COUNTIFS($J$2:$J$997,J688,$I$2:$I$997,I688)</f>
        <v>5</v>
      </c>
      <c r="S688">
        <f>COUNTIFS($J$2:$J$997,J688,$I$2:$I$997,I688,$E$2:$E$997,E688)</f>
        <v>1</v>
      </c>
    </row>
    <row r="689" spans="1:19" x14ac:dyDescent="0.2">
      <c r="A689" t="s">
        <v>2078</v>
      </c>
      <c r="B689" t="s">
        <v>2079</v>
      </c>
      <c r="C689" t="s">
        <v>2080</v>
      </c>
      <c r="D689" t="s">
        <v>2081</v>
      </c>
      <c r="I689">
        <f t="shared" si="40"/>
        <v>2021</v>
      </c>
      <c r="J689">
        <f t="shared" si="41"/>
        <v>10</v>
      </c>
      <c r="K689" s="2">
        <v>44256</v>
      </c>
      <c r="L689" s="2" t="s">
        <v>23</v>
      </c>
      <c r="M689" t="s">
        <v>2082</v>
      </c>
      <c r="N689" t="s">
        <v>2083</v>
      </c>
      <c r="O689" s="9" t="str">
        <f ca="1">IFERROR(__xludf.DUMMYFUNCTION("GOOGLETRANSLATE(D13,""ru"",""en"")"),"On the Mediterranean coast of Israel ended the ""Medus season""")</f>
        <v>On the Mediterranean coast of Israel ended the "Medus season"</v>
      </c>
      <c r="P689" s="9">
        <v>0</v>
      </c>
    </row>
    <row r="690" spans="1:19" x14ac:dyDescent="0.2">
      <c r="A690" t="s">
        <v>2084</v>
      </c>
      <c r="B690" t="s">
        <v>2085</v>
      </c>
      <c r="C690" t="s">
        <v>2080</v>
      </c>
      <c r="D690" t="s">
        <v>2081</v>
      </c>
      <c r="I690">
        <f t="shared" si="40"/>
        <v>2021</v>
      </c>
      <c r="J690">
        <f t="shared" si="41"/>
        <v>10</v>
      </c>
      <c r="K690" s="2">
        <v>44256</v>
      </c>
      <c r="L690" s="2" t="s">
        <v>23</v>
      </c>
      <c r="M690" t="s">
        <v>2086</v>
      </c>
      <c r="N690" t="s">
        <v>2083</v>
      </c>
      <c r="O690" s="12" t="str">
        <f ca="1">IFERROR(__xludf.DUMMYFUNCTION("GOOGLETRANSLATE(D89,""ru"",""en"")"),"The concentration of jellyfish on the Israeli coast of the Mediterranean Sea is not reduced")</f>
        <v>The concentration of jellyfish on the Israeli coast of the Mediterranean Sea is not reduced</v>
      </c>
      <c r="P690" s="12">
        <v>1</v>
      </c>
      <c r="R690">
        <f>COUNTIFS($J$2:$J$997,J690,$I$2:$I$997,I690)</f>
        <v>5</v>
      </c>
      <c r="S690">
        <f>COUNTIFS($J$2:$J$997,J690,$I$2:$I$997,I690,$E$2:$E$997,E690)</f>
        <v>0</v>
      </c>
    </row>
    <row r="691" spans="1:19" x14ac:dyDescent="0.2">
      <c r="A691" t="s">
        <v>2087</v>
      </c>
      <c r="B691" t="s">
        <v>2088</v>
      </c>
      <c r="C691" t="s">
        <v>2080</v>
      </c>
      <c r="D691" t="s">
        <v>2081</v>
      </c>
      <c r="I691">
        <f t="shared" si="40"/>
        <v>2021</v>
      </c>
      <c r="J691">
        <f t="shared" si="41"/>
        <v>10</v>
      </c>
      <c r="K691" s="2">
        <v>44256</v>
      </c>
      <c r="L691" s="2" t="s">
        <v>23</v>
      </c>
      <c r="M691" t="s">
        <v>2089</v>
      </c>
      <c r="N691" t="s">
        <v>2083</v>
      </c>
      <c r="O691" s="9" t="str">
        <f ca="1">IFERROR(__xludf.DUMMYFUNCTION("GOOGLETRANSLATE(D268,""ru"",""en"")"),"The concentration of jellyfish on the Israeli coast of the Mediterranean ...")</f>
        <v>The concentration of jellyfish on the Israeli coast of the Mediterranean ...</v>
      </c>
      <c r="P691" s="9">
        <v>1</v>
      </c>
      <c r="R691">
        <f>COUNTIFS($J$2:$J$997,J691,$I$2:$I$997,I691)</f>
        <v>5</v>
      </c>
      <c r="S691">
        <f>COUNTIFS($J$2:$J$997,J691,$I$2:$I$997,I691,$E$2:$E$997,E691)</f>
        <v>0</v>
      </c>
    </row>
    <row r="692" spans="1:19" x14ac:dyDescent="0.2">
      <c r="A692" t="s">
        <v>2090</v>
      </c>
      <c r="B692" t="s">
        <v>2091</v>
      </c>
      <c r="C692" t="s">
        <v>2080</v>
      </c>
      <c r="D692" t="s">
        <v>2081</v>
      </c>
      <c r="I692">
        <f t="shared" si="40"/>
        <v>2021</v>
      </c>
      <c r="J692">
        <f t="shared" si="41"/>
        <v>10</v>
      </c>
      <c r="K692" s="2">
        <v>44256</v>
      </c>
      <c r="L692" s="2" t="s">
        <v>23</v>
      </c>
      <c r="M692" t="s">
        <v>2092</v>
      </c>
      <c r="N692" t="s">
        <v>2083</v>
      </c>
      <c r="O692" s="12" t="str">
        <f ca="1">IFERROR(__xludf.DUMMYFUNCTION("GOOGLETRANSLATE(D35,""ru"",""en"")"),"Detki.co.il - All about children in Israel - the Medus season began on the Israeli coast")</f>
        <v>Detki.co.il - All about children in Israel - the Medus season began on the Israeli coast</v>
      </c>
      <c r="P692" s="12">
        <v>1</v>
      </c>
      <c r="R692">
        <f>COUNTIFS($J$2:$J$997,J692,$I$2:$I$997,I692)</f>
        <v>5</v>
      </c>
      <c r="S692">
        <f>COUNTIFS($J$2:$J$997,J692,$I$2:$I$997,I692,$E$2:$E$997,E692)</f>
        <v>0</v>
      </c>
    </row>
    <row r="693" spans="1:19" x14ac:dyDescent="0.2">
      <c r="A693">
        <v>323</v>
      </c>
      <c r="B693" t="s">
        <v>2093</v>
      </c>
      <c r="C693" t="s">
        <v>2094</v>
      </c>
      <c r="D693" t="s">
        <v>2095</v>
      </c>
      <c r="E693" s="5" t="s">
        <v>100</v>
      </c>
      <c r="F693" t="s">
        <v>623</v>
      </c>
      <c r="G693">
        <v>32.515814807338202</v>
      </c>
      <c r="H693">
        <v>34.896646884804703</v>
      </c>
      <c r="I693">
        <f t="shared" si="40"/>
        <v>2021</v>
      </c>
      <c r="J693">
        <f t="shared" si="41"/>
        <v>11</v>
      </c>
      <c r="K693" s="2">
        <v>44268</v>
      </c>
      <c r="L693" s="2" t="s">
        <v>23</v>
      </c>
      <c r="M693" t="s">
        <v>2096</v>
      </c>
      <c r="N693" t="s">
        <v>2097</v>
      </c>
      <c r="O693" s="9" t="s">
        <v>2098</v>
      </c>
      <c r="P693" s="9">
        <v>1</v>
      </c>
      <c r="R693">
        <f>COUNTIFS($J$2:$J$997,J693,$I$2:$I$997,I693)</f>
        <v>6</v>
      </c>
      <c r="S693">
        <f>COUNTIFS($J$2:$J$997,J693,$I$2:$I$997,I693,$E$2:$E$997,E693)</f>
        <v>1</v>
      </c>
    </row>
    <row r="694" spans="1:19" x14ac:dyDescent="0.2">
      <c r="A694">
        <v>323</v>
      </c>
      <c r="B694" t="s">
        <v>2093</v>
      </c>
      <c r="C694" t="s">
        <v>2094</v>
      </c>
      <c r="D694" t="s">
        <v>2095</v>
      </c>
      <c r="E694" s="5" t="s">
        <v>47</v>
      </c>
      <c r="F694" t="s">
        <v>75</v>
      </c>
      <c r="G694">
        <v>32.439273327223297</v>
      </c>
      <c r="H694">
        <v>34.878068554773698</v>
      </c>
      <c r="I694">
        <f t="shared" si="40"/>
        <v>2021</v>
      </c>
      <c r="J694">
        <f t="shared" si="41"/>
        <v>11</v>
      </c>
      <c r="K694" s="2">
        <v>44268</v>
      </c>
      <c r="L694" s="2" t="s">
        <v>23</v>
      </c>
      <c r="M694" t="s">
        <v>2096</v>
      </c>
      <c r="N694" t="s">
        <v>2097</v>
      </c>
      <c r="O694" s="12" t="s">
        <v>2099</v>
      </c>
      <c r="P694" s="12">
        <v>1</v>
      </c>
      <c r="R694">
        <f>COUNTIFS($J$2:$J$997,J694,$I$2:$I$997,I694)</f>
        <v>6</v>
      </c>
      <c r="S694">
        <f>COUNTIFS($J$2:$J$997,J694,$I$2:$I$997,I694,$E$2:$E$997,E694)</f>
        <v>3</v>
      </c>
    </row>
    <row r="695" spans="1:19" x14ac:dyDescent="0.2">
      <c r="A695">
        <v>323</v>
      </c>
      <c r="B695" t="s">
        <v>2093</v>
      </c>
      <c r="C695" t="s">
        <v>2094</v>
      </c>
      <c r="D695" t="s">
        <v>2095</v>
      </c>
      <c r="E695" t="s">
        <v>29</v>
      </c>
      <c r="F695" t="s">
        <v>30</v>
      </c>
      <c r="G695">
        <v>32.8371203553017</v>
      </c>
      <c r="H695">
        <v>34.9792189455856</v>
      </c>
      <c r="I695">
        <f t="shared" si="40"/>
        <v>2021</v>
      </c>
      <c r="J695">
        <f t="shared" si="41"/>
        <v>11</v>
      </c>
      <c r="K695" s="2">
        <v>44268</v>
      </c>
      <c r="L695" s="2" t="s">
        <v>23</v>
      </c>
      <c r="M695" t="s">
        <v>2096</v>
      </c>
      <c r="N695" t="s">
        <v>2097</v>
      </c>
      <c r="O695" s="9"/>
      <c r="P695" s="9">
        <v>0</v>
      </c>
    </row>
    <row r="696" spans="1:19" x14ac:dyDescent="0.2">
      <c r="A696">
        <v>323</v>
      </c>
      <c r="B696" t="s">
        <v>2093</v>
      </c>
      <c r="C696" t="s">
        <v>2094</v>
      </c>
      <c r="D696" t="s">
        <v>2095</v>
      </c>
      <c r="E696" s="5" t="s">
        <v>47</v>
      </c>
      <c r="F696" t="s">
        <v>243</v>
      </c>
      <c r="G696">
        <v>32.177466819907004</v>
      </c>
      <c r="H696">
        <v>34.801354466376203</v>
      </c>
      <c r="I696">
        <f t="shared" si="40"/>
        <v>2021</v>
      </c>
      <c r="J696">
        <f t="shared" si="41"/>
        <v>11</v>
      </c>
      <c r="K696" s="2">
        <v>44268</v>
      </c>
      <c r="L696" s="2" t="s">
        <v>23</v>
      </c>
      <c r="M696" t="s">
        <v>2096</v>
      </c>
      <c r="N696" t="s">
        <v>2097</v>
      </c>
      <c r="O696" s="12" t="str">
        <f ca="1">IFERROR(__xludf.DUMMYFUNCTION("GOOGLETRANSLATE(D40,""ru"",""en"")"),"Giant Roy Medus was recorded on a video on the coast of the Israeli beach - the news of Israel and the world")</f>
        <v>Giant Roy Medus was recorded on a video on the coast of the Israeli beach - the news of Israel and the world</v>
      </c>
      <c r="P696" s="12">
        <v>1</v>
      </c>
      <c r="R696">
        <f>COUNTIFS($J$2:$J$997,J696,$I$2:$I$997,I696)</f>
        <v>6</v>
      </c>
      <c r="S696">
        <f>COUNTIFS($J$2:$J$997,J696,$I$2:$I$997,I696,$E$2:$E$997,E696)</f>
        <v>3</v>
      </c>
    </row>
    <row r="697" spans="1:19" x14ac:dyDescent="0.2">
      <c r="A697">
        <v>323</v>
      </c>
      <c r="B697" t="s">
        <v>2093</v>
      </c>
      <c r="C697" t="s">
        <v>2094</v>
      </c>
      <c r="D697" t="s">
        <v>2095</v>
      </c>
      <c r="E697" s="5" t="s">
        <v>29</v>
      </c>
      <c r="F697" t="s">
        <v>78</v>
      </c>
      <c r="G697">
        <v>32.849166010823502</v>
      </c>
      <c r="H697">
        <v>35.061617587657501</v>
      </c>
      <c r="I697">
        <f t="shared" si="40"/>
        <v>2021</v>
      </c>
      <c r="J697">
        <f t="shared" si="41"/>
        <v>11</v>
      </c>
      <c r="K697" s="2">
        <v>44268</v>
      </c>
      <c r="L697" s="2" t="s">
        <v>23</v>
      </c>
      <c r="M697" t="s">
        <v>2096</v>
      </c>
      <c r="N697" t="s">
        <v>2097</v>
      </c>
      <c r="O697" s="9" t="str">
        <f ca="1">IFERROR(__xludf.DUMMYFUNCTION("GOOGLETRANSLATE(D28,""ru"",""en"")"),"The concentration of jellyfish on the Israeli coast has increased")</f>
        <v>The concentration of jellyfish on the Israeli coast has increased</v>
      </c>
      <c r="P697" s="9">
        <v>1</v>
      </c>
      <c r="R697">
        <f>COUNTIFS($J$2:$J$997,J697,$I$2:$I$997,I697)</f>
        <v>6</v>
      </c>
      <c r="S697">
        <f>COUNTIFS($J$2:$J$997,J697,$I$2:$I$997,I697,$E$2:$E$997,E697)</f>
        <v>2</v>
      </c>
    </row>
    <row r="698" spans="1:19" x14ac:dyDescent="0.2">
      <c r="A698">
        <v>323</v>
      </c>
      <c r="B698" t="s">
        <v>2093</v>
      </c>
      <c r="C698" t="s">
        <v>2094</v>
      </c>
      <c r="D698" t="s">
        <v>2095</v>
      </c>
      <c r="E698" s="5" t="s">
        <v>47</v>
      </c>
      <c r="F698" t="s">
        <v>48</v>
      </c>
      <c r="G698">
        <v>32.305869740247999</v>
      </c>
      <c r="H698">
        <v>34.842875660039503</v>
      </c>
      <c r="I698">
        <f t="shared" si="40"/>
        <v>2021</v>
      </c>
      <c r="J698">
        <f t="shared" si="41"/>
        <v>11</v>
      </c>
      <c r="K698" s="2">
        <v>44268</v>
      </c>
      <c r="L698" s="2" t="s">
        <v>23</v>
      </c>
      <c r="M698" t="s">
        <v>2096</v>
      </c>
      <c r="N698" t="s">
        <v>2097</v>
      </c>
      <c r="O698" s="12" t="str">
        <f ca="1">IFERROR(__xludf.DUMMYFUNCTION("GOOGLETRANSLATE(D46,""ru"",""en"")"),"Video: a large colony of jellyfish approaches the northern beaches of Haifa")</f>
        <v>Video: a large colony of jellyfish approaches the northern beaches of Haifa</v>
      </c>
      <c r="P698" s="12">
        <v>1</v>
      </c>
      <c r="R698">
        <f>COUNTIFS($J$2:$J$997,J698,$I$2:$I$997,I698)</f>
        <v>6</v>
      </c>
      <c r="S698">
        <f>COUNTIFS($J$2:$J$997,J698,$I$2:$I$997,I698,$E$2:$E$997,E698)</f>
        <v>3</v>
      </c>
    </row>
    <row r="699" spans="1:19" x14ac:dyDescent="0.2">
      <c r="A699">
        <v>67</v>
      </c>
      <c r="B699" t="s">
        <v>2100</v>
      </c>
      <c r="D699" t="s">
        <v>2101</v>
      </c>
      <c r="E699" s="5" t="s">
        <v>47</v>
      </c>
      <c r="F699" t="s">
        <v>75</v>
      </c>
      <c r="G699">
        <v>32.439273327223297</v>
      </c>
      <c r="H699">
        <v>34.878068554773698</v>
      </c>
      <c r="I699">
        <f t="shared" si="40"/>
        <v>2021</v>
      </c>
      <c r="J699">
        <f t="shared" si="41"/>
        <v>12</v>
      </c>
      <c r="K699" s="2">
        <v>44270</v>
      </c>
      <c r="L699" s="2" t="s">
        <v>23</v>
      </c>
      <c r="M699" t="s">
        <v>2102</v>
      </c>
      <c r="O699" s="9" t="str">
        <f ca="1">IFERROR(__xludf.DUMMYFUNCTION("GOOGLETRANSLATE(D49,""ru"",""en"")"),"Flocks of jellyfish are already on the way to Israel. What should be remembered about them. Rhopilema nomadica strokes contains a caustic substance that causes burns in contact with the body. Israeli information and analytical site. Latest news")</f>
        <v>Flocks of jellyfish are already on the way to Israel. What should be remembered about them. Rhopilema nomadica strokes contains a caustic substance that causes burns in contact with the body. Israeli information and analytical site. Latest news</v>
      </c>
      <c r="P699" s="9">
        <v>1</v>
      </c>
      <c r="R699">
        <f>COUNTIFS($J$2:$J$997,J699,$I$2:$I$997,I699)</f>
        <v>1</v>
      </c>
      <c r="S699">
        <f>COUNTIFS($J$2:$J$997,J699,$I$2:$I$997,I699,$E$2:$E$997,E699)</f>
        <v>1</v>
      </c>
    </row>
    <row r="700" spans="1:19" x14ac:dyDescent="0.2">
      <c r="A700" t="s">
        <v>2103</v>
      </c>
      <c r="B700" t="s">
        <v>2104</v>
      </c>
      <c r="C700" t="s">
        <v>854</v>
      </c>
      <c r="D700" t="s">
        <v>2105</v>
      </c>
      <c r="I700">
        <f t="shared" si="40"/>
        <v>2021</v>
      </c>
      <c r="J700">
        <f t="shared" si="41"/>
        <v>14</v>
      </c>
      <c r="K700" s="2">
        <v>44285</v>
      </c>
      <c r="L700" s="2" t="s">
        <v>23</v>
      </c>
      <c r="M700" t="s">
        <v>2106</v>
      </c>
      <c r="N700" t="s">
        <v>2107</v>
      </c>
      <c r="O700" s="9" t="str">
        <f ca="1">IFERROR(__xludf.DUMMYFUNCTION("GOOGLETRANSLATE(D138,""ru"",""en"")"),"Giant jellyfish of jellyfish is observed in Israel - news ...")</f>
        <v>Giant jellyfish of jellyfish is observed in Israel - news ...</v>
      </c>
      <c r="P700" s="9">
        <v>1</v>
      </c>
      <c r="R700">
        <f>COUNTIFS($J$2:$J$997,J700,$I$2:$I$997,I700)</f>
        <v>1</v>
      </c>
      <c r="S700">
        <f>COUNTIFS($J$2:$J$997,J700,$I$2:$I$997,I700,$E$2:$E$997,E700)</f>
        <v>0</v>
      </c>
    </row>
    <row r="701" spans="1:19" x14ac:dyDescent="0.2">
      <c r="A701">
        <v>97</v>
      </c>
      <c r="B701" t="s">
        <v>2108</v>
      </c>
      <c r="D701" t="s">
        <v>2109</v>
      </c>
      <c r="E701" s="4" t="s">
        <v>21</v>
      </c>
      <c r="F701" t="s">
        <v>64</v>
      </c>
      <c r="G701">
        <v>31.8169667122236</v>
      </c>
      <c r="H701">
        <v>34.639611775767101</v>
      </c>
      <c r="I701">
        <f t="shared" si="40"/>
        <v>2021</v>
      </c>
      <c r="J701">
        <f t="shared" si="41"/>
        <v>22</v>
      </c>
      <c r="K701" s="2">
        <v>44344</v>
      </c>
      <c r="L701" s="2" t="s">
        <v>23</v>
      </c>
      <c r="M701" t="s">
        <v>2110</v>
      </c>
      <c r="O701" s="12" t="str">
        <f ca="1">IFERROR(__xludf.DUMMYFUNCTION("GOOGLETRANSLATE(D61,""ru"",""en"")"),"In Israel ends the jellyfish season")</f>
        <v>In Israel ends the jellyfish season</v>
      </c>
      <c r="P701" s="12">
        <v>0</v>
      </c>
    </row>
    <row r="702" spans="1:19" x14ac:dyDescent="0.2">
      <c r="A702">
        <v>68</v>
      </c>
      <c r="B702" t="s">
        <v>2111</v>
      </c>
      <c r="C702" t="s">
        <v>688</v>
      </c>
      <c r="D702" t="s">
        <v>2112</v>
      </c>
      <c r="E702" s="4" t="s">
        <v>21</v>
      </c>
      <c r="F702" t="s">
        <v>64</v>
      </c>
      <c r="G702">
        <v>31.8169667122236</v>
      </c>
      <c r="H702">
        <v>34.639611775767101</v>
      </c>
      <c r="I702">
        <f t="shared" si="40"/>
        <v>2021</v>
      </c>
      <c r="J702">
        <f t="shared" si="41"/>
        <v>22</v>
      </c>
      <c r="K702" s="2">
        <v>44345</v>
      </c>
      <c r="L702" s="2" t="s">
        <v>23</v>
      </c>
      <c r="M702" t="s">
        <v>2113</v>
      </c>
      <c r="N702" t="s">
        <v>2114</v>
      </c>
      <c r="O702" s="9" t="str">
        <f ca="1">IFERROR(__xludf.DUMMYFUNCTION("GOOGLETRANSLATE(D62,""ru"",""en"")"),"The population of dangerous jellyfish concentrated on the beaches of Israel")</f>
        <v>The population of dangerous jellyfish concentrated on the beaches of Israel</v>
      </c>
      <c r="P702" s="9">
        <v>1</v>
      </c>
      <c r="R702">
        <f t="shared" ref="R702:R715" si="44">COUNTIFS($J$2:$J$997,J702,$I$2:$I$997,I702)</f>
        <v>2</v>
      </c>
      <c r="S702">
        <f t="shared" ref="S702:S715" si="45">COUNTIFS($J$2:$J$997,J702,$I$2:$I$997,I702,$E$2:$E$997,E702)</f>
        <v>2</v>
      </c>
    </row>
    <row r="703" spans="1:19" x14ac:dyDescent="0.2">
      <c r="A703">
        <v>112</v>
      </c>
      <c r="B703" t="s">
        <v>2115</v>
      </c>
      <c r="C703" t="s">
        <v>1840</v>
      </c>
      <c r="D703" t="s">
        <v>2109</v>
      </c>
      <c r="E703" s="5" t="s">
        <v>47</v>
      </c>
      <c r="F703" t="s">
        <v>243</v>
      </c>
      <c r="G703">
        <v>32.177466819907004</v>
      </c>
      <c r="H703">
        <v>34.801354466376203</v>
      </c>
      <c r="I703">
        <f t="shared" si="40"/>
        <v>2021</v>
      </c>
      <c r="J703">
        <f t="shared" si="41"/>
        <v>23</v>
      </c>
      <c r="K703" s="2">
        <v>44347</v>
      </c>
      <c r="L703" s="2" t="s">
        <v>23</v>
      </c>
      <c r="M703" t="s">
        <v>2116</v>
      </c>
      <c r="N703" t="s">
        <v>1843</v>
      </c>
      <c r="O703" s="12" t="str">
        <f ca="1">IFERROR(__xludf.DUMMYFUNCTION("GOOGLETRANSLATE(D63,""ru"",""en"")"),"Made in Israel: the new application will allow you to find out which beach has a jellyfish")</f>
        <v>Made in Israel: the new application will allow you to find out which beach has a jellyfish</v>
      </c>
      <c r="P703" s="12">
        <v>1</v>
      </c>
      <c r="R703">
        <f t="shared" si="44"/>
        <v>3</v>
      </c>
      <c r="S703">
        <f t="shared" si="45"/>
        <v>1</v>
      </c>
    </row>
    <row r="704" spans="1:19" x14ac:dyDescent="0.2">
      <c r="A704">
        <v>435</v>
      </c>
      <c r="B704" t="s">
        <v>2117</v>
      </c>
      <c r="C704" t="s">
        <v>2118</v>
      </c>
      <c r="D704" t="s">
        <v>2119</v>
      </c>
      <c r="E704" s="4" t="s">
        <v>21</v>
      </c>
      <c r="F704" t="s">
        <v>70</v>
      </c>
      <c r="G704">
        <v>32.002493003827801</v>
      </c>
      <c r="H704">
        <v>34.731694234364099</v>
      </c>
      <c r="I704">
        <f t="shared" si="40"/>
        <v>2021</v>
      </c>
      <c r="J704">
        <f t="shared" si="41"/>
        <v>23</v>
      </c>
      <c r="K704" s="2">
        <v>44350</v>
      </c>
      <c r="L704" s="2" t="s">
        <v>23</v>
      </c>
      <c r="M704" t="s">
        <v>2120</v>
      </c>
      <c r="N704" t="s">
        <v>2121</v>
      </c>
      <c r="O704" s="9" t="str">
        <f ca="1">IFERROR(__xludf.DUMMYFUNCTION("GOOGLETRANSLATE(D90,""ru"",""en"")"),"Dangerous jellyfish attacked the beaches of Israel | 360 °")</f>
        <v>Dangerous jellyfish attacked the beaches of Israel | 360 °</v>
      </c>
      <c r="P704" s="9">
        <v>1</v>
      </c>
      <c r="R704">
        <f t="shared" si="44"/>
        <v>3</v>
      </c>
      <c r="S704">
        <f t="shared" si="45"/>
        <v>1</v>
      </c>
    </row>
    <row r="705" spans="1:19" x14ac:dyDescent="0.2">
      <c r="A705">
        <v>436</v>
      </c>
      <c r="B705" t="s">
        <v>2122</v>
      </c>
      <c r="C705" t="s">
        <v>2123</v>
      </c>
      <c r="D705" t="s">
        <v>2124</v>
      </c>
      <c r="E705" s="4" t="s">
        <v>73</v>
      </c>
      <c r="F705" t="s">
        <v>242</v>
      </c>
      <c r="G705">
        <v>32.023220011216303</v>
      </c>
      <c r="H705">
        <v>34.738647655010197</v>
      </c>
      <c r="I705">
        <f t="shared" si="40"/>
        <v>2021</v>
      </c>
      <c r="J705">
        <f t="shared" si="41"/>
        <v>23</v>
      </c>
      <c r="K705" s="2">
        <v>44352</v>
      </c>
      <c r="L705" s="2" t="s">
        <v>23</v>
      </c>
      <c r="M705" t="s">
        <v>2125</v>
      </c>
      <c r="N705" t="s">
        <v>2126</v>
      </c>
      <c r="O705" s="12" t="str">
        <f ca="1">IFERROR(__xludf.DUMMYFUNCTION("GOOGLETRANSLATE(D149,""ru"",""en"")"),"In Israel, work is suspended due to the influx of jellyfish ...")</f>
        <v>In Israel, work is suspended due to the influx of jellyfish ...</v>
      </c>
      <c r="P705" s="12">
        <v>1</v>
      </c>
      <c r="R705">
        <f t="shared" si="44"/>
        <v>3</v>
      </c>
      <c r="S705">
        <f t="shared" si="45"/>
        <v>1</v>
      </c>
    </row>
    <row r="706" spans="1:19" x14ac:dyDescent="0.2">
      <c r="A706">
        <v>4</v>
      </c>
      <c r="B706" t="s">
        <v>2127</v>
      </c>
      <c r="C706" t="s">
        <v>615</v>
      </c>
      <c r="D706" t="s">
        <v>2128</v>
      </c>
      <c r="E706" s="5" t="s">
        <v>73</v>
      </c>
      <c r="F706" t="s">
        <v>74</v>
      </c>
      <c r="G706">
        <v>32.093438590230903</v>
      </c>
      <c r="H706">
        <v>34.767717357132298</v>
      </c>
      <c r="I706">
        <f t="shared" ref="I706:I769" si="46">YEAR(K706)</f>
        <v>2021</v>
      </c>
      <c r="J706">
        <f t="shared" ref="J706:J769" si="47">WEEKNUM(K706)</f>
        <v>24</v>
      </c>
      <c r="K706" s="2">
        <v>44355</v>
      </c>
      <c r="L706" s="2" t="s">
        <v>23</v>
      </c>
      <c r="M706" t="s">
        <v>2129</v>
      </c>
      <c r="N706" t="s">
        <v>2130</v>
      </c>
      <c r="O706" s="9" t="str">
        <f ca="1">IFERROR(__xludf.DUMMYFUNCTION("GOOGLETRANSLATE(D69,""ru"",""en"")"),"Due to the warm weather, Medusa came to Israel before")</f>
        <v>Due to the warm weather, Medusa came to Israel before</v>
      </c>
      <c r="P706" s="9">
        <v>1</v>
      </c>
      <c r="R706">
        <f t="shared" si="44"/>
        <v>1</v>
      </c>
      <c r="S706">
        <f t="shared" si="45"/>
        <v>1</v>
      </c>
    </row>
    <row r="707" spans="1:19" x14ac:dyDescent="0.2">
      <c r="A707">
        <v>182</v>
      </c>
      <c r="B707" t="s">
        <v>2131</v>
      </c>
      <c r="C707" t="s">
        <v>2132</v>
      </c>
      <c r="D707" t="s">
        <v>2133</v>
      </c>
      <c r="E707" s="4" t="s">
        <v>21</v>
      </c>
      <c r="F707" t="s">
        <v>64</v>
      </c>
      <c r="G707">
        <v>31.8169667122236</v>
      </c>
      <c r="H707">
        <v>34.639611775767101</v>
      </c>
      <c r="I707">
        <f t="shared" si="46"/>
        <v>2021</v>
      </c>
      <c r="J707">
        <f t="shared" si="47"/>
        <v>25</v>
      </c>
      <c r="K707" s="2">
        <v>44362</v>
      </c>
      <c r="L707" s="2" t="s">
        <v>23</v>
      </c>
      <c r="M707" t="s">
        <v>2134</v>
      </c>
      <c r="N707" t="s">
        <v>2135</v>
      </c>
      <c r="O707" s="12" t="str">
        <f ca="1">IFERROR(__xludf.DUMMYFUNCTION("GOOGLETRANSLATE(D70,""ru"",""en"")"),"Gathered for the beach? Check online if there are jellyfish. Details: Israeli")</f>
        <v>Gathered for the beach? Check online if there are jellyfish. Details: Israeli</v>
      </c>
      <c r="P707" s="12">
        <v>1</v>
      </c>
      <c r="R707">
        <f t="shared" si="44"/>
        <v>12</v>
      </c>
      <c r="S707">
        <f t="shared" si="45"/>
        <v>2</v>
      </c>
    </row>
    <row r="708" spans="1:19" x14ac:dyDescent="0.2">
      <c r="A708">
        <v>182</v>
      </c>
      <c r="B708" t="s">
        <v>2131</v>
      </c>
      <c r="C708" t="s">
        <v>2132</v>
      </c>
      <c r="D708" t="s">
        <v>2133</v>
      </c>
      <c r="E708" s="4" t="s">
        <v>21</v>
      </c>
      <c r="F708" t="s">
        <v>22</v>
      </c>
      <c r="G708">
        <v>31.681438420965801</v>
      </c>
      <c r="H708">
        <v>34.554694789741902</v>
      </c>
      <c r="I708">
        <f t="shared" si="46"/>
        <v>2021</v>
      </c>
      <c r="J708">
        <f t="shared" si="47"/>
        <v>25</v>
      </c>
      <c r="K708" s="2">
        <v>44362</v>
      </c>
      <c r="L708" s="2" t="s">
        <v>23</v>
      </c>
      <c r="M708" t="s">
        <v>2134</v>
      </c>
      <c r="N708" t="s">
        <v>2135</v>
      </c>
      <c r="O708" s="12" t="str">
        <f ca="1">IFERROR(__xludf.DUMMYFUNCTION("GOOGLETRANSLATE(D73,""ru"",""en"")"),"A rare phenomenon: giant jellyfish sailed to the shores of Israel among winter")</f>
        <v>A rare phenomenon: giant jellyfish sailed to the shores of Israel among winter</v>
      </c>
      <c r="P708" s="12">
        <v>1</v>
      </c>
      <c r="R708">
        <f t="shared" si="44"/>
        <v>12</v>
      </c>
      <c r="S708">
        <f t="shared" si="45"/>
        <v>2</v>
      </c>
    </row>
    <row r="709" spans="1:19" x14ac:dyDescent="0.2">
      <c r="A709">
        <v>39</v>
      </c>
      <c r="B709" t="s">
        <v>2136</v>
      </c>
      <c r="D709" t="s">
        <v>2137</v>
      </c>
      <c r="E709" s="4" t="s">
        <v>29</v>
      </c>
      <c r="F709" t="s">
        <v>30</v>
      </c>
      <c r="G709">
        <v>32.8371203553017</v>
      </c>
      <c r="H709">
        <v>34.9792189455856</v>
      </c>
      <c r="I709">
        <f t="shared" si="46"/>
        <v>2021</v>
      </c>
      <c r="J709">
        <f t="shared" si="47"/>
        <v>25</v>
      </c>
      <c r="K709" s="2">
        <v>44362</v>
      </c>
      <c r="L709" s="2" t="s">
        <v>23</v>
      </c>
      <c r="M709" t="s">
        <v>2138</v>
      </c>
      <c r="N709" t="s">
        <v>2139</v>
      </c>
      <c r="O709" s="9" t="str">
        <f ca="1">IFERROR(__xludf.DUMMYFUNCTION("GOOGLETRANSLATE(D448,""ru"",""en"")"),"Unusually quickly ends the jellyfish season near the coast ...")</f>
        <v>Unusually quickly ends the jellyfish season near the coast ...</v>
      </c>
      <c r="P709" s="9">
        <v>1</v>
      </c>
      <c r="R709">
        <f t="shared" si="44"/>
        <v>12</v>
      </c>
      <c r="S709">
        <f t="shared" si="45"/>
        <v>1</v>
      </c>
    </row>
    <row r="710" spans="1:19" x14ac:dyDescent="0.2">
      <c r="A710" t="s">
        <v>2140</v>
      </c>
      <c r="B710" t="s">
        <v>2141</v>
      </c>
      <c r="C710" t="s">
        <v>304</v>
      </c>
      <c r="D710" s="6" t="s">
        <v>2142</v>
      </c>
      <c r="E710" s="6"/>
      <c r="I710">
        <f t="shared" si="46"/>
        <v>2021</v>
      </c>
      <c r="J710">
        <f t="shared" si="47"/>
        <v>25</v>
      </c>
      <c r="K710" s="2">
        <v>44362</v>
      </c>
      <c r="L710" s="2" t="s">
        <v>23</v>
      </c>
      <c r="M710" t="s">
        <v>2143</v>
      </c>
      <c r="N710" t="s">
        <v>2144</v>
      </c>
      <c r="O710" s="12" t="str">
        <f ca="1">IFERROR(__xludf.DUMMYFUNCTION("GOOGLETRANSLATE(D110,""ru"",""en"")"),"Jellyfish in the Mediterranean Sea: in Israel there are now few tourists")</f>
        <v>Jellyfish in the Mediterranean Sea: in Israel there are now few tourists</v>
      </c>
      <c r="P710" s="12">
        <v>1</v>
      </c>
      <c r="R710">
        <f t="shared" si="44"/>
        <v>12</v>
      </c>
      <c r="S710">
        <f t="shared" si="45"/>
        <v>0</v>
      </c>
    </row>
    <row r="711" spans="1:19" x14ac:dyDescent="0.2">
      <c r="A711" t="s">
        <v>2145</v>
      </c>
      <c r="B711" t="s">
        <v>2146</v>
      </c>
      <c r="D711" t="s">
        <v>2147</v>
      </c>
      <c r="I711">
        <f t="shared" si="46"/>
        <v>2021</v>
      </c>
      <c r="J711">
        <f t="shared" si="47"/>
        <v>25</v>
      </c>
      <c r="K711" s="2">
        <v>44362</v>
      </c>
      <c r="L711" s="2" t="s">
        <v>23</v>
      </c>
      <c r="M711" t="s">
        <v>2148</v>
      </c>
      <c r="O711" s="9" t="str">
        <f ca="1">IFERROR(__xludf.DUMMYFUNCTION("GOOGLETRANSLATE(D81,""ru"",""en"")"),"When jellyfish leave the beaches of Israel: the specialist explains")</f>
        <v>When jellyfish leave the beaches of Israel: the specialist explains</v>
      </c>
      <c r="P711" s="9">
        <v>1</v>
      </c>
      <c r="R711">
        <f t="shared" si="44"/>
        <v>12</v>
      </c>
      <c r="S711">
        <f t="shared" si="45"/>
        <v>0</v>
      </c>
    </row>
    <row r="712" spans="1:19" x14ac:dyDescent="0.2">
      <c r="A712" s="9"/>
      <c r="B712" s="9"/>
      <c r="C712" s="9" t="s">
        <v>2149</v>
      </c>
      <c r="D712" s="10" t="s">
        <v>2150</v>
      </c>
      <c r="E712" s="10"/>
      <c r="F712" s="9"/>
      <c r="G712" s="9"/>
      <c r="H712" s="9"/>
      <c r="I712">
        <f t="shared" si="46"/>
        <v>2021</v>
      </c>
      <c r="J712">
        <f t="shared" si="47"/>
        <v>25</v>
      </c>
      <c r="K712" s="11">
        <v>44362</v>
      </c>
      <c r="L712" s="2" t="s">
        <v>23</v>
      </c>
      <c r="M712" s="9"/>
      <c r="N712" s="9"/>
      <c r="O712" s="12"/>
      <c r="P712" s="12">
        <v>1</v>
      </c>
      <c r="R712">
        <f t="shared" si="44"/>
        <v>12</v>
      </c>
      <c r="S712">
        <f t="shared" si="45"/>
        <v>0</v>
      </c>
    </row>
    <row r="713" spans="1:19" x14ac:dyDescent="0.2">
      <c r="A713" s="12"/>
      <c r="B713" s="12"/>
      <c r="C713" s="12" t="s">
        <v>331</v>
      </c>
      <c r="D713" s="13" t="s">
        <v>2151</v>
      </c>
      <c r="E713" s="13"/>
      <c r="F713" s="12"/>
      <c r="G713" s="12"/>
      <c r="H713" s="12"/>
      <c r="I713">
        <f t="shared" si="46"/>
        <v>2021</v>
      </c>
      <c r="J713">
        <f t="shared" si="47"/>
        <v>25</v>
      </c>
      <c r="K713" s="14">
        <v>44362</v>
      </c>
      <c r="L713" s="2" t="s">
        <v>23</v>
      </c>
      <c r="M713" s="12"/>
      <c r="N713" s="12"/>
      <c r="O713" s="9" t="str">
        <f ca="1">IFERROR(__xludf.DUMMYFUNCTION("GOOGLETRANSLATE(D83,""ru"",""en"")"),"It became known where now a particularly high concentration of jellyfish off the coast of Israel (video) - Haifa news")</f>
        <v>It became known where now a particularly high concentration of jellyfish off the coast of Israel (video) - Haifa news</v>
      </c>
      <c r="P713" s="9">
        <v>1</v>
      </c>
      <c r="R713">
        <f t="shared" si="44"/>
        <v>12</v>
      </c>
      <c r="S713">
        <f t="shared" si="45"/>
        <v>0</v>
      </c>
    </row>
    <row r="714" spans="1:19" x14ac:dyDescent="0.2">
      <c r="B714" t="s">
        <v>2152</v>
      </c>
      <c r="C714" t="s">
        <v>397</v>
      </c>
      <c r="D714" t="s">
        <v>2153</v>
      </c>
      <c r="E714" t="s">
        <v>47</v>
      </c>
      <c r="F714" t="s">
        <v>48</v>
      </c>
      <c r="G714">
        <v>32.305869740247999</v>
      </c>
      <c r="H714">
        <v>34.842875660039503</v>
      </c>
      <c r="I714">
        <f t="shared" si="46"/>
        <v>2021</v>
      </c>
      <c r="J714">
        <f t="shared" si="47"/>
        <v>25</v>
      </c>
      <c r="K714" s="2">
        <v>44363</v>
      </c>
      <c r="L714" s="2" t="s">
        <v>23</v>
      </c>
      <c r="M714" t="s">
        <v>2154</v>
      </c>
      <c r="N714" t="s">
        <v>2155</v>
      </c>
      <c r="O714" s="12" t="str">
        <f ca="1">IFERROR(__xludf.DUMMYFUNCTION("GOOGLETRANSLATE(D416,""ru"",""en"")"),"Ethnic Asia. Meduses clogged the Israeli hydroelectric power station | Bigasia.ru")</f>
        <v>Ethnic Asia. Meduses clogged the Israeli hydroelectric power station | Bigasia.ru</v>
      </c>
      <c r="P714" s="12">
        <v>1</v>
      </c>
      <c r="R714">
        <f t="shared" si="44"/>
        <v>12</v>
      </c>
      <c r="S714">
        <f t="shared" si="45"/>
        <v>1</v>
      </c>
    </row>
    <row r="715" spans="1:19" x14ac:dyDescent="0.2">
      <c r="A715" s="12">
        <v>331</v>
      </c>
      <c r="B715" s="12" t="s">
        <v>2156</v>
      </c>
      <c r="C715" s="12" t="s">
        <v>520</v>
      </c>
      <c r="D715" s="13" t="s">
        <v>2157</v>
      </c>
      <c r="E715" s="13"/>
      <c r="F715" s="12"/>
      <c r="G715" s="12"/>
      <c r="H715" s="12"/>
      <c r="I715">
        <f t="shared" si="46"/>
        <v>2021</v>
      </c>
      <c r="J715">
        <f t="shared" si="47"/>
        <v>25</v>
      </c>
      <c r="K715" s="14">
        <v>44363</v>
      </c>
      <c r="L715" s="2" t="s">
        <v>23</v>
      </c>
      <c r="M715" s="12" t="s">
        <v>2158</v>
      </c>
      <c r="N715" s="12" t="s">
        <v>2159</v>
      </c>
      <c r="O715" s="9" t="str">
        <f ca="1">IFERROR(__xludf.DUMMYFUNCTION("GOOGLETRANSLATE(D161,""ru"",""en"")"),"A huge accumulation of jellyfish was noticed off the coast of Israel ...")</f>
        <v>A huge accumulation of jellyfish was noticed off the coast of Israel ...</v>
      </c>
      <c r="P715" s="9">
        <v>1</v>
      </c>
      <c r="R715">
        <f t="shared" si="44"/>
        <v>12</v>
      </c>
      <c r="S715">
        <f t="shared" si="45"/>
        <v>0</v>
      </c>
    </row>
    <row r="716" spans="1:19" x14ac:dyDescent="0.2">
      <c r="A716" s="9">
        <v>124</v>
      </c>
      <c r="B716" s="9" t="s">
        <v>2160</v>
      </c>
      <c r="C716" s="9" t="s">
        <v>2161</v>
      </c>
      <c r="D716" s="10" t="s">
        <v>2162</v>
      </c>
      <c r="E716" s="10"/>
      <c r="F716" s="9"/>
      <c r="G716" s="9"/>
      <c r="H716" s="9"/>
      <c r="I716">
        <f t="shared" si="46"/>
        <v>2021</v>
      </c>
      <c r="J716">
        <f t="shared" si="47"/>
        <v>25</v>
      </c>
      <c r="K716" s="11">
        <v>44364</v>
      </c>
      <c r="L716" s="2" t="s">
        <v>23</v>
      </c>
      <c r="M716" s="9" t="s">
        <v>2163</v>
      </c>
      <c r="N716" s="9" t="s">
        <v>2164</v>
      </c>
      <c r="O716" s="12" t="str">
        <f ca="1">IFERROR(__xludf.DUMMYFUNCTION("GOOGLETRANSLATE(D56,""ru"",""en"")"),"Millions of jellyfish - Israeli news and peace move towards the coast of Israel.")</f>
        <v>Millions of jellyfish - Israeli news and peace move towards the coast of Israel.</v>
      </c>
      <c r="P716" s="12">
        <v>0</v>
      </c>
    </row>
    <row r="717" spans="1:19" x14ac:dyDescent="0.2">
      <c r="A717" s="12">
        <v>14</v>
      </c>
      <c r="B717" s="12" t="s">
        <v>2165</v>
      </c>
      <c r="C717" s="12" t="s">
        <v>2166</v>
      </c>
      <c r="D717" s="13" t="s">
        <v>2167</v>
      </c>
      <c r="E717" s="13"/>
      <c r="F717" s="12"/>
      <c r="G717" s="12"/>
      <c r="H717" s="12"/>
      <c r="I717">
        <f t="shared" si="46"/>
        <v>2021</v>
      </c>
      <c r="J717">
        <f t="shared" si="47"/>
        <v>25</v>
      </c>
      <c r="K717" s="14">
        <v>44364</v>
      </c>
      <c r="L717" s="2" t="s">
        <v>23</v>
      </c>
      <c r="M717" s="12" t="s">
        <v>2168</v>
      </c>
      <c r="N717" s="12" t="s">
        <v>2169</v>
      </c>
      <c r="O717" s="9" t="str">
        <f ca="1">IFERROR(__xludf.DUMMYFUNCTION("GOOGLETRANSLATE(D483,""ru"",""en"")"),"Giant Roy Medus in Israel: they told vacationers, standing ...")</f>
        <v>Giant Roy Medus in Israel: they told vacationers, standing ...</v>
      </c>
      <c r="P717" s="9">
        <v>1</v>
      </c>
      <c r="R717">
        <f t="shared" ref="R717:R730" si="48">COUNTIFS($J$2:$J$997,J717,$I$2:$I$997,I717)</f>
        <v>12</v>
      </c>
      <c r="S717">
        <f t="shared" ref="S717:S730" si="49">COUNTIFS($J$2:$J$997,J717,$I$2:$I$997,I717,$E$2:$E$997,E717)</f>
        <v>0</v>
      </c>
    </row>
    <row r="718" spans="1:19" x14ac:dyDescent="0.2">
      <c r="A718">
        <v>427</v>
      </c>
      <c r="B718" t="s">
        <v>2170</v>
      </c>
      <c r="C718" t="s">
        <v>1787</v>
      </c>
      <c r="D718" t="s">
        <v>2171</v>
      </c>
      <c r="E718" t="s">
        <v>73</v>
      </c>
      <c r="F718" t="s">
        <v>242</v>
      </c>
      <c r="G718">
        <v>32.023220011216303</v>
      </c>
      <c r="H718">
        <v>34.738647655010197</v>
      </c>
      <c r="I718">
        <f t="shared" si="46"/>
        <v>2021</v>
      </c>
      <c r="J718">
        <f t="shared" si="47"/>
        <v>25</v>
      </c>
      <c r="K718" s="2">
        <v>44366</v>
      </c>
      <c r="L718" s="2" t="s">
        <v>23</v>
      </c>
      <c r="M718" t="s">
        <v>2172</v>
      </c>
      <c r="N718" t="s">
        <v>2173</v>
      </c>
      <c r="O718" s="12" t="str">
        <f ca="1">IFERROR(__xludf.DUMMYFUNCTION("GOOGLETRANSLATE(D106,""ru"",""en"")"),"On the coast of Israel, the Medus invasion is ru.delfi")</f>
        <v>On the coast of Israel, the Medus invasion is ru.delfi</v>
      </c>
      <c r="P718" s="12">
        <v>1</v>
      </c>
      <c r="R718">
        <f t="shared" si="48"/>
        <v>12</v>
      </c>
      <c r="S718">
        <f t="shared" si="49"/>
        <v>1</v>
      </c>
    </row>
    <row r="719" spans="1:19" x14ac:dyDescent="0.2">
      <c r="A719">
        <v>6</v>
      </c>
      <c r="B719" t="s">
        <v>2174</v>
      </c>
      <c r="C719" t="s">
        <v>1438</v>
      </c>
      <c r="D719" t="s">
        <v>2175</v>
      </c>
      <c r="E719" s="5" t="s">
        <v>47</v>
      </c>
      <c r="F719" t="s">
        <v>243</v>
      </c>
      <c r="G719">
        <v>32.177466819907004</v>
      </c>
      <c r="H719">
        <v>34.801354466376203</v>
      </c>
      <c r="I719">
        <f t="shared" si="46"/>
        <v>2021</v>
      </c>
      <c r="J719">
        <f t="shared" si="47"/>
        <v>26</v>
      </c>
      <c r="K719" s="2">
        <v>44367</v>
      </c>
      <c r="L719" s="2" t="s">
        <v>23</v>
      </c>
      <c r="M719" t="s">
        <v>2176</v>
      </c>
      <c r="N719" t="s">
        <v>2177</v>
      </c>
      <c r="O719" s="9" t="s">
        <v>2178</v>
      </c>
      <c r="P719" s="9">
        <v>1</v>
      </c>
      <c r="R719">
        <f t="shared" si="48"/>
        <v>9</v>
      </c>
      <c r="S719">
        <f t="shared" si="49"/>
        <v>2</v>
      </c>
    </row>
    <row r="720" spans="1:19" x14ac:dyDescent="0.2">
      <c r="A720" s="12">
        <v>19</v>
      </c>
      <c r="B720" s="12" t="s">
        <v>2179</v>
      </c>
      <c r="C720" s="12" t="s">
        <v>2180</v>
      </c>
      <c r="D720" s="13" t="s">
        <v>2181</v>
      </c>
      <c r="E720" s="13"/>
      <c r="F720" s="12"/>
      <c r="G720" s="12"/>
      <c r="H720" s="12"/>
      <c r="I720">
        <f t="shared" si="46"/>
        <v>2021</v>
      </c>
      <c r="J720">
        <f t="shared" si="47"/>
        <v>26</v>
      </c>
      <c r="K720" s="14">
        <v>44368</v>
      </c>
      <c r="L720" s="2" t="s">
        <v>23</v>
      </c>
      <c r="M720" s="12" t="s">
        <v>2182</v>
      </c>
      <c r="N720" s="12" t="s">
        <v>2183</v>
      </c>
      <c r="O720" s="12" t="str">
        <f ca="1">IFERROR(__xludf.DUMMYFUNCTION("GOOGLETRANSLATE(D109,""ru"",""en"")"),"On the beaches of Israel, tens of millions of jellyfish, dangerous ...")</f>
        <v>On the beaches of Israel, tens of millions of jellyfish, dangerous ...</v>
      </c>
      <c r="P720" s="12">
        <v>1</v>
      </c>
      <c r="R720">
        <f t="shared" si="48"/>
        <v>9</v>
      </c>
      <c r="S720">
        <f t="shared" si="49"/>
        <v>0</v>
      </c>
    </row>
    <row r="721" spans="1:19" x14ac:dyDescent="0.2">
      <c r="A721" s="12">
        <v>83</v>
      </c>
      <c r="B721" s="12" t="s">
        <v>2184</v>
      </c>
      <c r="C721" s="12" t="s">
        <v>331</v>
      </c>
      <c r="D721" s="13" t="s">
        <v>2185</v>
      </c>
      <c r="E721" s="13"/>
      <c r="F721" s="12"/>
      <c r="G721" s="12"/>
      <c r="H721" s="12"/>
      <c r="I721">
        <f t="shared" si="46"/>
        <v>2021</v>
      </c>
      <c r="J721">
        <f t="shared" si="47"/>
        <v>26</v>
      </c>
      <c r="K721" s="14">
        <v>44368</v>
      </c>
      <c r="L721" s="2" t="s">
        <v>23</v>
      </c>
      <c r="M721" s="12" t="s">
        <v>2186</v>
      </c>
      <c r="N721" s="12" t="s">
        <v>2187</v>
      </c>
      <c r="O721" s="9"/>
      <c r="P721" s="9">
        <v>1</v>
      </c>
      <c r="R721">
        <f t="shared" si="48"/>
        <v>9</v>
      </c>
      <c r="S721">
        <f t="shared" si="49"/>
        <v>0</v>
      </c>
    </row>
    <row r="722" spans="1:19" x14ac:dyDescent="0.2">
      <c r="A722" s="9">
        <v>61</v>
      </c>
      <c r="B722" s="9" t="s">
        <v>2188</v>
      </c>
      <c r="C722" s="9" t="s">
        <v>2189</v>
      </c>
      <c r="D722" s="9" t="s">
        <v>2190</v>
      </c>
      <c r="E722" s="9"/>
      <c r="F722" s="9"/>
      <c r="I722">
        <f t="shared" si="46"/>
        <v>2021</v>
      </c>
      <c r="J722">
        <f t="shared" si="47"/>
        <v>26</v>
      </c>
      <c r="K722" s="16">
        <v>44369</v>
      </c>
      <c r="L722" s="2" t="s">
        <v>23</v>
      </c>
      <c r="M722" s="9" t="s">
        <v>2191</v>
      </c>
      <c r="N722" s="9" t="s">
        <v>2192</v>
      </c>
      <c r="O722" s="12" t="str">
        <f ca="1">IFERROR(__xludf.DUMMYFUNCTION("GOOGLETRANSLATE(D119,""ru"",""en"")"),"ᐈ Haifa University studies the invasion of Medus ...")</f>
        <v>ᐈ Haifa University studies the invasion of Medus ...</v>
      </c>
      <c r="P722" s="12">
        <v>1</v>
      </c>
      <c r="R722">
        <f t="shared" si="48"/>
        <v>9</v>
      </c>
      <c r="S722">
        <f t="shared" si="49"/>
        <v>0</v>
      </c>
    </row>
    <row r="723" spans="1:19" x14ac:dyDescent="0.2">
      <c r="A723" s="12">
        <v>242</v>
      </c>
      <c r="B723" s="12" t="s">
        <v>2193</v>
      </c>
      <c r="C723" s="12" t="s">
        <v>19</v>
      </c>
      <c r="D723" s="13" t="s">
        <v>2194</v>
      </c>
      <c r="E723" s="13" t="s">
        <v>29</v>
      </c>
      <c r="F723" s="12" t="s">
        <v>30</v>
      </c>
      <c r="G723" s="12"/>
      <c r="H723" s="12"/>
      <c r="I723">
        <f t="shared" si="46"/>
        <v>2021</v>
      </c>
      <c r="J723">
        <f t="shared" si="47"/>
        <v>26</v>
      </c>
      <c r="K723" s="14">
        <v>44370</v>
      </c>
      <c r="L723" s="2" t="s">
        <v>23</v>
      </c>
      <c r="M723" s="12" t="s">
        <v>2195</v>
      </c>
      <c r="N723" s="12" t="s">
        <v>2196</v>
      </c>
      <c r="O723" s="9"/>
      <c r="P723" s="9">
        <v>1</v>
      </c>
      <c r="R723">
        <f t="shared" si="48"/>
        <v>9</v>
      </c>
      <c r="S723">
        <f t="shared" si="49"/>
        <v>2</v>
      </c>
    </row>
    <row r="724" spans="1:19" x14ac:dyDescent="0.2">
      <c r="A724" s="12">
        <v>33</v>
      </c>
      <c r="B724" s="12" t="s">
        <v>2197</v>
      </c>
      <c r="C724" s="12" t="s">
        <v>2198</v>
      </c>
      <c r="D724" s="12" t="s">
        <v>2199</v>
      </c>
      <c r="E724" s="12"/>
      <c r="F724" s="12"/>
      <c r="I724">
        <f t="shared" si="46"/>
        <v>2021</v>
      </c>
      <c r="J724">
        <f t="shared" si="47"/>
        <v>26</v>
      </c>
      <c r="K724" s="17">
        <v>44370</v>
      </c>
      <c r="L724" s="2" t="s">
        <v>23</v>
      </c>
      <c r="M724" s="13" t="s">
        <v>2200</v>
      </c>
      <c r="N724" s="12" t="s">
        <v>2201</v>
      </c>
      <c r="O724" s="12" t="str">
        <f ca="1">IFERROR(__xludf.DUMMYFUNCTION("GOOGLETRANSLATE(D151,""ru"",""en"")"),"Big and dangerous jellyfish appeared off the coast of Israel ...")</f>
        <v>Big and dangerous jellyfish appeared off the coast of Israel ...</v>
      </c>
      <c r="P724" s="12">
        <v>1</v>
      </c>
      <c r="R724">
        <f t="shared" si="48"/>
        <v>9</v>
      </c>
      <c r="S724">
        <f t="shared" si="49"/>
        <v>0</v>
      </c>
    </row>
    <row r="725" spans="1:19" x14ac:dyDescent="0.2">
      <c r="A725" s="1">
        <v>3</v>
      </c>
      <c r="B725" t="s">
        <v>2202</v>
      </c>
      <c r="C725" t="s">
        <v>458</v>
      </c>
      <c r="D725" t="s">
        <v>2203</v>
      </c>
      <c r="E725" s="4" t="s">
        <v>21</v>
      </c>
      <c r="F725" t="s">
        <v>70</v>
      </c>
      <c r="G725">
        <v>32.002493003827801</v>
      </c>
      <c r="H725">
        <v>34.731694234364099</v>
      </c>
      <c r="I725">
        <f t="shared" si="46"/>
        <v>2021</v>
      </c>
      <c r="J725">
        <f t="shared" si="47"/>
        <v>26</v>
      </c>
      <c r="K725" s="2">
        <v>44372</v>
      </c>
      <c r="L725" s="2" t="s">
        <v>23</v>
      </c>
      <c r="M725" t="s">
        <v>2204</v>
      </c>
      <c r="N725" t="s">
        <v>2205</v>
      </c>
      <c r="O725" s="9" t="str">
        <f ca="1">IFERROR(__xludf.DUMMYFUNCTION("GOOGLETRANSLATE(D80,""ru"",""en"")"),"Israel - “How Medusa bit me in Israel: how to treat, consequences. Shocking photos of a burn (do not look faint of heart). Border control tips. What to see in this country? ""| reviews")</f>
        <v>Israel - “How Medusa bit me in Israel: how to treat, consequences. Shocking photos of a burn (do not look faint of heart). Border control tips. What to see in this country? "| reviews</v>
      </c>
      <c r="P725" s="9">
        <v>1</v>
      </c>
      <c r="R725">
        <f t="shared" si="48"/>
        <v>9</v>
      </c>
      <c r="S725">
        <f t="shared" si="49"/>
        <v>1</v>
      </c>
    </row>
    <row r="726" spans="1:19" x14ac:dyDescent="0.2">
      <c r="A726">
        <v>65</v>
      </c>
      <c r="B726" t="s">
        <v>2206</v>
      </c>
      <c r="D726" t="s">
        <v>2109</v>
      </c>
      <c r="E726" t="s">
        <v>29</v>
      </c>
      <c r="F726" t="s">
        <v>2207</v>
      </c>
      <c r="G726">
        <v>33.045236837092403</v>
      </c>
      <c r="H726">
        <v>35.1004249845763</v>
      </c>
      <c r="I726">
        <f t="shared" si="46"/>
        <v>2021</v>
      </c>
      <c r="J726">
        <f t="shared" si="47"/>
        <v>26</v>
      </c>
      <c r="K726" s="2">
        <v>44373</v>
      </c>
      <c r="L726" s="2" t="s">
        <v>23</v>
      </c>
      <c r="M726" t="s">
        <v>2208</v>
      </c>
      <c r="O726" s="12" t="str">
        <f ca="1">IFERROR(__xludf.DUMMYFUNCTION("GOOGLETRANSLATE(D126,""ru"",""en"")"),"Flocks of jellyfish struck the environmental balance of Israel ...")</f>
        <v>Flocks of jellyfish struck the environmental balance of Israel ...</v>
      </c>
      <c r="P726" s="12">
        <v>1</v>
      </c>
      <c r="R726">
        <f t="shared" si="48"/>
        <v>9</v>
      </c>
      <c r="S726">
        <f t="shared" si="49"/>
        <v>2</v>
      </c>
    </row>
    <row r="727" spans="1:19" x14ac:dyDescent="0.2">
      <c r="A727">
        <v>28</v>
      </c>
      <c r="B727" t="s">
        <v>2209</v>
      </c>
      <c r="D727" t="s">
        <v>2109</v>
      </c>
      <c r="E727" s="5" t="s">
        <v>47</v>
      </c>
      <c r="F727" t="s">
        <v>243</v>
      </c>
      <c r="G727">
        <v>32.177466819907004</v>
      </c>
      <c r="H727">
        <v>34.801354466376203</v>
      </c>
      <c r="I727">
        <f t="shared" si="46"/>
        <v>2021</v>
      </c>
      <c r="J727">
        <f t="shared" si="47"/>
        <v>26</v>
      </c>
      <c r="K727" s="2">
        <v>44373</v>
      </c>
      <c r="L727" s="2" t="s">
        <v>23</v>
      </c>
      <c r="M727" t="s">
        <v>2210</v>
      </c>
      <c r="N727" t="s">
        <v>2211</v>
      </c>
      <c r="O727" s="9" t="str">
        <f ca="1">IFERROR(__xludf.DUMMYFUNCTION("GOOGLETRANSLATE(D26,""ru"",""en"")"),"The Medusa stung: what needs to be done and what is strictly forbidden?. Details: Israeli")</f>
        <v>The Medusa stung: what needs to be done and what is strictly forbidden?. Details: Israeli</v>
      </c>
      <c r="P727" s="9">
        <v>1</v>
      </c>
      <c r="R727">
        <f t="shared" si="48"/>
        <v>9</v>
      </c>
      <c r="S727">
        <f t="shared" si="49"/>
        <v>2</v>
      </c>
    </row>
    <row r="728" spans="1:19" x14ac:dyDescent="0.2">
      <c r="A728">
        <v>55</v>
      </c>
      <c r="B728" t="s">
        <v>2212</v>
      </c>
      <c r="C728" t="s">
        <v>2213</v>
      </c>
      <c r="D728" t="s">
        <v>2214</v>
      </c>
      <c r="E728" s="4" t="s">
        <v>21</v>
      </c>
      <c r="F728" t="s">
        <v>64</v>
      </c>
      <c r="G728">
        <v>31.8169667122236</v>
      </c>
      <c r="H728">
        <v>34.639611775767101</v>
      </c>
      <c r="I728">
        <f t="shared" si="46"/>
        <v>2021</v>
      </c>
      <c r="J728">
        <f t="shared" si="47"/>
        <v>27</v>
      </c>
      <c r="K728" s="2">
        <v>44374</v>
      </c>
      <c r="L728" s="2" t="s">
        <v>23</v>
      </c>
      <c r="M728" t="s">
        <v>2215</v>
      </c>
      <c r="N728" t="s">
        <v>2216</v>
      </c>
      <c r="O728" s="12" t="str">
        <f ca="1">IFERROR(__xludf.DUMMYFUNCTION("GOOGLETRANSLATE(D137,""ru"",""en"")"),"Giant Medus accumulation arrived at Israel")</f>
        <v>Giant Medus accumulation arrived at Israel</v>
      </c>
      <c r="P728" s="12">
        <v>1</v>
      </c>
      <c r="R728">
        <f t="shared" si="48"/>
        <v>11</v>
      </c>
      <c r="S728">
        <f t="shared" si="49"/>
        <v>4</v>
      </c>
    </row>
    <row r="729" spans="1:19" x14ac:dyDescent="0.2">
      <c r="A729" s="9">
        <v>72</v>
      </c>
      <c r="B729" s="9" t="s">
        <v>2217</v>
      </c>
      <c r="C729" s="9" t="s">
        <v>2218</v>
      </c>
      <c r="D729" s="9" t="s">
        <v>2219</v>
      </c>
      <c r="E729" s="4" t="s">
        <v>21</v>
      </c>
      <c r="F729" s="9" t="s">
        <v>22</v>
      </c>
      <c r="I729">
        <f t="shared" si="46"/>
        <v>2021</v>
      </c>
      <c r="J729">
        <f t="shared" si="47"/>
        <v>27</v>
      </c>
      <c r="K729" s="16">
        <v>44377</v>
      </c>
      <c r="L729" s="2" t="s">
        <v>23</v>
      </c>
      <c r="M729" s="9" t="s">
        <v>2220</v>
      </c>
      <c r="N729" s="9" t="s">
        <v>2221</v>
      </c>
      <c r="O729" s="9" t="str">
        <f ca="1">IFERROR(__xludf.DUMMYFUNCTION("GOOGLETRANSLATE(D120,""ru"",""en"")"),"Detki.co.il - all about children in Israel - swim with ...")</f>
        <v>Detki.co.il - all about children in Israel - swim with ...</v>
      </c>
      <c r="P729" s="9">
        <v>1</v>
      </c>
      <c r="R729">
        <f t="shared" si="48"/>
        <v>11</v>
      </c>
      <c r="S729">
        <f t="shared" si="49"/>
        <v>4</v>
      </c>
    </row>
    <row r="730" spans="1:19" x14ac:dyDescent="0.2">
      <c r="A730" t="s">
        <v>2222</v>
      </c>
      <c r="B730" t="s">
        <v>2223</v>
      </c>
      <c r="C730" t="s">
        <v>1137</v>
      </c>
      <c r="D730" t="s">
        <v>2224</v>
      </c>
      <c r="I730">
        <f t="shared" si="46"/>
        <v>2021</v>
      </c>
      <c r="J730">
        <f t="shared" si="47"/>
        <v>27</v>
      </c>
      <c r="K730" s="2">
        <v>44378</v>
      </c>
      <c r="L730" s="2" t="s">
        <v>23</v>
      </c>
      <c r="M730" t="s">
        <v>2225</v>
      </c>
      <c r="N730" t="s">
        <v>2226</v>
      </c>
      <c r="O730" s="12" t="str">
        <f ca="1">IFERROR(__xludf.DUMMYFUNCTION("GOOGLETRANSLATE(D140,""ru"",""en"")"),"Water in Israel is poisoned by jellyfish")</f>
        <v>Water in Israel is poisoned by jellyfish</v>
      </c>
      <c r="P730" s="12">
        <v>1</v>
      </c>
      <c r="R730">
        <f t="shared" si="48"/>
        <v>11</v>
      </c>
      <c r="S730">
        <f t="shared" si="49"/>
        <v>0</v>
      </c>
    </row>
    <row r="731" spans="1:19" x14ac:dyDescent="0.2">
      <c r="A731">
        <v>192</v>
      </c>
      <c r="B731" t="s">
        <v>2227</v>
      </c>
      <c r="C731" t="s">
        <v>1959</v>
      </c>
      <c r="D731" t="s">
        <v>2228</v>
      </c>
      <c r="E731" s="4" t="s">
        <v>29</v>
      </c>
      <c r="F731" t="s">
        <v>241</v>
      </c>
      <c r="G731">
        <v>32.919146191970597</v>
      </c>
      <c r="H731">
        <v>35.079648455010798</v>
      </c>
      <c r="I731">
        <f t="shared" si="46"/>
        <v>2021</v>
      </c>
      <c r="J731">
        <f t="shared" si="47"/>
        <v>27</v>
      </c>
      <c r="K731" s="2">
        <v>44379</v>
      </c>
      <c r="L731" s="2" t="s">
        <v>23</v>
      </c>
      <c r="M731" t="s">
        <v>2229</v>
      </c>
      <c r="N731" t="s">
        <v>2230</v>
      </c>
      <c r="O731" s="9" t="str">
        <f ca="1">IFERROR(__xludf.DUMMYFUNCTION("GOOGLETRANSLATE(D19,""ru"",""en"")"),"Israel of the Mediterranean Mediterranean in the summer - page 5 • Forum of Vinsky")</f>
        <v>Israel of the Mediterranean Mediterranean in the summer - page 5 • Forum of Vinsky</v>
      </c>
      <c r="P731" s="9">
        <v>0</v>
      </c>
    </row>
    <row r="732" spans="1:19" x14ac:dyDescent="0.2">
      <c r="A732">
        <v>33</v>
      </c>
      <c r="B732" t="s">
        <v>2231</v>
      </c>
      <c r="D732" t="s">
        <v>2232</v>
      </c>
      <c r="E732" s="4" t="s">
        <v>29</v>
      </c>
      <c r="F732" t="s">
        <v>241</v>
      </c>
      <c r="G732">
        <v>32.919146191970597</v>
      </c>
      <c r="H732">
        <v>35.079648455010798</v>
      </c>
      <c r="I732">
        <f t="shared" si="46"/>
        <v>2021</v>
      </c>
      <c r="J732">
        <f t="shared" si="47"/>
        <v>27</v>
      </c>
      <c r="K732" s="2">
        <v>44379</v>
      </c>
      <c r="L732" s="2" t="s">
        <v>23</v>
      </c>
      <c r="M732" t="s">
        <v>2233</v>
      </c>
      <c r="N732" t="s">
        <v>2234</v>
      </c>
      <c r="O732" s="12" t="str">
        <f ca="1">IFERROR(__xludf.DUMMYFUNCTION("GOOGLETRANSLATE(D146,""ru"",""en"")"),"The coastal waters of Israel attack dangerous jellyfish / June 15 ...")</f>
        <v>The coastal waters of Israel attack dangerous jellyfish / June 15 ...</v>
      </c>
      <c r="P732" s="12">
        <v>1</v>
      </c>
      <c r="R732">
        <f>COUNTIFS($J$2:$J$997,J732,$I$2:$I$997,I732)</f>
        <v>11</v>
      </c>
      <c r="S732">
        <f>COUNTIFS($J$2:$J$997,J732,$I$2:$I$997,I732,$E$2:$E$997,E732)</f>
        <v>5</v>
      </c>
    </row>
    <row r="733" spans="1:19" x14ac:dyDescent="0.2">
      <c r="B733" t="s">
        <v>2235</v>
      </c>
      <c r="C733" t="s">
        <v>2236</v>
      </c>
      <c r="D733" t="s">
        <v>2237</v>
      </c>
      <c r="E733" s="4" t="s">
        <v>29</v>
      </c>
      <c r="F733" t="s">
        <v>241</v>
      </c>
      <c r="G733">
        <v>32.919146191970597</v>
      </c>
      <c r="H733">
        <v>35.079648455010798</v>
      </c>
      <c r="I733">
        <f t="shared" si="46"/>
        <v>2021</v>
      </c>
      <c r="J733">
        <f t="shared" si="47"/>
        <v>27</v>
      </c>
      <c r="K733" s="2">
        <v>44379</v>
      </c>
      <c r="L733" s="2" t="s">
        <v>23</v>
      </c>
      <c r="M733" t="s">
        <v>2238</v>
      </c>
      <c r="N733" t="s">
        <v>2239</v>
      </c>
      <c r="O733" s="9" t="str">
        <f ca="1">IFERROR(__xludf.DUMMYFUNCTION("GOOGLETRANSLATE(D203,""ru"",""en"")"),"מדוזה_12 - חי פה - תאגיו החדשות של חיפה והסביYmpes")</f>
        <v>מדוזה_12 - חי פה - תאגיו החדשות של חיפה והסביYmpes</v>
      </c>
      <c r="P733" s="9">
        <v>1</v>
      </c>
      <c r="R733">
        <f>COUNTIFS($J$2:$J$997,J733,$I$2:$I$997,I733)</f>
        <v>11</v>
      </c>
      <c r="S733">
        <f>COUNTIFS($J$2:$J$997,J733,$I$2:$I$997,I733,$E$2:$E$997,E733)</f>
        <v>5</v>
      </c>
    </row>
    <row r="734" spans="1:19" x14ac:dyDescent="0.2">
      <c r="B734" t="s">
        <v>2235</v>
      </c>
      <c r="C734" t="s">
        <v>2236</v>
      </c>
      <c r="D734" t="s">
        <v>2237</v>
      </c>
      <c r="E734" s="4" t="s">
        <v>21</v>
      </c>
      <c r="F734" t="s">
        <v>64</v>
      </c>
      <c r="G734">
        <v>31.8169667122236</v>
      </c>
      <c r="H734">
        <v>34.639611775767101</v>
      </c>
      <c r="I734">
        <f t="shared" si="46"/>
        <v>2021</v>
      </c>
      <c r="J734">
        <f t="shared" si="47"/>
        <v>27</v>
      </c>
      <c r="K734" s="2">
        <v>44379</v>
      </c>
      <c r="L734" s="2" t="s">
        <v>23</v>
      </c>
      <c r="M734" t="s">
        <v>2238</v>
      </c>
      <c r="N734" t="s">
        <v>2239</v>
      </c>
      <c r="O734" s="12" t="str">
        <f ca="1">IFERROR(__xludf.DUMMYFUNCTION("GOOGLETRANSLATE(D344,""ru"",""en"")"),"Thousands of Medusa flooded the coast of Israel - Hi -Tech Mail.Ru")</f>
        <v>Thousands of Medusa flooded the coast of Israel - Hi -Tech Mail.Ru</v>
      </c>
      <c r="P734" s="12">
        <v>1</v>
      </c>
      <c r="R734">
        <f>COUNTIFS($J$2:$J$997,J734,$I$2:$I$997,I734)</f>
        <v>11</v>
      </c>
      <c r="S734">
        <f>COUNTIFS($J$2:$J$997,J734,$I$2:$I$997,I734,$E$2:$E$997,E734)</f>
        <v>4</v>
      </c>
    </row>
    <row r="735" spans="1:19" x14ac:dyDescent="0.2">
      <c r="B735" t="s">
        <v>2235</v>
      </c>
      <c r="C735" t="s">
        <v>2236</v>
      </c>
      <c r="D735" t="s">
        <v>2237</v>
      </c>
      <c r="E735" s="4" t="s">
        <v>21</v>
      </c>
      <c r="F735" t="s">
        <v>22</v>
      </c>
      <c r="G735">
        <v>31.681438420965801</v>
      </c>
      <c r="H735">
        <v>34.554694789741902</v>
      </c>
      <c r="I735">
        <f t="shared" si="46"/>
        <v>2021</v>
      </c>
      <c r="J735">
        <f t="shared" si="47"/>
        <v>27</v>
      </c>
      <c r="K735" s="2">
        <v>44379</v>
      </c>
      <c r="L735" s="2" t="s">
        <v>23</v>
      </c>
      <c r="M735" t="s">
        <v>2238</v>
      </c>
      <c r="N735" t="s">
        <v>2239</v>
      </c>
      <c r="O735" s="12" t="str">
        <f ca="1">IFERROR(__xludf.DUMMYFUNCTION("GOOGLETRANSLATE(D94,""ru"",""en"")"),"The Medus season ended in Israel")</f>
        <v>The Medus season ended in Israel</v>
      </c>
      <c r="P735" s="12">
        <v>0</v>
      </c>
    </row>
    <row r="736" spans="1:19" x14ac:dyDescent="0.2">
      <c r="A736">
        <v>554</v>
      </c>
      <c r="B736" t="s">
        <v>2240</v>
      </c>
      <c r="C736" t="s">
        <v>845</v>
      </c>
      <c r="D736" t="s">
        <v>2241</v>
      </c>
      <c r="E736" s="4" t="s">
        <v>29</v>
      </c>
      <c r="F736" t="s">
        <v>30</v>
      </c>
      <c r="G736">
        <v>32.8371203553017</v>
      </c>
      <c r="H736">
        <v>34.9792189455856</v>
      </c>
      <c r="I736">
        <f t="shared" si="46"/>
        <v>2021</v>
      </c>
      <c r="J736">
        <f t="shared" si="47"/>
        <v>27</v>
      </c>
      <c r="K736" s="2">
        <v>44379</v>
      </c>
      <c r="L736" s="2" t="s">
        <v>23</v>
      </c>
      <c r="M736" t="s">
        <v>2242</v>
      </c>
      <c r="N736" t="s">
        <v>2243</v>
      </c>
      <c r="O736" s="12" t="str">
        <f ca="1">IFERROR(__xludf.DUMMYFUNCTION("GOOGLETRANSLATE(D160,""ru"",""en"")"),"A huge amount of jellyfish approaches the coast of Israel")</f>
        <v>A huge amount of jellyfish approaches the coast of Israel</v>
      </c>
      <c r="P736" s="12">
        <v>1</v>
      </c>
      <c r="R736">
        <f t="shared" ref="R736:R744" si="50">COUNTIFS($J$2:$J$997,J736,$I$2:$I$997,I736)</f>
        <v>11</v>
      </c>
      <c r="S736">
        <f t="shared" ref="S736:S744" si="51">COUNTIFS($J$2:$J$997,J736,$I$2:$I$997,I736,$E$2:$E$997,E736)</f>
        <v>5</v>
      </c>
    </row>
    <row r="737" spans="1:19" x14ac:dyDescent="0.2">
      <c r="A737" s="1">
        <v>19</v>
      </c>
      <c r="B737" t="s">
        <v>2244</v>
      </c>
      <c r="C737" t="s">
        <v>872</v>
      </c>
      <c r="D737" t="s">
        <v>2245</v>
      </c>
      <c r="E737" s="4" t="s">
        <v>29</v>
      </c>
      <c r="F737" t="s">
        <v>30</v>
      </c>
      <c r="G737">
        <v>32.8371203553017</v>
      </c>
      <c r="H737">
        <v>34.9792189455856</v>
      </c>
      <c r="I737">
        <f t="shared" si="46"/>
        <v>2021</v>
      </c>
      <c r="J737">
        <f t="shared" si="47"/>
        <v>27</v>
      </c>
      <c r="K737" s="2">
        <v>44380</v>
      </c>
      <c r="L737" s="2" t="s">
        <v>23</v>
      </c>
      <c r="M737" t="s">
        <v>2246</v>
      </c>
      <c r="N737" t="s">
        <v>2247</v>
      </c>
      <c r="O737" s="9" t="str">
        <f ca="1">IFERROR(__xludf.DUMMYFUNCTION("GOOGLETRANSLATE(D162,""ru"",""en"")"),"Medows of the Israeli coast of the Mediterranean Sea")</f>
        <v>Medows of the Israeli coast of the Mediterranean Sea</v>
      </c>
      <c r="P737" s="9">
        <v>1</v>
      </c>
      <c r="R737">
        <f t="shared" si="50"/>
        <v>11</v>
      </c>
      <c r="S737">
        <f t="shared" si="51"/>
        <v>5</v>
      </c>
    </row>
    <row r="738" spans="1:19" x14ac:dyDescent="0.2">
      <c r="A738" s="12">
        <v>118</v>
      </c>
      <c r="B738" s="12" t="s">
        <v>2248</v>
      </c>
      <c r="C738" s="12" t="s">
        <v>1606</v>
      </c>
      <c r="D738" s="13" t="s">
        <v>2249</v>
      </c>
      <c r="E738" s="13"/>
      <c r="F738" s="12"/>
      <c r="G738" s="12"/>
      <c r="H738" s="12"/>
      <c r="I738">
        <f t="shared" si="46"/>
        <v>2021</v>
      </c>
      <c r="J738">
        <f t="shared" si="47"/>
        <v>27</v>
      </c>
      <c r="K738" s="14">
        <v>44380</v>
      </c>
      <c r="L738" s="2" t="s">
        <v>23</v>
      </c>
      <c r="M738" s="12" t="s">
        <v>2250</v>
      </c>
      <c r="N738" s="12" t="s">
        <v>2251</v>
      </c>
      <c r="O738" s="12"/>
      <c r="P738" s="12">
        <v>1</v>
      </c>
      <c r="R738">
        <f t="shared" si="50"/>
        <v>11</v>
      </c>
      <c r="S738">
        <f t="shared" si="51"/>
        <v>0</v>
      </c>
    </row>
    <row r="739" spans="1:19" x14ac:dyDescent="0.2">
      <c r="A739" s="12">
        <v>36</v>
      </c>
      <c r="B739" s="12" t="s">
        <v>2252</v>
      </c>
      <c r="C739" s="12" t="s">
        <v>752</v>
      </c>
      <c r="D739" s="13" t="s">
        <v>2253</v>
      </c>
      <c r="E739" s="13" t="s">
        <v>29</v>
      </c>
      <c r="F739" s="12" t="s">
        <v>2254</v>
      </c>
      <c r="G739" s="12"/>
      <c r="H739" s="12"/>
      <c r="I739">
        <f t="shared" si="46"/>
        <v>2021</v>
      </c>
      <c r="J739">
        <f t="shared" si="47"/>
        <v>28</v>
      </c>
      <c r="K739" s="14">
        <v>44381</v>
      </c>
      <c r="L739" s="2" t="s">
        <v>23</v>
      </c>
      <c r="M739" s="12" t="s">
        <v>2255</v>
      </c>
      <c r="N739" s="12" t="s">
        <v>2256</v>
      </c>
      <c r="O739" s="9" t="str">
        <f ca="1">IFERROR(__xludf.DUMMYFUNCTION("GOOGLETRANSLATE(D121,""ru"",""en"")"),"Millions of jellyfish are approaching the coast of Israel")</f>
        <v>Millions of jellyfish are approaching the coast of Israel</v>
      </c>
      <c r="P739" s="9">
        <v>1</v>
      </c>
      <c r="R739">
        <f t="shared" si="50"/>
        <v>18</v>
      </c>
      <c r="S739">
        <f t="shared" si="51"/>
        <v>6</v>
      </c>
    </row>
    <row r="740" spans="1:19" x14ac:dyDescent="0.2">
      <c r="A740" s="9"/>
      <c r="B740" s="9"/>
      <c r="C740" s="9" t="s">
        <v>752</v>
      </c>
      <c r="D740" s="10" t="s">
        <v>2253</v>
      </c>
      <c r="E740" s="10" t="s">
        <v>73</v>
      </c>
      <c r="F740" s="9" t="s">
        <v>242</v>
      </c>
      <c r="G740" s="9"/>
      <c r="H740" s="9"/>
      <c r="I740">
        <f t="shared" si="46"/>
        <v>2021</v>
      </c>
      <c r="J740">
        <f t="shared" si="47"/>
        <v>28</v>
      </c>
      <c r="K740" s="11">
        <v>44381</v>
      </c>
      <c r="L740" s="2" t="s">
        <v>23</v>
      </c>
      <c r="M740" s="9"/>
      <c r="N740" s="9"/>
      <c r="O740" s="12" t="str">
        <f ca="1">IFERROR(__xludf.DUMMYFUNCTION("GOOGLETRANSLATE(D186,""ru"",""en"")"),"Photo of Netania - Medusa. | Tourprom")</f>
        <v>Photo of Netania - Medusa. | Tourprom</v>
      </c>
      <c r="P740" s="12">
        <v>1</v>
      </c>
      <c r="R740">
        <f t="shared" si="50"/>
        <v>18</v>
      </c>
      <c r="S740">
        <f t="shared" si="51"/>
        <v>3</v>
      </c>
    </row>
    <row r="741" spans="1:19" x14ac:dyDescent="0.2">
      <c r="A741" s="12"/>
      <c r="B741" s="12"/>
      <c r="C741" s="12" t="s">
        <v>752</v>
      </c>
      <c r="D741" s="13" t="s">
        <v>2253</v>
      </c>
      <c r="E741" s="13" t="s">
        <v>29</v>
      </c>
      <c r="F741" s="12" t="s">
        <v>81</v>
      </c>
      <c r="G741" s="12"/>
      <c r="H741" s="12"/>
      <c r="I741">
        <f t="shared" si="46"/>
        <v>2021</v>
      </c>
      <c r="J741">
        <f t="shared" si="47"/>
        <v>28</v>
      </c>
      <c r="K741" s="14">
        <v>44381</v>
      </c>
      <c r="L741" s="2" t="s">
        <v>23</v>
      </c>
      <c r="M741" s="12"/>
      <c r="N741" s="12"/>
      <c r="O741" s="9" t="str">
        <f ca="1">IFERROR(__xludf.DUMMYFUNCTION("GOOGLETRANSLATE(D156,""ru"",""en"")"),"A giant swarm Medus was seen off the coast of Haifa - news ...")</f>
        <v>A giant swarm Medus was seen off the coast of Haifa - news ...</v>
      </c>
      <c r="P741" s="9">
        <v>1</v>
      </c>
      <c r="R741">
        <f t="shared" si="50"/>
        <v>18</v>
      </c>
      <c r="S741">
        <f t="shared" si="51"/>
        <v>6</v>
      </c>
    </row>
    <row r="742" spans="1:19" x14ac:dyDescent="0.2">
      <c r="A742" s="12"/>
      <c r="B742" s="12"/>
      <c r="C742" s="12" t="s">
        <v>752</v>
      </c>
      <c r="D742" s="13" t="s">
        <v>2253</v>
      </c>
      <c r="E742" s="13" t="s">
        <v>29</v>
      </c>
      <c r="F742" s="12" t="s">
        <v>241</v>
      </c>
      <c r="G742" s="12"/>
      <c r="H742" s="12"/>
      <c r="I742">
        <f t="shared" si="46"/>
        <v>2021</v>
      </c>
      <c r="J742">
        <f t="shared" si="47"/>
        <v>28</v>
      </c>
      <c r="K742" s="14">
        <v>44381</v>
      </c>
      <c r="L742" s="2" t="s">
        <v>23</v>
      </c>
      <c r="M742" s="12"/>
      <c r="N742" s="12"/>
      <c r="O742" s="12" t="str">
        <f ca="1">IFERROR(__xludf.DUMMYFUNCTION("GOOGLETRANSLATE(D190,""ru"",""en"")"),"Fascist jellyfish captured Israeli beaches")</f>
        <v>Fascist jellyfish captured Israeli beaches</v>
      </c>
      <c r="P742" s="12">
        <v>1</v>
      </c>
      <c r="R742">
        <f t="shared" si="50"/>
        <v>18</v>
      </c>
      <c r="S742">
        <f t="shared" si="51"/>
        <v>6</v>
      </c>
    </row>
    <row r="743" spans="1:19" x14ac:dyDescent="0.2">
      <c r="A743">
        <v>705</v>
      </c>
      <c r="B743" t="s">
        <v>2257</v>
      </c>
      <c r="D743" t="s">
        <v>2258</v>
      </c>
      <c r="E743" s="5" t="s">
        <v>73</v>
      </c>
      <c r="F743" t="s">
        <v>74</v>
      </c>
      <c r="G743">
        <v>32.093438590230903</v>
      </c>
      <c r="H743">
        <v>34.767717357132298</v>
      </c>
      <c r="I743">
        <f t="shared" si="46"/>
        <v>2021</v>
      </c>
      <c r="J743">
        <f t="shared" si="47"/>
        <v>28</v>
      </c>
      <c r="K743" s="2">
        <v>44382</v>
      </c>
      <c r="L743" s="2" t="s">
        <v>23</v>
      </c>
      <c r="M743" t="s">
        <v>2259</v>
      </c>
      <c r="O743" s="9" t="str">
        <f ca="1">IFERROR(__xludf.DUMMYFUNCTION("GOOGLETRANSLATE(D195,""ru"",""en"")"),"Israeli swimwear is threatened by jellyfish | 7 Channel - Arutz Sheva")</f>
        <v>Israeli swimwear is threatened by jellyfish | 7 Channel - Arutz Sheva</v>
      </c>
      <c r="P743">
        <v>1</v>
      </c>
      <c r="R743">
        <f t="shared" si="50"/>
        <v>18</v>
      </c>
      <c r="S743">
        <f t="shared" si="51"/>
        <v>3</v>
      </c>
    </row>
    <row r="744" spans="1:19" x14ac:dyDescent="0.2">
      <c r="A744">
        <v>21</v>
      </c>
      <c r="B744" t="s">
        <v>2260</v>
      </c>
      <c r="D744" t="s">
        <v>2261</v>
      </c>
      <c r="E744" s="13" t="s">
        <v>29</v>
      </c>
      <c r="F744" t="s">
        <v>30</v>
      </c>
      <c r="G744">
        <v>32.8371203553017</v>
      </c>
      <c r="H744">
        <v>34.9792189455856</v>
      </c>
      <c r="I744">
        <f t="shared" si="46"/>
        <v>2021</v>
      </c>
      <c r="J744">
        <f t="shared" si="47"/>
        <v>28</v>
      </c>
      <c r="K744" s="2">
        <v>44383</v>
      </c>
      <c r="L744" s="2" t="s">
        <v>23</v>
      </c>
      <c r="M744" t="s">
        <v>2262</v>
      </c>
      <c r="N744" t="s">
        <v>622</v>
      </c>
      <c r="O744" s="9" t="str">
        <f ca="1">IFERROR(__xludf.DUMMYFUNCTION("GOOGLETRANSLATE(D198,""ru"",""en"")"),"The coast of Israel was filled with thousands of jellyfish")</f>
        <v>The coast of Israel was filled with thousands of jellyfish</v>
      </c>
      <c r="P744">
        <v>1</v>
      </c>
      <c r="R744">
        <f t="shared" si="50"/>
        <v>18</v>
      </c>
      <c r="S744">
        <f t="shared" si="51"/>
        <v>6</v>
      </c>
    </row>
    <row r="745" spans="1:19" x14ac:dyDescent="0.2">
      <c r="A745" t="s">
        <v>2263</v>
      </c>
      <c r="B745" t="s">
        <v>2264</v>
      </c>
      <c r="C745" t="s">
        <v>2265</v>
      </c>
      <c r="D745" t="s">
        <v>2266</v>
      </c>
      <c r="I745">
        <f t="shared" si="46"/>
        <v>2021</v>
      </c>
      <c r="J745">
        <f t="shared" si="47"/>
        <v>28</v>
      </c>
      <c r="K745" s="2">
        <v>44383</v>
      </c>
      <c r="L745" s="2" t="s">
        <v>23</v>
      </c>
      <c r="M745" t="s">
        <v>2267</v>
      </c>
      <c r="N745" t="s">
        <v>2268</v>
      </c>
      <c r="O745" s="9" t="str">
        <f ca="1">IFERROR(__xludf.DUMMYFUNCTION("GOOGLETRANSLATE(D98,""ru"",""en"")"),"Invasión de Medusas En Las Playas de Israel Finalmente Termina")</f>
        <v>Invasión de Medusas En Las Playas de Israel Finalmente Termina</v>
      </c>
      <c r="P745" s="9">
        <v>0</v>
      </c>
    </row>
    <row r="746" spans="1:19" x14ac:dyDescent="0.2">
      <c r="A746">
        <v>88</v>
      </c>
      <c r="B746" t="s">
        <v>2269</v>
      </c>
      <c r="C746" t="s">
        <v>2270</v>
      </c>
      <c r="D746" t="s">
        <v>2271</v>
      </c>
      <c r="E746" s="4" t="s">
        <v>21</v>
      </c>
      <c r="F746" t="s">
        <v>22</v>
      </c>
      <c r="G746">
        <v>31.681438420965801</v>
      </c>
      <c r="H746">
        <v>34.554694789741902</v>
      </c>
      <c r="I746">
        <f t="shared" si="46"/>
        <v>2021</v>
      </c>
      <c r="J746">
        <f t="shared" si="47"/>
        <v>28</v>
      </c>
      <c r="K746" s="2">
        <v>44384</v>
      </c>
      <c r="L746" s="2" t="s">
        <v>23</v>
      </c>
      <c r="M746" t="s">
        <v>2272</v>
      </c>
      <c r="N746" t="s">
        <v>2273</v>
      </c>
      <c r="O746" s="9" t="str">
        <f ca="1">IFERROR(__xludf.DUMMYFUNCTION("GOOGLETRANSLATE(D207,""ru"",""en"")"),"Giant Medus accumulation arrived at Israel")</f>
        <v>Giant Medus accumulation arrived at Israel</v>
      </c>
      <c r="P746" s="9">
        <v>1</v>
      </c>
      <c r="R746">
        <f t="shared" ref="R746:R774" si="52">COUNTIFS($J$2:$J$997,J746,$I$2:$I$997,I746)</f>
        <v>18</v>
      </c>
      <c r="S746">
        <f t="shared" ref="S746:S774" si="53">COUNTIFS($J$2:$J$997,J746,$I$2:$I$997,I746,$E$2:$E$997,E746)</f>
        <v>3</v>
      </c>
    </row>
    <row r="747" spans="1:19" x14ac:dyDescent="0.2">
      <c r="B747" t="s">
        <v>2274</v>
      </c>
      <c r="C747" t="s">
        <v>1244</v>
      </c>
      <c r="D747" t="s">
        <v>1805</v>
      </c>
      <c r="E747" s="4" t="s">
        <v>21</v>
      </c>
      <c r="F747" t="s">
        <v>22</v>
      </c>
      <c r="G747">
        <v>31.681438420965801</v>
      </c>
      <c r="H747">
        <v>34.554694789741902</v>
      </c>
      <c r="I747">
        <f t="shared" si="46"/>
        <v>2021</v>
      </c>
      <c r="J747">
        <f t="shared" si="47"/>
        <v>28</v>
      </c>
      <c r="K747" s="2">
        <v>44384</v>
      </c>
      <c r="L747" s="2" t="s">
        <v>23</v>
      </c>
      <c r="M747" t="s">
        <v>552</v>
      </c>
      <c r="N747" t="s">
        <v>1807</v>
      </c>
      <c r="O747" s="12" t="str">
        <f ca="1">IFERROR(__xludf.DUMMYFUNCTION("GOOGLETRANSLATE(D210,""ru"",""en"")"),"Medus soup - why now the most unsuccessful time for ...")</f>
        <v>Medus soup - why now the most unsuccessful time for ...</v>
      </c>
      <c r="P747">
        <v>1</v>
      </c>
      <c r="R747">
        <f t="shared" si="52"/>
        <v>18</v>
      </c>
      <c r="S747">
        <f t="shared" si="53"/>
        <v>3</v>
      </c>
    </row>
    <row r="748" spans="1:19" x14ac:dyDescent="0.2">
      <c r="A748">
        <v>388</v>
      </c>
      <c r="B748" t="s">
        <v>2275</v>
      </c>
      <c r="C748" t="s">
        <v>2276</v>
      </c>
      <c r="D748" t="s">
        <v>2245</v>
      </c>
      <c r="E748" s="4" t="s">
        <v>29</v>
      </c>
      <c r="F748" t="s">
        <v>150</v>
      </c>
      <c r="G748">
        <v>33.045236837092403</v>
      </c>
      <c r="H748">
        <v>35.1004249845763</v>
      </c>
      <c r="I748">
        <f t="shared" si="46"/>
        <v>2021</v>
      </c>
      <c r="J748">
        <f t="shared" si="47"/>
        <v>28</v>
      </c>
      <c r="K748" s="2">
        <v>44385</v>
      </c>
      <c r="L748" s="2" t="s">
        <v>23</v>
      </c>
      <c r="M748" t="s">
        <v>2277</v>
      </c>
      <c r="N748" t="s">
        <v>2278</v>
      </c>
      <c r="O748" s="9" t="str">
        <f ca="1">IFERROR(__xludf.DUMMYFUNCTION("GOOGLETRANSLATE(D133,""ru"",""en"")"),"The concentration of jellyfish increases near the coast of the Mediterranean ...")</f>
        <v>The concentration of jellyfish increases near the coast of the Mediterranean ...</v>
      </c>
      <c r="P748" s="9">
        <v>1</v>
      </c>
      <c r="R748">
        <f t="shared" si="52"/>
        <v>18</v>
      </c>
      <c r="S748">
        <f t="shared" si="53"/>
        <v>6</v>
      </c>
    </row>
    <row r="749" spans="1:19" x14ac:dyDescent="0.2">
      <c r="A749" t="s">
        <v>2279</v>
      </c>
      <c r="B749" t="s">
        <v>2280</v>
      </c>
      <c r="C749" t="s">
        <v>1137</v>
      </c>
      <c r="D749" t="s">
        <v>2281</v>
      </c>
      <c r="I749">
        <f t="shared" si="46"/>
        <v>2021</v>
      </c>
      <c r="J749">
        <f t="shared" si="47"/>
        <v>28</v>
      </c>
      <c r="K749" s="2">
        <v>44385</v>
      </c>
      <c r="L749" s="2" t="s">
        <v>23</v>
      </c>
      <c r="M749" t="s">
        <v>2282</v>
      </c>
      <c r="N749" t="s">
        <v>2283</v>
      </c>
      <c r="O749" s="12" t="str">
        <f ca="1">IFERROR(__xludf.DUMMYFUNCTION("GOOGLETRANSLATE(D214,""ru"",""en"")"),"In Israel, the Medus season. Sit to follow when they end! #Israel #Sea #Medusa #Mediterranean #Haifa #Rishonlets #Dads #Summer #israel")</f>
        <v>In Israel, the Medus season. Sit to follow when they end! #Israel #Sea #Medusa #Mediterranean #Haifa #Rishonlets #Dads #Summer #israel</v>
      </c>
      <c r="P749">
        <v>1</v>
      </c>
      <c r="R749">
        <f t="shared" si="52"/>
        <v>18</v>
      </c>
      <c r="S749">
        <f t="shared" si="53"/>
        <v>0</v>
      </c>
    </row>
    <row r="750" spans="1:19" x14ac:dyDescent="0.2">
      <c r="A750">
        <v>77</v>
      </c>
      <c r="B750" t="s">
        <v>2284</v>
      </c>
      <c r="C750" t="s">
        <v>2285</v>
      </c>
      <c r="D750" t="s">
        <v>2286</v>
      </c>
      <c r="I750">
        <f t="shared" si="46"/>
        <v>2021</v>
      </c>
      <c r="J750">
        <f t="shared" si="47"/>
        <v>28</v>
      </c>
      <c r="K750" s="2">
        <v>44385</v>
      </c>
      <c r="L750" s="2" t="s">
        <v>23</v>
      </c>
      <c r="M750" t="s">
        <v>2287</v>
      </c>
      <c r="N750" t="s">
        <v>2288</v>
      </c>
      <c r="O750" s="12" t="str">
        <f ca="1">IFERROR(__xludf.DUMMYFUNCTION("GOOGLETRANSLATE(D225,""ru"",""en"")"),"הript וזות זרו. מתי הן ילכו? כל מה שאתם צריכים μת ω ω החברה ...")</f>
        <v>הript וזות זרו. מתי הן ילכו? כל מה שאתם צריכים μת ω ω החברה ...</v>
      </c>
      <c r="P750">
        <v>1</v>
      </c>
      <c r="R750">
        <f t="shared" si="52"/>
        <v>18</v>
      </c>
      <c r="S750">
        <f t="shared" si="53"/>
        <v>0</v>
      </c>
    </row>
    <row r="751" spans="1:19" x14ac:dyDescent="0.2">
      <c r="A751" s="9"/>
      <c r="B751" s="9"/>
      <c r="C751" s="9" t="s">
        <v>2149</v>
      </c>
      <c r="D751" s="10" t="s">
        <v>2289</v>
      </c>
      <c r="E751" s="9" t="s">
        <v>100</v>
      </c>
      <c r="F751" s="9" t="s">
        <v>643</v>
      </c>
      <c r="G751" s="9"/>
      <c r="H751" s="9"/>
      <c r="I751">
        <f t="shared" si="46"/>
        <v>2021</v>
      </c>
      <c r="J751">
        <f t="shared" si="47"/>
        <v>28</v>
      </c>
      <c r="K751" s="11">
        <v>44385</v>
      </c>
      <c r="L751" s="2" t="s">
        <v>23</v>
      </c>
      <c r="M751" s="9"/>
      <c r="N751" s="9"/>
      <c r="O751" s="12" t="str">
        <f ca="1">IFERROR(__xludf.DUMMYFUNCTION("GOOGLETRANSLATE(D239,""ru"",""en"")"),"Israeli beaches were flooded by dangerous jellyfish")</f>
        <v>Israeli beaches were flooded by dangerous jellyfish</v>
      </c>
      <c r="P751">
        <v>1</v>
      </c>
      <c r="R751">
        <f t="shared" si="52"/>
        <v>18</v>
      </c>
      <c r="S751">
        <f t="shared" si="53"/>
        <v>1</v>
      </c>
    </row>
    <row r="752" spans="1:19" x14ac:dyDescent="0.2">
      <c r="A752" s="9"/>
      <c r="B752" s="9"/>
      <c r="C752" s="9" t="s">
        <v>2149</v>
      </c>
      <c r="D752" s="10" t="s">
        <v>2289</v>
      </c>
      <c r="E752" s="10" t="s">
        <v>47</v>
      </c>
      <c r="F752" s="9" t="s">
        <v>643</v>
      </c>
      <c r="G752" s="9"/>
      <c r="H752" s="9"/>
      <c r="I752">
        <f t="shared" si="46"/>
        <v>2021</v>
      </c>
      <c r="J752">
        <f t="shared" si="47"/>
        <v>28</v>
      </c>
      <c r="K752" s="11">
        <v>44385</v>
      </c>
      <c r="L752" s="2" t="s">
        <v>23</v>
      </c>
      <c r="M752" s="9"/>
      <c r="N752" s="9"/>
      <c r="O752" s="12" t="str">
        <f ca="1">IFERROR(__xludf.DUMMYFUNCTION("GOOGLETRANSLATE(D239,""ru"",""en"")"),"Israeli beaches were flooded by dangerous jellyfish")</f>
        <v>Israeli beaches were flooded by dangerous jellyfish</v>
      </c>
      <c r="P752">
        <v>1</v>
      </c>
      <c r="R752">
        <f t="shared" si="52"/>
        <v>18</v>
      </c>
      <c r="S752">
        <f t="shared" si="53"/>
        <v>1</v>
      </c>
    </row>
    <row r="753" spans="1:19" x14ac:dyDescent="0.2">
      <c r="A753" s="9"/>
      <c r="B753" s="9"/>
      <c r="C753" s="9" t="s">
        <v>2149</v>
      </c>
      <c r="D753" s="10" t="s">
        <v>2289</v>
      </c>
      <c r="E753" s="10" t="s">
        <v>21</v>
      </c>
      <c r="F753" s="9" t="s">
        <v>643</v>
      </c>
      <c r="G753" s="9"/>
      <c r="H753" s="9"/>
      <c r="I753">
        <f t="shared" si="46"/>
        <v>2021</v>
      </c>
      <c r="J753">
        <f t="shared" si="47"/>
        <v>28</v>
      </c>
      <c r="K753" s="11">
        <v>44385</v>
      </c>
      <c r="L753" s="2" t="s">
        <v>23</v>
      </c>
      <c r="M753" s="9"/>
      <c r="N753" s="9"/>
      <c r="O753" s="12" t="str">
        <f ca="1">IFERROR(__xludf.DUMMYFUNCTION("GOOGLETRANSLATE(D239,""ru"",""en"")"),"Israeli beaches were flooded by dangerous jellyfish")</f>
        <v>Israeli beaches were flooded by dangerous jellyfish</v>
      </c>
      <c r="P753">
        <v>1</v>
      </c>
      <c r="R753">
        <f t="shared" si="52"/>
        <v>18</v>
      </c>
      <c r="S753">
        <f t="shared" si="53"/>
        <v>3</v>
      </c>
    </row>
    <row r="754" spans="1:19" x14ac:dyDescent="0.2">
      <c r="A754" s="9"/>
      <c r="B754" s="9"/>
      <c r="C754" s="9" t="s">
        <v>2149</v>
      </c>
      <c r="D754" s="10" t="s">
        <v>2289</v>
      </c>
      <c r="E754" s="13" t="s">
        <v>73</v>
      </c>
      <c r="F754" s="9" t="s">
        <v>643</v>
      </c>
      <c r="G754" s="9"/>
      <c r="H754" s="9"/>
      <c r="I754">
        <f t="shared" si="46"/>
        <v>2021</v>
      </c>
      <c r="J754">
        <f t="shared" si="47"/>
        <v>28</v>
      </c>
      <c r="K754" s="11">
        <v>44385</v>
      </c>
      <c r="L754" s="2" t="s">
        <v>23</v>
      </c>
      <c r="M754" s="9"/>
      <c r="N754" s="9"/>
      <c r="O754" s="12" t="str">
        <f ca="1">IFERROR(__xludf.DUMMYFUNCTION("GOOGLETRANSLATE(D239,""ru"",""en"")"),"Israeli beaches were flooded by dangerous jellyfish")</f>
        <v>Israeli beaches were flooded by dangerous jellyfish</v>
      </c>
      <c r="P754">
        <v>1</v>
      </c>
      <c r="R754">
        <f t="shared" si="52"/>
        <v>18</v>
      </c>
      <c r="S754">
        <f t="shared" si="53"/>
        <v>3</v>
      </c>
    </row>
    <row r="755" spans="1:19" x14ac:dyDescent="0.2">
      <c r="A755" s="9"/>
      <c r="B755" s="9"/>
      <c r="C755" s="9" t="s">
        <v>2149</v>
      </c>
      <c r="D755" s="10" t="s">
        <v>2289</v>
      </c>
      <c r="E755" s="12" t="s">
        <v>29</v>
      </c>
      <c r="F755" s="9" t="s">
        <v>643</v>
      </c>
      <c r="G755" s="9"/>
      <c r="H755" s="9"/>
      <c r="I755">
        <f t="shared" si="46"/>
        <v>2021</v>
      </c>
      <c r="J755">
        <f t="shared" si="47"/>
        <v>28</v>
      </c>
      <c r="K755" s="11">
        <v>44385</v>
      </c>
      <c r="L755" s="2" t="s">
        <v>23</v>
      </c>
      <c r="M755" s="9"/>
      <c r="N755" s="9"/>
      <c r="O755" s="12" t="str">
        <f ca="1">IFERROR(__xludf.DUMMYFUNCTION("GOOGLETRANSLATE(D239,""ru"",""en"")"),"Israeli beaches were flooded by dangerous jellyfish")</f>
        <v>Israeli beaches were flooded by dangerous jellyfish</v>
      </c>
      <c r="P755">
        <v>1</v>
      </c>
      <c r="R755">
        <f t="shared" si="52"/>
        <v>18</v>
      </c>
      <c r="S755">
        <f t="shared" si="53"/>
        <v>6</v>
      </c>
    </row>
    <row r="756" spans="1:19" x14ac:dyDescent="0.2">
      <c r="A756" s="12">
        <v>275</v>
      </c>
      <c r="B756" s="12" t="s">
        <v>2290</v>
      </c>
      <c r="C756" s="12" t="s">
        <v>2291</v>
      </c>
      <c r="D756" s="13" t="s">
        <v>2292</v>
      </c>
      <c r="E756" s="13"/>
      <c r="F756" s="12"/>
      <c r="G756" s="12"/>
      <c r="H756" s="12"/>
      <c r="I756">
        <f t="shared" si="46"/>
        <v>2021</v>
      </c>
      <c r="J756">
        <f t="shared" si="47"/>
        <v>28</v>
      </c>
      <c r="K756" s="14">
        <v>44386</v>
      </c>
      <c r="L756" s="2" t="s">
        <v>23</v>
      </c>
      <c r="M756" s="12" t="s">
        <v>2293</v>
      </c>
      <c r="N756" s="12" t="s">
        <v>2294</v>
      </c>
      <c r="O756" s="12" t="str">
        <f ca="1">IFERROR(__xludf.DUMMYFUNCTION("GOOGLETRANSLATE(D243,""ru"",""en"")"),"Israel. Medus season - YouTube")</f>
        <v>Israel. Medus season - YouTube</v>
      </c>
      <c r="P756">
        <v>1</v>
      </c>
      <c r="R756">
        <f t="shared" si="52"/>
        <v>18</v>
      </c>
      <c r="S756">
        <f t="shared" si="53"/>
        <v>0</v>
      </c>
    </row>
    <row r="757" spans="1:19" x14ac:dyDescent="0.2">
      <c r="A757">
        <v>87</v>
      </c>
      <c r="B757" t="s">
        <v>2295</v>
      </c>
      <c r="C757" t="s">
        <v>2296</v>
      </c>
      <c r="D757" t="s">
        <v>2297</v>
      </c>
      <c r="I757">
        <f t="shared" si="46"/>
        <v>2021</v>
      </c>
      <c r="J757">
        <f t="shared" si="47"/>
        <v>29</v>
      </c>
      <c r="K757" s="2">
        <v>44391</v>
      </c>
      <c r="L757" s="2" t="s">
        <v>23</v>
      </c>
      <c r="M757" t="s">
        <v>2298</v>
      </c>
      <c r="N757" t="s">
        <v>2299</v>
      </c>
      <c r="O757" s="9"/>
      <c r="P757" s="9">
        <v>1</v>
      </c>
      <c r="R757">
        <f t="shared" si="52"/>
        <v>8</v>
      </c>
      <c r="S757">
        <f t="shared" si="53"/>
        <v>0</v>
      </c>
    </row>
    <row r="758" spans="1:19" x14ac:dyDescent="0.2">
      <c r="A758" s="9">
        <v>161</v>
      </c>
      <c r="B758" s="9" t="s">
        <v>2300</v>
      </c>
      <c r="C758" s="9" t="s">
        <v>2301</v>
      </c>
      <c r="D758" s="10" t="s">
        <v>2302</v>
      </c>
      <c r="E758" s="10"/>
      <c r="F758" s="9"/>
      <c r="G758" s="9"/>
      <c r="H758" s="9"/>
      <c r="I758">
        <f t="shared" si="46"/>
        <v>2021</v>
      </c>
      <c r="J758">
        <f t="shared" si="47"/>
        <v>29</v>
      </c>
      <c r="K758" s="11">
        <v>44393</v>
      </c>
      <c r="L758" s="2" t="s">
        <v>23</v>
      </c>
      <c r="M758" s="9" t="s">
        <v>2303</v>
      </c>
      <c r="N758" s="9" t="s">
        <v>2304</v>
      </c>
      <c r="O758" s="12"/>
      <c r="P758" s="12">
        <v>1</v>
      </c>
      <c r="R758">
        <f t="shared" si="52"/>
        <v>8</v>
      </c>
      <c r="S758">
        <f t="shared" si="53"/>
        <v>0</v>
      </c>
    </row>
    <row r="759" spans="1:19" x14ac:dyDescent="0.2">
      <c r="A759" s="9">
        <v>503</v>
      </c>
      <c r="B759" s="9" t="s">
        <v>2305</v>
      </c>
      <c r="C759" s="9" t="s">
        <v>625</v>
      </c>
      <c r="D759" s="10" t="s">
        <v>2306</v>
      </c>
      <c r="E759" s="10"/>
      <c r="F759" s="9"/>
      <c r="G759" s="9"/>
      <c r="H759" s="9"/>
      <c r="I759">
        <f t="shared" si="46"/>
        <v>2021</v>
      </c>
      <c r="J759">
        <f t="shared" si="47"/>
        <v>29</v>
      </c>
      <c r="K759" s="11">
        <v>44393</v>
      </c>
      <c r="L759" s="2" t="s">
        <v>23</v>
      </c>
      <c r="M759" s="9" t="s">
        <v>2307</v>
      </c>
      <c r="N759" s="9" t="s">
        <v>2308</v>
      </c>
      <c r="O759" s="12" t="str">
        <f ca="1">IFERROR(__xludf.DUMMYFUNCTION("GOOGLETRANSLATE(D253,""ru"",""en"")"),"Meduses tore off the bathing season in Israel | News. Kg")</f>
        <v>Meduses tore off the bathing season in Israel | News. Kg</v>
      </c>
      <c r="P759">
        <v>1</v>
      </c>
      <c r="R759">
        <f t="shared" si="52"/>
        <v>8</v>
      </c>
      <c r="S759">
        <f t="shared" si="53"/>
        <v>0</v>
      </c>
    </row>
    <row r="760" spans="1:19" x14ac:dyDescent="0.2">
      <c r="A760" s="12">
        <v>21</v>
      </c>
      <c r="B760" s="12" t="s">
        <v>2309</v>
      </c>
      <c r="C760" s="12" t="s">
        <v>661</v>
      </c>
      <c r="D760" s="13" t="s">
        <v>2310</v>
      </c>
      <c r="E760" s="9" t="s">
        <v>100</v>
      </c>
      <c r="F760" s="12" t="s">
        <v>643</v>
      </c>
      <c r="G760" s="12"/>
      <c r="H760" s="12"/>
      <c r="I760">
        <f t="shared" si="46"/>
        <v>2021</v>
      </c>
      <c r="J760">
        <f t="shared" si="47"/>
        <v>29</v>
      </c>
      <c r="K760" s="14">
        <v>44394</v>
      </c>
      <c r="L760" s="2" t="s">
        <v>23</v>
      </c>
      <c r="M760" s="12" t="s">
        <v>2311</v>
      </c>
      <c r="N760" s="12" t="s">
        <v>2312</v>
      </c>
      <c r="O760" s="12" t="str">
        <f ca="1">IFERROR(__xludf.DUMMYFUNCTION("GOOGLETRANSLATE(D260,""ru"",""en"")"),"The Medus season off the coast of Israel ended")</f>
        <v>The Medus season off the coast of Israel ended</v>
      </c>
      <c r="P760">
        <v>1</v>
      </c>
      <c r="R760">
        <f t="shared" si="52"/>
        <v>8</v>
      </c>
      <c r="S760">
        <f t="shared" si="53"/>
        <v>1</v>
      </c>
    </row>
    <row r="761" spans="1:19" x14ac:dyDescent="0.2">
      <c r="A761" s="12">
        <v>21</v>
      </c>
      <c r="B761" s="12" t="s">
        <v>2309</v>
      </c>
      <c r="C761" s="12" t="s">
        <v>661</v>
      </c>
      <c r="D761" s="13" t="s">
        <v>2310</v>
      </c>
      <c r="E761" s="10" t="s">
        <v>47</v>
      </c>
      <c r="F761" s="12" t="s">
        <v>643</v>
      </c>
      <c r="G761" s="12"/>
      <c r="H761" s="12"/>
      <c r="I761">
        <f t="shared" si="46"/>
        <v>2021</v>
      </c>
      <c r="J761">
        <f t="shared" si="47"/>
        <v>29</v>
      </c>
      <c r="K761" s="14">
        <v>44394</v>
      </c>
      <c r="L761" s="2" t="s">
        <v>23</v>
      </c>
      <c r="M761" s="12" t="s">
        <v>2311</v>
      </c>
      <c r="N761" s="12" t="s">
        <v>2312</v>
      </c>
      <c r="O761" s="12" t="str">
        <f ca="1">IFERROR(__xludf.DUMMYFUNCTION("GOOGLETRANSLATE(D260,""ru"",""en"")"),"The Medus season off the coast of Israel ended")</f>
        <v>The Medus season off the coast of Israel ended</v>
      </c>
      <c r="P761">
        <v>1</v>
      </c>
      <c r="R761">
        <f t="shared" si="52"/>
        <v>8</v>
      </c>
      <c r="S761">
        <f t="shared" si="53"/>
        <v>1</v>
      </c>
    </row>
    <row r="762" spans="1:19" x14ac:dyDescent="0.2">
      <c r="A762" s="12">
        <v>21</v>
      </c>
      <c r="B762" s="12" t="s">
        <v>2309</v>
      </c>
      <c r="C762" s="12" t="s">
        <v>661</v>
      </c>
      <c r="D762" s="13" t="s">
        <v>2310</v>
      </c>
      <c r="E762" s="10" t="s">
        <v>21</v>
      </c>
      <c r="F762" s="12" t="s">
        <v>643</v>
      </c>
      <c r="G762" s="12"/>
      <c r="H762" s="12"/>
      <c r="I762">
        <f t="shared" si="46"/>
        <v>2021</v>
      </c>
      <c r="J762">
        <f t="shared" si="47"/>
        <v>29</v>
      </c>
      <c r="K762" s="14">
        <v>44394</v>
      </c>
      <c r="L762" s="2" t="s">
        <v>23</v>
      </c>
      <c r="M762" s="12" t="s">
        <v>2311</v>
      </c>
      <c r="N762" s="12" t="s">
        <v>2312</v>
      </c>
      <c r="O762" s="12" t="str">
        <f ca="1">IFERROR(__xludf.DUMMYFUNCTION("GOOGLETRANSLATE(D260,""ru"",""en"")"),"The Medus season off the coast of Israel ended")</f>
        <v>The Medus season off the coast of Israel ended</v>
      </c>
      <c r="P762">
        <v>1</v>
      </c>
      <c r="R762">
        <f t="shared" si="52"/>
        <v>8</v>
      </c>
      <c r="S762">
        <f t="shared" si="53"/>
        <v>1</v>
      </c>
    </row>
    <row r="763" spans="1:19" x14ac:dyDescent="0.2">
      <c r="A763" s="12">
        <v>21</v>
      </c>
      <c r="B763" s="12" t="s">
        <v>2309</v>
      </c>
      <c r="C763" s="12" t="s">
        <v>661</v>
      </c>
      <c r="D763" s="13" t="s">
        <v>2310</v>
      </c>
      <c r="E763" s="13" t="s">
        <v>73</v>
      </c>
      <c r="F763" s="12" t="s">
        <v>643</v>
      </c>
      <c r="G763" s="12"/>
      <c r="H763" s="12"/>
      <c r="I763">
        <f t="shared" si="46"/>
        <v>2021</v>
      </c>
      <c r="J763">
        <f t="shared" si="47"/>
        <v>29</v>
      </c>
      <c r="K763" s="14">
        <v>44394</v>
      </c>
      <c r="L763" s="2" t="s">
        <v>23</v>
      </c>
      <c r="M763" s="12" t="s">
        <v>2311</v>
      </c>
      <c r="N763" s="12" t="s">
        <v>2312</v>
      </c>
      <c r="O763" s="12" t="str">
        <f ca="1">IFERROR(__xludf.DUMMYFUNCTION("GOOGLETRANSLATE(D260,""ru"",""en"")"),"The Medus season off the coast of Israel ended")</f>
        <v>The Medus season off the coast of Israel ended</v>
      </c>
      <c r="P763">
        <v>1</v>
      </c>
      <c r="R763">
        <f t="shared" si="52"/>
        <v>8</v>
      </c>
      <c r="S763">
        <f t="shared" si="53"/>
        <v>1</v>
      </c>
    </row>
    <row r="764" spans="1:19" x14ac:dyDescent="0.2">
      <c r="A764" s="12">
        <v>21</v>
      </c>
      <c r="B764" s="12" t="s">
        <v>2309</v>
      </c>
      <c r="C764" s="12" t="s">
        <v>661</v>
      </c>
      <c r="D764" s="13" t="s">
        <v>2310</v>
      </c>
      <c r="E764" s="12" t="s">
        <v>29</v>
      </c>
      <c r="F764" s="12" t="s">
        <v>643</v>
      </c>
      <c r="G764" s="12"/>
      <c r="H764" s="12"/>
      <c r="I764">
        <f t="shared" si="46"/>
        <v>2021</v>
      </c>
      <c r="J764">
        <f t="shared" si="47"/>
        <v>29</v>
      </c>
      <c r="K764" s="14">
        <v>44394</v>
      </c>
      <c r="L764" s="2" t="s">
        <v>23</v>
      </c>
      <c r="M764" s="12" t="s">
        <v>2311</v>
      </c>
      <c r="N764" s="12" t="s">
        <v>2312</v>
      </c>
      <c r="O764" s="12" t="str">
        <f ca="1">IFERROR(__xludf.DUMMYFUNCTION("GOOGLETRANSLATE(D260,""ru"",""en"")"),"The Medus season off the coast of Israel ended")</f>
        <v>The Medus season off the coast of Israel ended</v>
      </c>
      <c r="P764">
        <v>1</v>
      </c>
      <c r="R764">
        <f t="shared" si="52"/>
        <v>8</v>
      </c>
      <c r="S764">
        <f t="shared" si="53"/>
        <v>1</v>
      </c>
    </row>
    <row r="765" spans="1:19" x14ac:dyDescent="0.2">
      <c r="A765" s="9">
        <v>12</v>
      </c>
      <c r="B765" s="9" t="s">
        <v>2313</v>
      </c>
      <c r="C765" s="9" t="s">
        <v>428</v>
      </c>
      <c r="D765" s="10" t="s">
        <v>2314</v>
      </c>
      <c r="E765" s="10"/>
      <c r="F765" s="9"/>
      <c r="G765" s="9"/>
      <c r="H765" s="9"/>
      <c r="I765">
        <f t="shared" si="46"/>
        <v>2021</v>
      </c>
      <c r="J765">
        <f t="shared" si="47"/>
        <v>30</v>
      </c>
      <c r="K765" s="11">
        <v>44399</v>
      </c>
      <c r="L765" s="2" t="s">
        <v>23</v>
      </c>
      <c r="M765" s="9" t="s">
        <v>2315</v>
      </c>
      <c r="N765" s="9" t="s">
        <v>2316</v>
      </c>
      <c r="O765" s="9" t="str">
        <f ca="1">IFERROR(__xludf.DUMMYFUNCTION("GOOGLETRANSLATE(D267,""ru"",""en"")"),"In Israel, the invasion of Medus. Tourists are afraid to enter the water: video")</f>
        <v>In Israel, the invasion of Medus. Tourists are afraid to enter the water: video</v>
      </c>
      <c r="P765">
        <v>1</v>
      </c>
      <c r="R765">
        <f t="shared" si="52"/>
        <v>2</v>
      </c>
      <c r="S765">
        <f t="shared" si="53"/>
        <v>0</v>
      </c>
    </row>
    <row r="766" spans="1:19" x14ac:dyDescent="0.2">
      <c r="A766" s="9">
        <v>519</v>
      </c>
      <c r="B766" s="9" t="s">
        <v>2317</v>
      </c>
      <c r="C766" s="9" t="s">
        <v>625</v>
      </c>
      <c r="D766" s="10" t="s">
        <v>2318</v>
      </c>
      <c r="E766" s="10"/>
      <c r="F766" s="9"/>
      <c r="G766" s="9"/>
      <c r="H766" s="9"/>
      <c r="I766">
        <f t="shared" si="46"/>
        <v>2021</v>
      </c>
      <c r="J766">
        <f t="shared" si="47"/>
        <v>30</v>
      </c>
      <c r="K766" s="11">
        <v>44399</v>
      </c>
      <c r="L766" s="2" t="s">
        <v>23</v>
      </c>
      <c r="M766" s="9" t="s">
        <v>2319</v>
      </c>
      <c r="N766" s="9" t="s">
        <v>2320</v>
      </c>
      <c r="O766" s="12" t="s">
        <v>2321</v>
      </c>
      <c r="P766" s="12">
        <v>1</v>
      </c>
      <c r="R766">
        <f t="shared" si="52"/>
        <v>2</v>
      </c>
      <c r="S766">
        <f t="shared" si="53"/>
        <v>0</v>
      </c>
    </row>
    <row r="767" spans="1:19" x14ac:dyDescent="0.2">
      <c r="A767" s="12"/>
      <c r="B767" s="12"/>
      <c r="C767" s="12"/>
      <c r="D767" s="13"/>
      <c r="E767" s="9" t="s">
        <v>100</v>
      </c>
      <c r="F767" s="12" t="s">
        <v>2322</v>
      </c>
      <c r="G767" s="12"/>
      <c r="H767" s="12"/>
      <c r="I767">
        <f t="shared" si="46"/>
        <v>2021</v>
      </c>
      <c r="J767">
        <f t="shared" si="47"/>
        <v>32</v>
      </c>
      <c r="K767" s="14">
        <v>44415</v>
      </c>
      <c r="L767" s="2" t="s">
        <v>23</v>
      </c>
      <c r="M767" s="13" t="s">
        <v>557</v>
      </c>
      <c r="N767" s="12"/>
      <c r="O767" s="9" t="str">
        <f ca="1">IFERROR(__xludf.DUMMYFUNCTION("GOOGLETRANSLATE(D270,""ru"",""en"")"),"Paradise without a single jellyfish: on the network showed an extraordinary video ...")</f>
        <v>Paradise without a single jellyfish: on the network showed an extraordinary video ...</v>
      </c>
      <c r="P767">
        <v>1</v>
      </c>
      <c r="Q767">
        <v>0</v>
      </c>
      <c r="R767">
        <f t="shared" si="52"/>
        <v>5</v>
      </c>
      <c r="S767">
        <f t="shared" si="53"/>
        <v>1</v>
      </c>
    </row>
    <row r="768" spans="1:19" x14ac:dyDescent="0.2">
      <c r="A768" s="12"/>
      <c r="B768" s="12"/>
      <c r="C768" s="12"/>
      <c r="D768" s="13"/>
      <c r="E768" s="10" t="s">
        <v>47</v>
      </c>
      <c r="F768" s="12" t="s">
        <v>2322</v>
      </c>
      <c r="G768" s="12"/>
      <c r="H768" s="12"/>
      <c r="I768">
        <f t="shared" si="46"/>
        <v>2021</v>
      </c>
      <c r="J768">
        <f t="shared" si="47"/>
        <v>32</v>
      </c>
      <c r="K768" s="14">
        <v>44415</v>
      </c>
      <c r="L768" s="2" t="s">
        <v>23</v>
      </c>
      <c r="M768" s="13" t="s">
        <v>557</v>
      </c>
      <c r="N768" s="12"/>
      <c r="O768" s="9" t="str">
        <f ca="1">IFERROR(__xludf.DUMMYFUNCTION("GOOGLETRANSLATE(D270,""ru"",""en"")"),"Paradise without a single jellyfish: on the network showed an extraordinary video ...")</f>
        <v>Paradise without a single jellyfish: on the network showed an extraordinary video ...</v>
      </c>
      <c r="P768">
        <v>1</v>
      </c>
      <c r="Q768">
        <v>0</v>
      </c>
      <c r="R768">
        <f t="shared" si="52"/>
        <v>5</v>
      </c>
      <c r="S768">
        <f t="shared" si="53"/>
        <v>1</v>
      </c>
    </row>
    <row r="769" spans="1:19" x14ac:dyDescent="0.2">
      <c r="A769" s="12"/>
      <c r="B769" s="12"/>
      <c r="C769" s="12"/>
      <c r="D769" s="13"/>
      <c r="E769" s="10" t="s">
        <v>21</v>
      </c>
      <c r="F769" s="12" t="s">
        <v>2322</v>
      </c>
      <c r="G769" s="12"/>
      <c r="H769" s="12"/>
      <c r="I769">
        <f t="shared" si="46"/>
        <v>2021</v>
      </c>
      <c r="J769">
        <f t="shared" si="47"/>
        <v>32</v>
      </c>
      <c r="K769" s="14">
        <v>44415</v>
      </c>
      <c r="L769" s="2" t="s">
        <v>23</v>
      </c>
      <c r="M769" s="13" t="s">
        <v>557</v>
      </c>
      <c r="N769" s="12"/>
      <c r="O769" s="9" t="str">
        <f ca="1">IFERROR(__xludf.DUMMYFUNCTION("GOOGLETRANSLATE(D270,""ru"",""en"")"),"Paradise without a single jellyfish: on the network showed an extraordinary video ...")</f>
        <v>Paradise without a single jellyfish: on the network showed an extraordinary video ...</v>
      </c>
      <c r="P769">
        <v>1</v>
      </c>
      <c r="Q769">
        <v>0</v>
      </c>
      <c r="R769">
        <f t="shared" si="52"/>
        <v>5</v>
      </c>
      <c r="S769">
        <f t="shared" si="53"/>
        <v>1</v>
      </c>
    </row>
    <row r="770" spans="1:19" x14ac:dyDescent="0.2">
      <c r="A770" s="12"/>
      <c r="B770" s="12"/>
      <c r="C770" s="12"/>
      <c r="D770" s="13"/>
      <c r="E770" s="13" t="s">
        <v>73</v>
      </c>
      <c r="F770" s="12" t="s">
        <v>2322</v>
      </c>
      <c r="G770" s="12"/>
      <c r="H770" s="12"/>
      <c r="I770">
        <f t="shared" ref="I770:I833" si="54">YEAR(K770)</f>
        <v>2021</v>
      </c>
      <c r="J770">
        <f t="shared" ref="J770:J833" si="55">WEEKNUM(K770)</f>
        <v>32</v>
      </c>
      <c r="K770" s="14">
        <v>44415</v>
      </c>
      <c r="L770" s="2" t="s">
        <v>23</v>
      </c>
      <c r="M770" s="13" t="s">
        <v>557</v>
      </c>
      <c r="N770" s="12"/>
      <c r="O770" s="9" t="str">
        <f ca="1">IFERROR(__xludf.DUMMYFUNCTION("GOOGLETRANSLATE(D270,""ru"",""en"")"),"Paradise without a single jellyfish: on the network showed an extraordinary video ...")</f>
        <v>Paradise without a single jellyfish: on the network showed an extraordinary video ...</v>
      </c>
      <c r="P770">
        <v>1</v>
      </c>
      <c r="Q770">
        <v>0</v>
      </c>
      <c r="R770">
        <f t="shared" si="52"/>
        <v>5</v>
      </c>
      <c r="S770">
        <f t="shared" si="53"/>
        <v>1</v>
      </c>
    </row>
    <row r="771" spans="1:19" x14ac:dyDescent="0.2">
      <c r="A771" s="12"/>
      <c r="B771" s="12"/>
      <c r="C771" s="12"/>
      <c r="D771" s="13"/>
      <c r="E771" s="12" t="s">
        <v>29</v>
      </c>
      <c r="F771" s="12" t="s">
        <v>2322</v>
      </c>
      <c r="G771" s="12"/>
      <c r="H771" s="12"/>
      <c r="I771">
        <f t="shared" si="54"/>
        <v>2021</v>
      </c>
      <c r="J771">
        <f t="shared" si="55"/>
        <v>32</v>
      </c>
      <c r="K771" s="14">
        <v>44415</v>
      </c>
      <c r="L771" s="2" t="s">
        <v>23</v>
      </c>
      <c r="M771" s="13" t="s">
        <v>557</v>
      </c>
      <c r="N771" s="12"/>
      <c r="O771" s="9" t="str">
        <f ca="1">IFERROR(__xludf.DUMMYFUNCTION("GOOGLETRANSLATE(D270,""ru"",""en"")"),"Paradise without a single jellyfish: on the network showed an extraordinary video ...")</f>
        <v>Paradise without a single jellyfish: on the network showed an extraordinary video ...</v>
      </c>
      <c r="P771">
        <v>1</v>
      </c>
      <c r="Q771">
        <v>0</v>
      </c>
      <c r="R771">
        <f t="shared" si="52"/>
        <v>5</v>
      </c>
      <c r="S771">
        <f t="shared" si="53"/>
        <v>1</v>
      </c>
    </row>
    <row r="772" spans="1:19" x14ac:dyDescent="0.2">
      <c r="A772" s="9">
        <v>489</v>
      </c>
      <c r="B772" s="9" t="s">
        <v>2323</v>
      </c>
      <c r="C772" s="9" t="s">
        <v>1285</v>
      </c>
      <c r="D772" s="10" t="s">
        <v>2324</v>
      </c>
      <c r="E772" s="10" t="s">
        <v>47</v>
      </c>
      <c r="F772" s="9" t="s">
        <v>2325</v>
      </c>
      <c r="G772" s="9"/>
      <c r="H772" s="9"/>
      <c r="I772">
        <f t="shared" si="54"/>
        <v>2021</v>
      </c>
      <c r="J772">
        <f t="shared" si="55"/>
        <v>33</v>
      </c>
      <c r="K772" s="11">
        <v>44417</v>
      </c>
      <c r="L772" s="2" t="s">
        <v>23</v>
      </c>
      <c r="M772" s="9" t="s">
        <v>2326</v>
      </c>
      <c r="N772" s="9" t="s">
        <v>2327</v>
      </c>
      <c r="O772" s="12" t="str">
        <f ca="1">IFERROR(__xludf.DUMMYFUNCTION("GOOGLETRANSLATE(D249,""ru"",""en"")"),"A gigantic jacket jackets have been seen off the coast of Israel ...")</f>
        <v>A gigantic jacket jackets have been seen off the coast of Israel ...</v>
      </c>
      <c r="P772" s="12">
        <v>1</v>
      </c>
      <c r="R772">
        <f t="shared" si="52"/>
        <v>3</v>
      </c>
      <c r="S772">
        <f t="shared" si="53"/>
        <v>1</v>
      </c>
    </row>
    <row r="773" spans="1:19" x14ac:dyDescent="0.2">
      <c r="A773" s="9">
        <v>489</v>
      </c>
      <c r="B773" s="9" t="s">
        <v>2323</v>
      </c>
      <c r="C773" s="9" t="s">
        <v>1285</v>
      </c>
      <c r="D773" s="10" t="s">
        <v>2324</v>
      </c>
      <c r="E773" s="13" t="s">
        <v>73</v>
      </c>
      <c r="F773" s="9" t="s">
        <v>2325</v>
      </c>
      <c r="G773" s="9"/>
      <c r="H773" s="9"/>
      <c r="I773">
        <f t="shared" si="54"/>
        <v>2021</v>
      </c>
      <c r="J773">
        <f t="shared" si="55"/>
        <v>33</v>
      </c>
      <c r="K773" s="11">
        <v>44417</v>
      </c>
      <c r="L773" s="2" t="s">
        <v>23</v>
      </c>
      <c r="M773" s="9" t="s">
        <v>2326</v>
      </c>
      <c r="N773" s="9" t="s">
        <v>2327</v>
      </c>
      <c r="O773" s="12" t="str">
        <f ca="1">IFERROR(__xludf.DUMMYFUNCTION("GOOGLETRANSLATE(D249,""ru"",""en"")"),"A gigantic jacket jackets have been seen off the coast of Israel ...")</f>
        <v>A gigantic jacket jackets have been seen off the coast of Israel ...</v>
      </c>
      <c r="P773" s="12">
        <v>1</v>
      </c>
      <c r="R773">
        <f t="shared" si="52"/>
        <v>3</v>
      </c>
      <c r="S773">
        <f t="shared" si="53"/>
        <v>1</v>
      </c>
    </row>
    <row r="774" spans="1:19" x14ac:dyDescent="0.2">
      <c r="A774" s="9">
        <v>489</v>
      </c>
      <c r="B774" s="9" t="s">
        <v>2323</v>
      </c>
      <c r="C774" s="9" t="s">
        <v>1285</v>
      </c>
      <c r="D774" s="10" t="s">
        <v>2324</v>
      </c>
      <c r="E774" s="10" t="s">
        <v>21</v>
      </c>
      <c r="F774" s="9" t="s">
        <v>2325</v>
      </c>
      <c r="G774" s="9"/>
      <c r="H774" s="9"/>
      <c r="I774">
        <f t="shared" si="54"/>
        <v>2021</v>
      </c>
      <c r="J774">
        <f t="shared" si="55"/>
        <v>33</v>
      </c>
      <c r="K774" s="11">
        <v>44417</v>
      </c>
      <c r="L774" s="2" t="s">
        <v>23</v>
      </c>
      <c r="M774" s="9" t="s">
        <v>2326</v>
      </c>
      <c r="N774" s="9" t="s">
        <v>2327</v>
      </c>
      <c r="O774" s="12" t="str">
        <f ca="1">IFERROR(__xludf.DUMMYFUNCTION("GOOGLETRANSLATE(D249,""ru"",""en"")"),"A gigantic jacket jackets have been seen off the coast of Israel ...")</f>
        <v>A gigantic jacket jackets have been seen off the coast of Israel ...</v>
      </c>
      <c r="P774" s="12">
        <v>1</v>
      </c>
      <c r="R774">
        <f t="shared" si="52"/>
        <v>3</v>
      </c>
      <c r="S774">
        <f t="shared" si="53"/>
        <v>1</v>
      </c>
    </row>
    <row r="775" spans="1:19" x14ac:dyDescent="0.2">
      <c r="A775" t="s">
        <v>2328</v>
      </c>
      <c r="B775" t="s">
        <v>2329</v>
      </c>
      <c r="C775" t="s">
        <v>2330</v>
      </c>
      <c r="D775" t="s">
        <v>2331</v>
      </c>
      <c r="I775">
        <f t="shared" si="54"/>
        <v>2021</v>
      </c>
      <c r="J775">
        <f t="shared" si="55"/>
        <v>34</v>
      </c>
      <c r="K775" s="2">
        <v>44423</v>
      </c>
      <c r="L775" s="2" t="s">
        <v>23</v>
      </c>
      <c r="M775" t="s">
        <v>2332</v>
      </c>
      <c r="N775" t="s">
        <v>2333</v>
      </c>
      <c r="O775" s="9" t="str">
        <f ca="1">IFERROR(__xludf.DUMMYFUNCTION("GOOGLETRANSLATE(D147,""ru"",""en"")"),"Institute of the Sea: Furning Meduses leave the shores of Israel ...")</f>
        <v>Institute of the Sea: Furning Meduses leave the shores of Israel ...</v>
      </c>
      <c r="P775" s="9">
        <v>0</v>
      </c>
    </row>
    <row r="776" spans="1:19" x14ac:dyDescent="0.2">
      <c r="A776">
        <v>331</v>
      </c>
      <c r="B776" t="s">
        <v>2334</v>
      </c>
      <c r="C776" t="s">
        <v>1261</v>
      </c>
      <c r="D776" t="s">
        <v>2335</v>
      </c>
      <c r="E776" s="5" t="s">
        <v>73</v>
      </c>
      <c r="F776" t="s">
        <v>74</v>
      </c>
      <c r="G776">
        <v>32.093438590230903</v>
      </c>
      <c r="H776">
        <v>34.767717357132298</v>
      </c>
      <c r="I776">
        <f t="shared" si="54"/>
        <v>2021</v>
      </c>
      <c r="J776">
        <f t="shared" si="55"/>
        <v>44</v>
      </c>
      <c r="K776" s="2">
        <v>44496</v>
      </c>
      <c r="L776" s="2" t="s">
        <v>23</v>
      </c>
      <c r="M776" t="s">
        <v>2336</v>
      </c>
      <c r="N776" t="s">
        <v>2337</v>
      </c>
      <c r="O776" s="12" t="str">
        <f ca="1">IFERROR(__xludf.DUMMYFUNCTION("GOOGLETRANSLATE(D276,""ru"",""en"")"),"Arkady Krasilshchikov: When the jellyfish leave the beaches of Israel ...")</f>
        <v>Arkady Krasilshchikov: When the jellyfish leave the beaches of Israel ...</v>
      </c>
      <c r="P776">
        <v>1</v>
      </c>
      <c r="Q776">
        <v>1</v>
      </c>
      <c r="R776">
        <f t="shared" ref="R776:R839" si="56">COUNTIFS($J$2:$J$997,J776,$I$2:$I$997,I776)</f>
        <v>1</v>
      </c>
      <c r="S776">
        <f t="shared" ref="S776:S839" si="57">COUNTIFS($J$2:$J$997,J776,$I$2:$I$997,I776,$E$2:$E$997,E776)</f>
        <v>1</v>
      </c>
    </row>
    <row r="777" spans="1:19" x14ac:dyDescent="0.2">
      <c r="A777" s="9">
        <v>500</v>
      </c>
      <c r="B777" s="9" t="s">
        <v>2338</v>
      </c>
      <c r="C777" s="9" t="s">
        <v>321</v>
      </c>
      <c r="D777" s="10" t="s">
        <v>2339</v>
      </c>
      <c r="E777" s="10"/>
      <c r="F777" s="9"/>
      <c r="G777" s="9"/>
      <c r="H777" s="9"/>
      <c r="I777">
        <f t="shared" si="54"/>
        <v>2021</v>
      </c>
      <c r="J777">
        <f t="shared" si="55"/>
        <v>47</v>
      </c>
      <c r="K777" s="11">
        <v>44514</v>
      </c>
      <c r="L777" s="2" t="s">
        <v>23</v>
      </c>
      <c r="M777" s="9" t="s">
        <v>2340</v>
      </c>
      <c r="N777" s="9" t="s">
        <v>2341</v>
      </c>
      <c r="O777" s="12" t="str">
        <f ca="1">IFERROR(__xludf.DUMMYFUNCTION("GOOGLETRANSLATE(D219,""ru"",""en"")"),"Hordes of jellyfish are approaching the coast of Israel ...")</f>
        <v>Hordes of jellyfish are approaching the coast of Israel ...</v>
      </c>
      <c r="P777">
        <v>1</v>
      </c>
      <c r="Q777">
        <v>1</v>
      </c>
      <c r="R777">
        <f t="shared" si="56"/>
        <v>2</v>
      </c>
      <c r="S777">
        <f t="shared" si="57"/>
        <v>0</v>
      </c>
    </row>
    <row r="778" spans="1:19" x14ac:dyDescent="0.2">
      <c r="A778" s="9">
        <v>38</v>
      </c>
      <c r="B778" s="9" t="s">
        <v>2342</v>
      </c>
      <c r="C778" s="9" t="s">
        <v>2343</v>
      </c>
      <c r="D778" s="10" t="s">
        <v>2344</v>
      </c>
      <c r="E778" s="10"/>
      <c r="F778" s="9"/>
      <c r="G778" s="9"/>
      <c r="H778" s="9"/>
      <c r="I778">
        <f t="shared" si="54"/>
        <v>2021</v>
      </c>
      <c r="J778">
        <f t="shared" si="55"/>
        <v>47</v>
      </c>
      <c r="K778" s="11">
        <v>44515</v>
      </c>
      <c r="L778" s="2" t="s">
        <v>23</v>
      </c>
      <c r="M778" s="9" t="s">
        <v>2345</v>
      </c>
      <c r="N778" s="9" t="s">
        <v>2346</v>
      </c>
      <c r="O778" s="12" t="str">
        <f ca="1">IFERROR(__xludf.DUMMYFUNCTION("GOOGLETRANSLATE(D293,""ru"",""en"")"),"Meduses sailed to the shores of Israel two months ahead of schedule ...")</f>
        <v>Meduses sailed to the shores of Israel two months ahead of schedule ...</v>
      </c>
      <c r="P778">
        <v>1</v>
      </c>
      <c r="R778">
        <f t="shared" si="56"/>
        <v>2</v>
      </c>
      <c r="S778">
        <f t="shared" si="57"/>
        <v>0</v>
      </c>
    </row>
    <row r="779" spans="1:19" x14ac:dyDescent="0.2">
      <c r="A779" s="1">
        <v>5</v>
      </c>
      <c r="B779" t="s">
        <v>2347</v>
      </c>
      <c r="C779" t="s">
        <v>458</v>
      </c>
      <c r="D779" t="s">
        <v>2348</v>
      </c>
      <c r="E779" s="5" t="s">
        <v>100</v>
      </c>
      <c r="F779" t="s">
        <v>885</v>
      </c>
      <c r="G779">
        <v>32.515814807338202</v>
      </c>
      <c r="H779">
        <v>34.896646884804703</v>
      </c>
      <c r="I779">
        <f t="shared" si="54"/>
        <v>2021</v>
      </c>
      <c r="J779">
        <f t="shared" si="55"/>
        <v>48</v>
      </c>
      <c r="K779" s="2">
        <v>44526</v>
      </c>
      <c r="L779" s="2" t="s">
        <v>23</v>
      </c>
      <c r="M779" t="s">
        <v>2349</v>
      </c>
      <c r="N779" t="s">
        <v>2350</v>
      </c>
      <c r="O779" s="9" t="str">
        <f ca="1">IFERROR(__xludf.DUMMYFUNCTION("GOOGLETRANSLATE(D189,""ru"",""en"")"),"Tourists in Israel are waiting for danger: to the beaches ...")</f>
        <v>Tourists in Israel are waiting for danger: to the beaches ...</v>
      </c>
      <c r="P779" s="9">
        <v>1</v>
      </c>
      <c r="R779">
        <f t="shared" si="56"/>
        <v>1</v>
      </c>
      <c r="S779">
        <f t="shared" si="57"/>
        <v>1</v>
      </c>
    </row>
    <row r="780" spans="1:19" x14ac:dyDescent="0.2">
      <c r="A780">
        <v>92</v>
      </c>
      <c r="B780" t="s">
        <v>2351</v>
      </c>
      <c r="C780" t="s">
        <v>458</v>
      </c>
      <c r="D780" t="s">
        <v>2352</v>
      </c>
      <c r="E780" s="4" t="s">
        <v>21</v>
      </c>
      <c r="F780" t="s">
        <v>64</v>
      </c>
      <c r="G780">
        <v>31.8169667122236</v>
      </c>
      <c r="H780">
        <v>34.639611775767101</v>
      </c>
      <c r="I780">
        <f t="shared" si="54"/>
        <v>2021</v>
      </c>
      <c r="J780">
        <f t="shared" si="55"/>
        <v>51</v>
      </c>
      <c r="K780" s="2">
        <v>44542</v>
      </c>
      <c r="L780" s="2" t="s">
        <v>23</v>
      </c>
      <c r="M780" t="s">
        <v>2353</v>
      </c>
      <c r="N780" t="s">
        <v>2354</v>
      </c>
      <c r="O780" s="12" t="str">
        <f ca="1">IFERROR(__xludf.DUMMYFUNCTION("GOOGLETRANSLATE(D307,""ru"",""en"")"),"Detki.co.il - all about children in Israel - the Medus season on ...")</f>
        <v>Detki.co.il - all about children in Israel - the Medus season on ...</v>
      </c>
      <c r="P780">
        <v>1</v>
      </c>
      <c r="R780">
        <f t="shared" si="56"/>
        <v>1</v>
      </c>
      <c r="S780">
        <f t="shared" si="57"/>
        <v>1</v>
      </c>
    </row>
    <row r="781" spans="1:19" x14ac:dyDescent="0.2">
      <c r="A781">
        <v>56</v>
      </c>
      <c r="B781" t="s">
        <v>2355</v>
      </c>
      <c r="D781" t="s">
        <v>2356</v>
      </c>
      <c r="E781" s="4" t="s">
        <v>29</v>
      </c>
      <c r="F781" t="s">
        <v>30</v>
      </c>
      <c r="G781">
        <v>32.8371203553017</v>
      </c>
      <c r="H781">
        <v>34.9792189455856</v>
      </c>
      <c r="I781">
        <f t="shared" si="54"/>
        <v>2021</v>
      </c>
      <c r="J781">
        <f t="shared" si="55"/>
        <v>53</v>
      </c>
      <c r="K781" s="2">
        <v>44559</v>
      </c>
      <c r="L781" s="2" t="s">
        <v>23</v>
      </c>
      <c r="M781" t="s">
        <v>2357</v>
      </c>
      <c r="O781" s="12" t="str">
        <f ca="1">IFERROR(__xludf.DUMMYFUNCTION("GOOGLETRANSLATE(D309,""ru"",""en"")"),"In Israel, jellyfish attacked electrical design. Photo / news")</f>
        <v>In Israel, jellyfish attacked electrical design. Photo / news</v>
      </c>
      <c r="P781">
        <v>1</v>
      </c>
      <c r="R781">
        <f t="shared" si="56"/>
        <v>2</v>
      </c>
      <c r="S781">
        <f t="shared" si="57"/>
        <v>2</v>
      </c>
    </row>
    <row r="782" spans="1:19" x14ac:dyDescent="0.2">
      <c r="A782">
        <v>11</v>
      </c>
      <c r="B782" t="s">
        <v>2358</v>
      </c>
      <c r="D782" t="s">
        <v>2356</v>
      </c>
      <c r="E782" s="4" t="s">
        <v>29</v>
      </c>
      <c r="F782" t="s">
        <v>30</v>
      </c>
      <c r="G782">
        <v>32.8371203553017</v>
      </c>
      <c r="H782">
        <v>34.9792189455856</v>
      </c>
      <c r="I782">
        <f t="shared" si="54"/>
        <v>2021</v>
      </c>
      <c r="J782">
        <f t="shared" si="55"/>
        <v>53</v>
      </c>
      <c r="K782" s="2">
        <v>44559</v>
      </c>
      <c r="L782" s="2" t="s">
        <v>23</v>
      </c>
      <c r="M782" t="s">
        <v>2359</v>
      </c>
      <c r="N782" t="s">
        <v>1732</v>
      </c>
      <c r="O782" s="12" t="str">
        <f ca="1">IFERROR(__xludf.DUMMYFUNCTION("GOOGLETRANSLATE(D314,""ru"",""en"")"),"On the coast of Israel, Medus becomes smaller")</f>
        <v>On the coast of Israel, Medus becomes smaller</v>
      </c>
      <c r="P782">
        <v>1</v>
      </c>
      <c r="R782">
        <f t="shared" si="56"/>
        <v>2</v>
      </c>
      <c r="S782">
        <f t="shared" si="57"/>
        <v>2</v>
      </c>
    </row>
    <row r="783" spans="1:19" x14ac:dyDescent="0.2">
      <c r="A783" s="12">
        <v>296</v>
      </c>
      <c r="B783" s="12" t="s">
        <v>2360</v>
      </c>
      <c r="C783" s="12" t="s">
        <v>2361</v>
      </c>
      <c r="D783" s="12" t="s">
        <v>2362</v>
      </c>
      <c r="E783" s="12"/>
      <c r="F783" s="12"/>
      <c r="I783">
        <f t="shared" si="54"/>
        <v>2022</v>
      </c>
      <c r="J783">
        <f t="shared" si="55"/>
        <v>19</v>
      </c>
      <c r="K783" s="17">
        <v>44684</v>
      </c>
      <c r="L783" s="2" t="s">
        <v>23</v>
      </c>
      <c r="M783" s="13" t="s">
        <v>2363</v>
      </c>
      <c r="N783" s="12" t="s">
        <v>2364</v>
      </c>
      <c r="O783" s="12" t="str">
        <f ca="1">IFERROR(__xludf.DUMMYFUNCTION("GOOGLETRANSLATE(D464,""ru"",""en"")"),"Meduses paralyzed the work of one of the largest ...")</f>
        <v>Meduses paralyzed the work of one of the largest ...</v>
      </c>
      <c r="P783">
        <v>1</v>
      </c>
      <c r="R783">
        <f t="shared" si="56"/>
        <v>1</v>
      </c>
      <c r="S783">
        <f t="shared" si="57"/>
        <v>0</v>
      </c>
    </row>
    <row r="784" spans="1:19" x14ac:dyDescent="0.2">
      <c r="A784"/>
      <c r="B784" t="s">
        <v>2365</v>
      </c>
      <c r="C784" t="s">
        <v>2366</v>
      </c>
      <c r="D784" t="s">
        <v>2367</v>
      </c>
      <c r="I784">
        <f t="shared" si="54"/>
        <v>2022</v>
      </c>
      <c r="J784">
        <f t="shared" si="55"/>
        <v>21</v>
      </c>
      <c r="K784" s="2">
        <v>44700</v>
      </c>
      <c r="L784" s="2" t="s">
        <v>23</v>
      </c>
      <c r="M784" t="s">
        <v>2368</v>
      </c>
      <c r="N784" t="s">
        <v>2369</v>
      </c>
      <c r="O784" s="9" t="str">
        <f ca="1">IFERROR(__xludf.DUMMYFUNCTION("GOOGLETRANSLATE(D325,""ru"",""en"")"),"חדשות - בארץ nrg -  היצוא החדש my של קרית ים: urbוזות")</f>
        <v>חדשות - בארץ nrg -  היצוא החדש my של קרית ים: urbוזות</v>
      </c>
      <c r="P784">
        <v>1</v>
      </c>
      <c r="R784">
        <f t="shared" si="56"/>
        <v>1</v>
      </c>
      <c r="S784">
        <f t="shared" si="57"/>
        <v>0</v>
      </c>
    </row>
    <row r="785" spans="1:19" x14ac:dyDescent="0.2">
      <c r="B785" t="s">
        <v>2370</v>
      </c>
      <c r="C785" t="s">
        <v>2371</v>
      </c>
      <c r="D785" t="s">
        <v>2372</v>
      </c>
      <c r="E785" s="5" t="s">
        <v>73</v>
      </c>
      <c r="F785" t="s">
        <v>74</v>
      </c>
      <c r="G785">
        <v>32.093438590230903</v>
      </c>
      <c r="H785">
        <v>34.767717357132298</v>
      </c>
      <c r="I785">
        <f t="shared" si="54"/>
        <v>2022</v>
      </c>
      <c r="J785">
        <f t="shared" si="55"/>
        <v>25</v>
      </c>
      <c r="K785" s="2">
        <v>44727</v>
      </c>
      <c r="L785" s="2" t="s">
        <v>23</v>
      </c>
      <c r="M785" t="s">
        <v>2373</v>
      </c>
      <c r="N785" t="s">
        <v>2374</v>
      </c>
      <c r="O785" s="12" t="str">
        <f ca="1">IFERROR(__xludf.DUMMYFUNCTION("GOOGLETRANSLATE(D329,""ru"",""en"")"),"Dangerous jellyfish in Israel")</f>
        <v>Dangerous jellyfish in Israel</v>
      </c>
      <c r="P785">
        <v>1</v>
      </c>
      <c r="R785">
        <f t="shared" si="56"/>
        <v>7</v>
      </c>
      <c r="S785">
        <f t="shared" si="57"/>
        <v>3</v>
      </c>
    </row>
    <row r="786" spans="1:19" x14ac:dyDescent="0.2">
      <c r="A786" s="12">
        <v>2</v>
      </c>
      <c r="B786" s="12" t="s">
        <v>2375</v>
      </c>
      <c r="C786" s="12" t="s">
        <v>331</v>
      </c>
      <c r="D786" s="13" t="s">
        <v>2376</v>
      </c>
      <c r="E786" s="4" t="s">
        <v>21</v>
      </c>
      <c r="F786" s="12" t="s">
        <v>89</v>
      </c>
      <c r="G786" s="12"/>
      <c r="H786" s="12"/>
      <c r="I786">
        <f t="shared" si="54"/>
        <v>2022</v>
      </c>
      <c r="J786">
        <f t="shared" si="55"/>
        <v>25</v>
      </c>
      <c r="K786" s="14">
        <v>44727</v>
      </c>
      <c r="L786" s="2" t="s">
        <v>23</v>
      </c>
      <c r="M786" s="12" t="s">
        <v>2377</v>
      </c>
      <c r="N786" s="12" t="s">
        <v>2378</v>
      </c>
      <c r="O786" s="12" t="str">
        <f ca="1">IFERROR(__xludf.DUMMYFUNCTION("GOOGLETRANSLATE(D332,""ru"",""en"")"),"Israelis warned of the imminent invasion of Medus | Life ...")</f>
        <v>Israelis warned of the imminent invasion of Medus | Life ...</v>
      </c>
      <c r="P786">
        <v>1</v>
      </c>
      <c r="R786">
        <f t="shared" si="56"/>
        <v>7</v>
      </c>
      <c r="S786">
        <f t="shared" si="57"/>
        <v>4</v>
      </c>
    </row>
    <row r="787" spans="1:19" x14ac:dyDescent="0.2">
      <c r="A787" s="9">
        <v>11</v>
      </c>
      <c r="B787" s="9" t="s">
        <v>2379</v>
      </c>
      <c r="C787" s="9" t="s">
        <v>2380</v>
      </c>
      <c r="D787" s="10" t="s">
        <v>2381</v>
      </c>
      <c r="E787" s="4" t="s">
        <v>21</v>
      </c>
      <c r="F787" s="9" t="s">
        <v>89</v>
      </c>
      <c r="G787" s="9"/>
      <c r="H787" s="9"/>
      <c r="I787">
        <f t="shared" si="54"/>
        <v>2022</v>
      </c>
      <c r="J787">
        <f t="shared" si="55"/>
        <v>25</v>
      </c>
      <c r="K787" s="11">
        <v>44728</v>
      </c>
      <c r="L787" s="2" t="s">
        <v>23</v>
      </c>
      <c r="M787" s="9" t="s">
        <v>2382</v>
      </c>
      <c r="N787" s="9" t="s">
        <v>2383</v>
      </c>
      <c r="O787" s="9" t="str">
        <f ca="1">IFERROR(__xludf.DUMMYFUNCTION("GOOGLETRANSLATE(D338,""ru"",""en"")"),"Nomadic jellyfish of the curses of Israeli shores every summer in ...")</f>
        <v>Nomadic jellyfish of the curses of Israeli shores every summer in ...</v>
      </c>
      <c r="P787">
        <v>1</v>
      </c>
      <c r="R787">
        <f t="shared" si="56"/>
        <v>7</v>
      </c>
      <c r="S787">
        <f t="shared" si="57"/>
        <v>4</v>
      </c>
    </row>
    <row r="788" spans="1:19" x14ac:dyDescent="0.2">
      <c r="A788" s="12">
        <v>103</v>
      </c>
      <c r="B788" s="12" t="s">
        <v>2384</v>
      </c>
      <c r="C788" s="12" t="s">
        <v>2385</v>
      </c>
      <c r="D788" s="13" t="s">
        <v>2386</v>
      </c>
      <c r="E788" s="13" t="s">
        <v>73</v>
      </c>
      <c r="F788" s="12" t="s">
        <v>2387</v>
      </c>
      <c r="G788" s="12"/>
      <c r="H788" s="12"/>
      <c r="I788">
        <f t="shared" si="54"/>
        <v>2022</v>
      </c>
      <c r="J788">
        <f t="shared" si="55"/>
        <v>25</v>
      </c>
      <c r="K788" s="14">
        <v>44728</v>
      </c>
      <c r="L788" s="2" t="s">
        <v>23</v>
      </c>
      <c r="M788" s="12" t="s">
        <v>2388</v>
      </c>
      <c r="N788" s="12" t="s">
        <v>2389</v>
      </c>
      <c r="O788" s="12" t="str">
        <f ca="1">IFERROR(__xludf.DUMMYFUNCTION("GOOGLETRANSLATE(D33,""ru"",""en"")"),"Israeli jellyfish not only interfere ... - Israel in Russian | Facebook")</f>
        <v>Israeli jellyfish not only interfere ... - Israel in Russian | Facebook</v>
      </c>
      <c r="P788" s="12">
        <v>1</v>
      </c>
      <c r="R788">
        <f t="shared" si="56"/>
        <v>7</v>
      </c>
      <c r="S788">
        <f t="shared" si="57"/>
        <v>3</v>
      </c>
    </row>
    <row r="789" spans="1:19" x14ac:dyDescent="0.2">
      <c r="A789" s="9">
        <v>24</v>
      </c>
      <c r="B789" s="9" t="s">
        <v>2390</v>
      </c>
      <c r="C789" s="9" t="s">
        <v>2391</v>
      </c>
      <c r="D789" s="10" t="s">
        <v>2392</v>
      </c>
      <c r="E789" s="10" t="s">
        <v>73</v>
      </c>
      <c r="F789" s="9" t="s">
        <v>2387</v>
      </c>
      <c r="G789" s="9"/>
      <c r="H789" s="9"/>
      <c r="I789">
        <f t="shared" si="54"/>
        <v>2022</v>
      </c>
      <c r="J789">
        <f t="shared" si="55"/>
        <v>25</v>
      </c>
      <c r="K789" s="11">
        <v>44728</v>
      </c>
      <c r="L789" s="2" t="s">
        <v>23</v>
      </c>
      <c r="M789" s="9" t="s">
        <v>2393</v>
      </c>
      <c r="N789" s="9" t="s">
        <v>2394</v>
      </c>
      <c r="O789" s="12" t="str">
        <f ca="1">IFERROR(__xludf.DUMMYFUNCTION("GOOGLETRANSLATE(D551,""ru"",""en"")"),"Dead jellyfish washed up on the beach in Nchsholim, Israel ...")</f>
        <v>Dead jellyfish washed up on the beach in Nchsholim, Israel ...</v>
      </c>
      <c r="P789">
        <v>1</v>
      </c>
      <c r="R789">
        <f t="shared" si="56"/>
        <v>7</v>
      </c>
      <c r="S789">
        <f t="shared" si="57"/>
        <v>3</v>
      </c>
    </row>
    <row r="790" spans="1:19" x14ac:dyDescent="0.2">
      <c r="A790" s="12">
        <v>103</v>
      </c>
      <c r="B790" s="12" t="s">
        <v>2384</v>
      </c>
      <c r="C790" s="12" t="s">
        <v>2385</v>
      </c>
      <c r="D790" s="13" t="s">
        <v>2386</v>
      </c>
      <c r="E790" s="13" t="s">
        <v>21</v>
      </c>
      <c r="F790" s="12" t="s">
        <v>2387</v>
      </c>
      <c r="G790" s="12"/>
      <c r="H790" s="12"/>
      <c r="I790">
        <f t="shared" si="54"/>
        <v>2022</v>
      </c>
      <c r="J790">
        <f t="shared" si="55"/>
        <v>25</v>
      </c>
      <c r="K790" s="14">
        <v>44728</v>
      </c>
      <c r="L790" s="2" t="s">
        <v>23</v>
      </c>
      <c r="M790" s="12" t="s">
        <v>2388</v>
      </c>
      <c r="N790" s="12" t="s">
        <v>2389</v>
      </c>
      <c r="O790" s="12" t="str">
        <f ca="1">IFERROR(__xludf.DUMMYFUNCTION("GOOGLETRANSLATE(D33,""ru"",""en"")"),"Israeli jellyfish not only interfere ... - Israel in Russian | Facebook")</f>
        <v>Israeli jellyfish not only interfere ... - Israel in Russian | Facebook</v>
      </c>
      <c r="P790" s="12">
        <v>1</v>
      </c>
      <c r="R790">
        <f t="shared" si="56"/>
        <v>7</v>
      </c>
      <c r="S790">
        <f t="shared" si="57"/>
        <v>4</v>
      </c>
    </row>
    <row r="791" spans="1:19" x14ac:dyDescent="0.2">
      <c r="A791" s="9">
        <v>24</v>
      </c>
      <c r="B791" s="9" t="s">
        <v>2390</v>
      </c>
      <c r="C791" s="9" t="s">
        <v>2391</v>
      </c>
      <c r="D791" s="10" t="s">
        <v>2392</v>
      </c>
      <c r="E791" s="10" t="s">
        <v>21</v>
      </c>
      <c r="F791" s="9" t="s">
        <v>2387</v>
      </c>
      <c r="G791" s="9"/>
      <c r="H791" s="9"/>
      <c r="I791">
        <f t="shared" si="54"/>
        <v>2022</v>
      </c>
      <c r="J791">
        <f t="shared" si="55"/>
        <v>25</v>
      </c>
      <c r="K791" s="11">
        <v>44728</v>
      </c>
      <c r="L791" s="2" t="s">
        <v>23</v>
      </c>
      <c r="M791" s="9" t="s">
        <v>2393</v>
      </c>
      <c r="N791" s="9" t="s">
        <v>2394</v>
      </c>
      <c r="O791" s="12" t="str">
        <f ca="1">IFERROR(__xludf.DUMMYFUNCTION("GOOGLETRANSLATE(D551,""ru"",""en"")"),"Dead jellyfish washed up on the beach in Nchsholim, Israel ...")</f>
        <v>Dead jellyfish washed up on the beach in Nchsholim, Israel ...</v>
      </c>
      <c r="P791">
        <v>1</v>
      </c>
      <c r="R791">
        <f t="shared" si="56"/>
        <v>7</v>
      </c>
      <c r="S791">
        <f t="shared" si="57"/>
        <v>4</v>
      </c>
    </row>
    <row r="792" spans="1:19" x14ac:dyDescent="0.2">
      <c r="A792">
        <v>672</v>
      </c>
      <c r="B792" t="s">
        <v>2395</v>
      </c>
      <c r="C792" t="s">
        <v>304</v>
      </c>
      <c r="D792" t="s">
        <v>2396</v>
      </c>
      <c r="E792" s="4" t="s">
        <v>21</v>
      </c>
      <c r="F792" t="s">
        <v>448</v>
      </c>
      <c r="G792">
        <v>31.612835057788701</v>
      </c>
      <c r="H792">
        <v>34.504478848926297</v>
      </c>
      <c r="I792">
        <f t="shared" si="54"/>
        <v>2022</v>
      </c>
      <c r="J792">
        <f t="shared" si="55"/>
        <v>26</v>
      </c>
      <c r="K792" s="2">
        <v>44732</v>
      </c>
      <c r="L792" s="2" t="s">
        <v>23</v>
      </c>
      <c r="M792" t="s">
        <v>2397</v>
      </c>
      <c r="N792" t="s">
        <v>2398</v>
      </c>
      <c r="O792" s="12" t="str">
        <f ca="1">IFERROR(__xludf.DUMMYFUNCTION("GOOGLETRANSLATE(D353,""ru"",""en"")"),"Millions of jellyfish - Stmegi are approaching the coast of Israel")</f>
        <v>Millions of jellyfish - Stmegi are approaching the coast of Israel</v>
      </c>
      <c r="P792">
        <v>1</v>
      </c>
      <c r="R792">
        <f t="shared" si="56"/>
        <v>13</v>
      </c>
      <c r="S792">
        <f t="shared" si="57"/>
        <v>4</v>
      </c>
    </row>
    <row r="793" spans="1:19" x14ac:dyDescent="0.2">
      <c r="A793"/>
      <c r="B793" t="s">
        <v>2399</v>
      </c>
      <c r="C793" t="s">
        <v>2400</v>
      </c>
      <c r="D793" t="s">
        <v>2401</v>
      </c>
      <c r="I793">
        <f t="shared" si="54"/>
        <v>2022</v>
      </c>
      <c r="J793">
        <f t="shared" si="55"/>
        <v>26</v>
      </c>
      <c r="K793" s="2">
        <v>44732</v>
      </c>
      <c r="L793" s="2" t="s">
        <v>23</v>
      </c>
      <c r="M793" t="s">
        <v>2402</v>
      </c>
      <c r="N793" t="s">
        <v>2403</v>
      </c>
      <c r="O793" s="12" t="str">
        <f ca="1">IFERROR(__xludf.DUMMYFUNCTION("GOOGLETRANSLATE(D359,""ru"",""en"")"),"Warm jellyfish are found off the coast of Israel?")</f>
        <v>Warm jellyfish are found off the coast of Israel?</v>
      </c>
      <c r="P793">
        <v>1</v>
      </c>
      <c r="R793">
        <f t="shared" si="56"/>
        <v>13</v>
      </c>
      <c r="S793">
        <f t="shared" si="57"/>
        <v>0</v>
      </c>
    </row>
    <row r="794" spans="1:19" x14ac:dyDescent="0.2">
      <c r="A794" s="9">
        <v>48</v>
      </c>
      <c r="B794" s="9" t="s">
        <v>2404</v>
      </c>
      <c r="C794" s="9" t="s">
        <v>1824</v>
      </c>
      <c r="D794" s="10" t="s">
        <v>2405</v>
      </c>
      <c r="E794" s="10"/>
      <c r="F794" s="9"/>
      <c r="G794" s="9"/>
      <c r="H794" s="9"/>
      <c r="I794">
        <f t="shared" si="54"/>
        <v>2022</v>
      </c>
      <c r="J794">
        <f t="shared" si="55"/>
        <v>26</v>
      </c>
      <c r="K794" s="11">
        <v>44732</v>
      </c>
      <c r="L794" s="2" t="s">
        <v>23</v>
      </c>
      <c r="M794" s="9" t="s">
        <v>2406</v>
      </c>
      <c r="N794" s="9" t="s">
        <v>2407</v>
      </c>
      <c r="O794" s="9" t="str">
        <f ca="1">IFERROR(__xludf.DUMMYFUNCTION("GOOGLETRANSLATE(D361,""ru"",""en"")"),"In Israel, the invasion of Medus (video) | Brief news")</f>
        <v>In Israel, the invasion of Medus (video) | Brief news</v>
      </c>
      <c r="P794">
        <v>1</v>
      </c>
      <c r="R794">
        <f t="shared" si="56"/>
        <v>13</v>
      </c>
      <c r="S794">
        <f t="shared" si="57"/>
        <v>0</v>
      </c>
    </row>
    <row r="795" spans="1:19" x14ac:dyDescent="0.2">
      <c r="A795" s="12">
        <v>55</v>
      </c>
      <c r="B795" s="12" t="s">
        <v>2408</v>
      </c>
      <c r="C795" s="12" t="s">
        <v>2409</v>
      </c>
      <c r="D795" s="13" t="s">
        <v>2410</v>
      </c>
      <c r="E795" s="13"/>
      <c r="F795" s="12"/>
      <c r="G795" s="12"/>
      <c r="H795" s="12"/>
      <c r="I795">
        <f t="shared" si="54"/>
        <v>2022</v>
      </c>
      <c r="J795">
        <f t="shared" si="55"/>
        <v>26</v>
      </c>
      <c r="K795" s="14">
        <v>44732</v>
      </c>
      <c r="L795" s="2" t="s">
        <v>23</v>
      </c>
      <c r="M795" s="12" t="s">
        <v>2411</v>
      </c>
      <c r="N795" s="12" t="s">
        <v>2412</v>
      </c>
      <c r="O795" s="12" t="str">
        <f ca="1">IFERROR(__xludf.DUMMYFUNCTION("GOOGLETRANSLATE(D362,""ru"",""en"")"),"The beaches of Israel were flooded with dangerous jellyfish - in the world. Nia Samara ...")</f>
        <v>The beaches of Israel were flooded with dangerous jellyfish - in the world. Nia Samara ...</v>
      </c>
      <c r="P795">
        <v>1</v>
      </c>
      <c r="R795">
        <f t="shared" si="56"/>
        <v>13</v>
      </c>
      <c r="S795">
        <f t="shared" si="57"/>
        <v>0</v>
      </c>
    </row>
    <row r="796" spans="1:19" x14ac:dyDescent="0.2">
      <c r="A796">
        <v>16</v>
      </c>
      <c r="B796" t="s">
        <v>2413</v>
      </c>
      <c r="C796" t="s">
        <v>688</v>
      </c>
      <c r="D796" t="s">
        <v>2414</v>
      </c>
      <c r="E796" s="4" t="s">
        <v>21</v>
      </c>
      <c r="F796" t="s">
        <v>64</v>
      </c>
      <c r="G796">
        <v>31.8169667122236</v>
      </c>
      <c r="H796">
        <v>34.639611775767101</v>
      </c>
      <c r="I796">
        <f t="shared" si="54"/>
        <v>2022</v>
      </c>
      <c r="J796">
        <f t="shared" si="55"/>
        <v>26</v>
      </c>
      <c r="K796" s="2">
        <v>44734</v>
      </c>
      <c r="L796" s="2" t="s">
        <v>23</v>
      </c>
      <c r="M796" t="s">
        <v>2415</v>
      </c>
      <c r="N796" t="s">
        <v>2416</v>
      </c>
      <c r="O796" s="12" t="str">
        <f ca="1">IFERROR(__xludf.DUMMYFUNCTION("GOOGLETRANSLATE(D379,""ru"",""en"")"),"Attention, jellyfish!. Details: Israeli")</f>
        <v>Attention, jellyfish!. Details: Israeli</v>
      </c>
      <c r="P796">
        <v>1</v>
      </c>
      <c r="R796">
        <f t="shared" si="56"/>
        <v>13</v>
      </c>
      <c r="S796">
        <f t="shared" si="57"/>
        <v>4</v>
      </c>
    </row>
    <row r="797" spans="1:19" x14ac:dyDescent="0.2">
      <c r="A797" t="s">
        <v>2417</v>
      </c>
      <c r="B797" t="s">
        <v>2418</v>
      </c>
      <c r="C797" t="s">
        <v>2419</v>
      </c>
      <c r="D797" t="s">
        <v>2420</v>
      </c>
      <c r="I797">
        <f t="shared" si="54"/>
        <v>2022</v>
      </c>
      <c r="J797">
        <f t="shared" si="55"/>
        <v>26</v>
      </c>
      <c r="K797" s="2">
        <v>44734</v>
      </c>
      <c r="L797" s="2" t="s">
        <v>23</v>
      </c>
      <c r="M797" t="s">
        <v>2421</v>
      </c>
      <c r="N797" t="s">
        <v>2422</v>
      </c>
      <c r="O797" s="9" t="str">
        <f ca="1">IFERROR(__xludf.DUMMYFUNCTION("GOOGLETRANSLATE(D60,""ru"",""en"")"),"Hurray, you can safely swim in the sea!")</f>
        <v>Hurray, you can safely swim in the sea!</v>
      </c>
      <c r="P797" s="9">
        <v>1</v>
      </c>
      <c r="R797">
        <f t="shared" si="56"/>
        <v>13</v>
      </c>
      <c r="S797">
        <f t="shared" si="57"/>
        <v>0</v>
      </c>
    </row>
    <row r="798" spans="1:19" x14ac:dyDescent="0.2">
      <c r="A798" s="12">
        <v>34</v>
      </c>
      <c r="B798" s="12" t="s">
        <v>2423</v>
      </c>
      <c r="C798" s="12" t="s">
        <v>2424</v>
      </c>
      <c r="D798" s="13" t="s">
        <v>2425</v>
      </c>
      <c r="E798" s="4" t="s">
        <v>21</v>
      </c>
      <c r="F798" s="12" t="s">
        <v>89</v>
      </c>
      <c r="G798" s="12"/>
      <c r="H798" s="12"/>
      <c r="I798">
        <f t="shared" si="54"/>
        <v>2022</v>
      </c>
      <c r="J798">
        <f t="shared" si="55"/>
        <v>26</v>
      </c>
      <c r="K798" s="14">
        <v>44735</v>
      </c>
      <c r="L798" s="2" t="s">
        <v>23</v>
      </c>
      <c r="M798" s="12" t="s">
        <v>2426</v>
      </c>
      <c r="N798" s="12" t="s">
        <v>2427</v>
      </c>
      <c r="O798" s="12" t="str">
        <f ca="1">IFERROR(__xludf.DUMMYFUNCTION("GOOGLETRANSLATE(D349,""ru"",""en"")"),"The influx of jellyfish threatens the work of the largest power plant ...")</f>
        <v>The influx of jellyfish threatens the work of the largest power plant ...</v>
      </c>
      <c r="P798">
        <v>1</v>
      </c>
      <c r="R798">
        <f t="shared" si="56"/>
        <v>13</v>
      </c>
      <c r="S798">
        <f t="shared" si="57"/>
        <v>4</v>
      </c>
    </row>
    <row r="799" spans="1:19" x14ac:dyDescent="0.2">
      <c r="A799" t="s">
        <v>2428</v>
      </c>
      <c r="B799" t="s">
        <v>2429</v>
      </c>
      <c r="C799" t="s">
        <v>2069</v>
      </c>
      <c r="D799" t="s">
        <v>2430</v>
      </c>
      <c r="I799">
        <f t="shared" si="54"/>
        <v>2022</v>
      </c>
      <c r="J799">
        <f t="shared" si="55"/>
        <v>26</v>
      </c>
      <c r="K799" s="2">
        <v>44737</v>
      </c>
      <c r="L799" s="2" t="s">
        <v>23</v>
      </c>
      <c r="M799" t="s">
        <v>2431</v>
      </c>
      <c r="N799" t="s">
        <v>2432</v>
      </c>
      <c r="O799" s="12" t="str">
        <f ca="1">IFERROR(__xludf.DUMMYFUNCTION("GOOGLETRANSLATE(D401,""ru"",""en"")"),"Photo of Netania - Medusa. | Tourprom")</f>
        <v>Photo of Netania - Medusa. | Tourprom</v>
      </c>
      <c r="P799">
        <v>1</v>
      </c>
      <c r="R799">
        <f t="shared" si="56"/>
        <v>13</v>
      </c>
      <c r="S799">
        <f t="shared" si="57"/>
        <v>0</v>
      </c>
    </row>
    <row r="800" spans="1:19" x14ac:dyDescent="0.2">
      <c r="A800"/>
      <c r="B800" t="s">
        <v>2433</v>
      </c>
      <c r="C800" t="s">
        <v>2236</v>
      </c>
      <c r="D800" t="s">
        <v>2434</v>
      </c>
      <c r="I800">
        <f t="shared" si="54"/>
        <v>2022</v>
      </c>
      <c r="J800">
        <f t="shared" si="55"/>
        <v>26</v>
      </c>
      <c r="K800" s="2">
        <v>44737</v>
      </c>
      <c r="L800" s="2" t="s">
        <v>23</v>
      </c>
      <c r="M800" t="s">
        <v>2435</v>
      </c>
      <c r="N800" t="s">
        <v>2436</v>
      </c>
      <c r="O800" s="12" t="str">
        <f ca="1">IFERROR(__xludf.DUMMYFUNCTION("GOOGLETRANSLATE(D411,""ru"",""en"")"),"Hordes of jellyfish - on the way to the shores of Israel | Trips ...")</f>
        <v>Hordes of jellyfish - on the way to the shores of Israel | Trips ...</v>
      </c>
      <c r="P800">
        <v>1</v>
      </c>
      <c r="R800">
        <f t="shared" si="56"/>
        <v>13</v>
      </c>
      <c r="S800">
        <f t="shared" si="57"/>
        <v>0</v>
      </c>
    </row>
    <row r="801" spans="1:19" x14ac:dyDescent="0.2">
      <c r="A801" s="9"/>
      <c r="B801" s="9"/>
      <c r="C801" s="9" t="s">
        <v>135</v>
      </c>
      <c r="D801" s="10" t="s">
        <v>2437</v>
      </c>
      <c r="E801" s="13" t="s">
        <v>21</v>
      </c>
      <c r="F801" s="9" t="s">
        <v>101</v>
      </c>
      <c r="G801" s="9"/>
      <c r="H801" s="9"/>
      <c r="I801">
        <f t="shared" si="54"/>
        <v>2022</v>
      </c>
      <c r="J801">
        <f t="shared" si="55"/>
        <v>26</v>
      </c>
      <c r="K801" s="11">
        <v>44737</v>
      </c>
      <c r="L801" s="2" t="s">
        <v>23</v>
      </c>
      <c r="M801" s="9"/>
      <c r="N801" s="9"/>
      <c r="O801" s="12" t="str">
        <f ca="1">IFERROR(__xludf.DUMMYFUNCTION("GOOGLETRANSLATE(D413,""ru"",""en"")"),"ᐈ A huge number of jellyfish attacked the port of Ashdod (video)")</f>
        <v>ᐈ A huge number of jellyfish attacked the port of Ashdod (video)</v>
      </c>
      <c r="P801">
        <v>1</v>
      </c>
      <c r="R801">
        <f t="shared" si="56"/>
        <v>13</v>
      </c>
      <c r="S801">
        <f t="shared" si="57"/>
        <v>4</v>
      </c>
    </row>
    <row r="802" spans="1:19" x14ac:dyDescent="0.2">
      <c r="A802" s="9"/>
      <c r="B802" s="9"/>
      <c r="C802" s="9" t="s">
        <v>135</v>
      </c>
      <c r="D802" s="10" t="s">
        <v>2437</v>
      </c>
      <c r="E802" s="10" t="s">
        <v>73</v>
      </c>
      <c r="F802" s="9" t="s">
        <v>101</v>
      </c>
      <c r="G802" s="9"/>
      <c r="H802" s="9"/>
      <c r="I802">
        <f t="shared" si="54"/>
        <v>2022</v>
      </c>
      <c r="J802">
        <f t="shared" si="55"/>
        <v>26</v>
      </c>
      <c r="K802" s="11">
        <v>44737</v>
      </c>
      <c r="L802" s="2" t="s">
        <v>23</v>
      </c>
      <c r="M802" s="9"/>
      <c r="N802" s="9"/>
      <c r="O802" s="12" t="str">
        <f ca="1">IFERROR(__xludf.DUMMYFUNCTION("GOOGLETRANSLATE(D413,""ru"",""en"")"),"ᐈ A huge number of jellyfish attacked the port of Ashdod (video)")</f>
        <v>ᐈ A huge number of jellyfish attacked the port of Ashdod (video)</v>
      </c>
      <c r="P802">
        <v>1</v>
      </c>
      <c r="R802">
        <f t="shared" si="56"/>
        <v>13</v>
      </c>
      <c r="S802">
        <f t="shared" si="57"/>
        <v>1</v>
      </c>
    </row>
    <row r="803" spans="1:19" x14ac:dyDescent="0.2">
      <c r="A803" s="9"/>
      <c r="B803" s="9"/>
      <c r="C803" s="9" t="s">
        <v>135</v>
      </c>
      <c r="D803" s="10" t="s">
        <v>2437</v>
      </c>
      <c r="E803" s="10" t="s">
        <v>47</v>
      </c>
      <c r="F803" s="9" t="s">
        <v>101</v>
      </c>
      <c r="G803" s="9"/>
      <c r="H803" s="9"/>
      <c r="I803">
        <f t="shared" si="54"/>
        <v>2022</v>
      </c>
      <c r="J803">
        <f t="shared" si="55"/>
        <v>26</v>
      </c>
      <c r="K803" s="11">
        <v>44737</v>
      </c>
      <c r="L803" s="2" t="s">
        <v>23</v>
      </c>
      <c r="M803" s="9"/>
      <c r="N803" s="9"/>
      <c r="O803" s="12" t="str">
        <f ca="1">IFERROR(__xludf.DUMMYFUNCTION("GOOGLETRANSLATE(D413,""ru"",""en"")"),"ᐈ A huge number of jellyfish attacked the port of Ashdod (video)")</f>
        <v>ᐈ A huge number of jellyfish attacked the port of Ashdod (video)</v>
      </c>
      <c r="P803">
        <v>1</v>
      </c>
      <c r="R803">
        <f t="shared" si="56"/>
        <v>13</v>
      </c>
      <c r="S803">
        <f t="shared" si="57"/>
        <v>1</v>
      </c>
    </row>
    <row r="804" spans="1:19" x14ac:dyDescent="0.2">
      <c r="A804" s="9"/>
      <c r="B804" s="9"/>
      <c r="C804" s="9" t="s">
        <v>135</v>
      </c>
      <c r="D804" s="10" t="s">
        <v>2437</v>
      </c>
      <c r="E804" s="9" t="s">
        <v>100</v>
      </c>
      <c r="F804" s="9" t="s">
        <v>101</v>
      </c>
      <c r="G804" s="9"/>
      <c r="H804" s="9"/>
      <c r="I804">
        <f t="shared" si="54"/>
        <v>2022</v>
      </c>
      <c r="J804">
        <f t="shared" si="55"/>
        <v>26</v>
      </c>
      <c r="K804" s="11">
        <v>44737</v>
      </c>
      <c r="L804" s="2" t="s">
        <v>23</v>
      </c>
      <c r="M804" s="9"/>
      <c r="N804" s="9"/>
      <c r="O804" s="12" t="str">
        <f ca="1">IFERROR(__xludf.DUMMYFUNCTION("GOOGLETRANSLATE(D413,""ru"",""en"")"),"ᐈ A huge number of jellyfish attacked the port of Ashdod (video)")</f>
        <v>ᐈ A huge number of jellyfish attacked the port of Ashdod (video)</v>
      </c>
      <c r="P804">
        <v>1</v>
      </c>
      <c r="R804">
        <f t="shared" si="56"/>
        <v>13</v>
      </c>
      <c r="S804">
        <f t="shared" si="57"/>
        <v>1</v>
      </c>
    </row>
    <row r="805" spans="1:19" x14ac:dyDescent="0.2">
      <c r="A805">
        <v>1</v>
      </c>
      <c r="B805" t="s">
        <v>2438</v>
      </c>
      <c r="C805" t="s">
        <v>615</v>
      </c>
      <c r="D805" t="s">
        <v>2439</v>
      </c>
      <c r="E805" s="5" t="s">
        <v>73</v>
      </c>
      <c r="F805" t="s">
        <v>74</v>
      </c>
      <c r="G805">
        <v>32.093438590230903</v>
      </c>
      <c r="H805">
        <v>34.767717357132298</v>
      </c>
      <c r="I805">
        <f t="shared" si="54"/>
        <v>2022</v>
      </c>
      <c r="J805">
        <f t="shared" si="55"/>
        <v>27</v>
      </c>
      <c r="K805" s="2">
        <v>44738</v>
      </c>
      <c r="L805" s="2" t="s">
        <v>23</v>
      </c>
      <c r="M805" t="s">
        <v>2440</v>
      </c>
      <c r="N805" t="s">
        <v>2441</v>
      </c>
      <c r="O805" s="12" t="str">
        <f ca="1">IFERROR(__xludf.DUMMYFUNCTION("GOOGLETRANSLATE(D419,""ru"",""en"")"),"The concentration of jellyfish along the coast of Israel is gradually decreasing")</f>
        <v>The concentration of jellyfish along the coast of Israel is gradually decreasing</v>
      </c>
      <c r="P805">
        <v>1</v>
      </c>
      <c r="R805">
        <f t="shared" si="56"/>
        <v>23</v>
      </c>
      <c r="S805">
        <f t="shared" si="57"/>
        <v>3</v>
      </c>
    </row>
    <row r="806" spans="1:19" x14ac:dyDescent="0.2">
      <c r="A806">
        <v>48</v>
      </c>
      <c r="B806" t="s">
        <v>2442</v>
      </c>
      <c r="C806" t="s">
        <v>1843</v>
      </c>
      <c r="D806" t="s">
        <v>2109</v>
      </c>
      <c r="E806" s="4" t="s">
        <v>21</v>
      </c>
      <c r="F806" t="s">
        <v>22</v>
      </c>
      <c r="G806">
        <v>31.681438420965801</v>
      </c>
      <c r="H806">
        <v>34.554694789741902</v>
      </c>
      <c r="I806">
        <f t="shared" si="54"/>
        <v>2022</v>
      </c>
      <c r="J806">
        <f t="shared" si="55"/>
        <v>27</v>
      </c>
      <c r="K806" s="2">
        <v>44739</v>
      </c>
      <c r="L806" s="2" t="s">
        <v>23</v>
      </c>
      <c r="M806" t="s">
        <v>2443</v>
      </c>
      <c r="N806" t="s">
        <v>1843</v>
      </c>
      <c r="O806" s="9" t="str">
        <f ca="1">IFERROR(__xludf.DUMMYFUNCTION("GOOGLETRANSLATE(D93,""ru"",""en"")"),"The coast of Israel was filled with jellyfish: a video of an incredible sight - meta")</f>
        <v>The coast of Israel was filled with jellyfish: a video of an incredible sight - meta</v>
      </c>
      <c r="P806" s="9">
        <v>1</v>
      </c>
      <c r="R806">
        <f t="shared" si="56"/>
        <v>23</v>
      </c>
      <c r="S806">
        <f t="shared" si="57"/>
        <v>7</v>
      </c>
    </row>
    <row r="807" spans="1:19" x14ac:dyDescent="0.2">
      <c r="A807"/>
      <c r="B807" t="s">
        <v>2444</v>
      </c>
      <c r="C807" t="s">
        <v>164</v>
      </c>
      <c r="D807" t="s">
        <v>2445</v>
      </c>
      <c r="I807">
        <f t="shared" si="54"/>
        <v>2022</v>
      </c>
      <c r="J807">
        <f t="shared" si="55"/>
        <v>27</v>
      </c>
      <c r="K807" s="2">
        <v>44740</v>
      </c>
      <c r="L807" s="2" t="s">
        <v>23</v>
      </c>
      <c r="M807" t="s">
        <v>2446</v>
      </c>
      <c r="N807" t="s">
        <v>2447</v>
      </c>
      <c r="O807" s="12" t="str">
        <f ca="1">IFERROR(__xludf.DUMMYFUNCTION("GOOGLETRANSLATE(D443,""ru"",""en"")"),"Medus season ”on the Mediterranean coast of Israel: bathing ...")</f>
        <v>Medus season ”on the Mediterranean coast of Israel: bathing ...</v>
      </c>
      <c r="P807">
        <v>1</v>
      </c>
      <c r="R807">
        <f t="shared" si="56"/>
        <v>23</v>
      </c>
      <c r="S807">
        <f t="shared" si="57"/>
        <v>0</v>
      </c>
    </row>
    <row r="808" spans="1:19" x14ac:dyDescent="0.2">
      <c r="A808">
        <v>588</v>
      </c>
      <c r="B808" t="s">
        <v>2448</v>
      </c>
      <c r="C808" t="s">
        <v>1316</v>
      </c>
      <c r="D808" t="s">
        <v>2449</v>
      </c>
      <c r="E808" s="5" t="s">
        <v>47</v>
      </c>
      <c r="F808" t="s">
        <v>75</v>
      </c>
      <c r="G808">
        <v>32.439273327223297</v>
      </c>
      <c r="H808">
        <v>34.878068554773698</v>
      </c>
      <c r="I808">
        <f t="shared" si="54"/>
        <v>2022</v>
      </c>
      <c r="J808">
        <f t="shared" si="55"/>
        <v>27</v>
      </c>
      <c r="K808" s="2">
        <v>44741</v>
      </c>
      <c r="L808" s="2" t="s">
        <v>23</v>
      </c>
      <c r="M808" t="s">
        <v>2450</v>
      </c>
      <c r="N808" t="s">
        <v>2451</v>
      </c>
      <c r="O808" s="12" t="str">
        <f ca="1">IFERROR(__xludf.DUMMYFUNCTION("GOOGLETRANSLATE(D465,""ru"",""en"")"),"Medus season ”: Bathing is dangerous throughout the Mediterranean ...")</f>
        <v>Medus season ”: Bathing is dangerous throughout the Mediterranean ...</v>
      </c>
      <c r="P808">
        <v>1</v>
      </c>
      <c r="R808">
        <f t="shared" si="56"/>
        <v>23</v>
      </c>
      <c r="S808">
        <f t="shared" si="57"/>
        <v>3</v>
      </c>
    </row>
    <row r="809" spans="1:19" x14ac:dyDescent="0.2">
      <c r="A809">
        <v>6</v>
      </c>
      <c r="B809" t="s">
        <v>2452</v>
      </c>
      <c r="C809" t="s">
        <v>68</v>
      </c>
      <c r="D809" t="s">
        <v>2453</v>
      </c>
      <c r="F809" t="s">
        <v>30</v>
      </c>
      <c r="G809">
        <v>32.8371203553017</v>
      </c>
      <c r="H809">
        <v>34.9792189455856</v>
      </c>
      <c r="I809">
        <f t="shared" si="54"/>
        <v>2022</v>
      </c>
      <c r="J809">
        <f t="shared" si="55"/>
        <v>27</v>
      </c>
      <c r="K809" s="2">
        <v>44741</v>
      </c>
      <c r="L809" s="2" t="s">
        <v>23</v>
      </c>
      <c r="M809" t="s">
        <v>1719</v>
      </c>
      <c r="N809" t="s">
        <v>2454</v>
      </c>
      <c r="O809" s="9" t="str">
        <f ca="1">IFERROR(__xludf.DUMMYFUNCTION("GOOGLETRANSLATE(D472,""ru"",""en"")"),"Meduses threaten the work of one of the Israeli power plants ...")</f>
        <v>Meduses threaten the work of one of the Israeli power plants ...</v>
      </c>
      <c r="P809">
        <v>1</v>
      </c>
      <c r="R809">
        <f t="shared" si="56"/>
        <v>23</v>
      </c>
      <c r="S809">
        <f t="shared" si="57"/>
        <v>0</v>
      </c>
    </row>
    <row r="810" spans="1:19" x14ac:dyDescent="0.2">
      <c r="A810">
        <v>588</v>
      </c>
      <c r="B810" t="s">
        <v>2448</v>
      </c>
      <c r="C810" t="s">
        <v>1316</v>
      </c>
      <c r="D810" t="s">
        <v>2449</v>
      </c>
      <c r="E810" s="5" t="s">
        <v>100</v>
      </c>
      <c r="F810" t="s">
        <v>885</v>
      </c>
      <c r="G810">
        <v>32.515814807338202</v>
      </c>
      <c r="H810">
        <v>34.896646884804703</v>
      </c>
      <c r="I810">
        <f t="shared" si="54"/>
        <v>2022</v>
      </c>
      <c r="J810">
        <f t="shared" si="55"/>
        <v>27</v>
      </c>
      <c r="K810" s="2">
        <v>44741</v>
      </c>
      <c r="L810" s="2" t="s">
        <v>23</v>
      </c>
      <c r="M810" t="s">
        <v>2450</v>
      </c>
      <c r="N810" t="s">
        <v>2451</v>
      </c>
      <c r="O810" s="12" t="str">
        <f ca="1">IFERROR(__xludf.DUMMYFUNCTION("GOOGLETRANSLATE(D240,""ru"",""en"")"),"Sea jellyfish close -up on coastal sand beach ...")</f>
        <v>Sea jellyfish close -up on coastal sand beach ...</v>
      </c>
      <c r="P810">
        <v>1</v>
      </c>
      <c r="R810">
        <f t="shared" si="56"/>
        <v>23</v>
      </c>
      <c r="S810">
        <f t="shared" si="57"/>
        <v>3</v>
      </c>
    </row>
    <row r="811" spans="1:19" x14ac:dyDescent="0.2">
      <c r="A811">
        <v>80</v>
      </c>
      <c r="B811" t="s">
        <v>2455</v>
      </c>
      <c r="C811" t="s">
        <v>1474</v>
      </c>
      <c r="D811" t="s">
        <v>2456</v>
      </c>
      <c r="E811" t="s">
        <v>29</v>
      </c>
      <c r="F811" t="s">
        <v>30</v>
      </c>
      <c r="G811">
        <v>32.8371203553017</v>
      </c>
      <c r="H811">
        <v>34.9792189455856</v>
      </c>
      <c r="I811">
        <f t="shared" si="54"/>
        <v>2022</v>
      </c>
      <c r="J811">
        <f t="shared" si="55"/>
        <v>27</v>
      </c>
      <c r="K811" s="2">
        <v>44742</v>
      </c>
      <c r="L811" s="2" t="s">
        <v>23</v>
      </c>
      <c r="M811" t="s">
        <v>2457</v>
      </c>
      <c r="N811" t="s">
        <v>2458</v>
      </c>
      <c r="O811" s="12" t="str">
        <f ca="1">IFERROR(__xludf.DUMMYFUNCTION("GOOGLETRANSLATE(D67,""ru"",""en"")"),"In Netania, a man stung Medusa | Incidents | MIGNEWS - MIGNEWS - News of Israel and Peace in Russian")</f>
        <v>In Netania, a man stung Medusa | Incidents | MIGNEWS - MIGNEWS - News of Israel and Peace in Russian</v>
      </c>
      <c r="P811" s="12">
        <v>1</v>
      </c>
      <c r="R811">
        <f t="shared" si="56"/>
        <v>23</v>
      </c>
      <c r="S811">
        <f t="shared" si="57"/>
        <v>4</v>
      </c>
    </row>
    <row r="812" spans="1:19" x14ac:dyDescent="0.2">
      <c r="A812">
        <v>559</v>
      </c>
      <c r="B812" t="s">
        <v>2459</v>
      </c>
      <c r="C812" t="s">
        <v>2460</v>
      </c>
      <c r="D812" t="s">
        <v>2461</v>
      </c>
      <c r="E812" s="4" t="s">
        <v>21</v>
      </c>
      <c r="F812" t="s">
        <v>22</v>
      </c>
      <c r="G812">
        <v>31.681438420965801</v>
      </c>
      <c r="H812">
        <v>34.554694789741902</v>
      </c>
      <c r="I812">
        <f t="shared" si="54"/>
        <v>2022</v>
      </c>
      <c r="J812">
        <f t="shared" si="55"/>
        <v>27</v>
      </c>
      <c r="K812" s="2">
        <v>44743</v>
      </c>
      <c r="L812" s="2" t="s">
        <v>23</v>
      </c>
      <c r="M812" t="s">
        <v>2462</v>
      </c>
      <c r="N812" t="s">
        <v>2463</v>
      </c>
      <c r="O812" s="12" t="str">
        <f ca="1">IFERROR(__xludf.DUMMYFUNCTION("GOOGLETRANSLATE(D482,""ru"",""en"")"),"Children do not recommend swimming in the sea because of jellyfish")</f>
        <v>Children do not recommend swimming in the sea because of jellyfish</v>
      </c>
      <c r="P812">
        <v>1</v>
      </c>
      <c r="R812">
        <f t="shared" si="56"/>
        <v>23</v>
      </c>
      <c r="S812">
        <f t="shared" si="57"/>
        <v>7</v>
      </c>
    </row>
    <row r="813" spans="1:19" x14ac:dyDescent="0.2">
      <c r="A813">
        <v>385</v>
      </c>
      <c r="B813" t="s">
        <v>2464</v>
      </c>
      <c r="C813" t="s">
        <v>2460</v>
      </c>
      <c r="D813" t="s">
        <v>2465</v>
      </c>
      <c r="E813" s="4" t="s">
        <v>21</v>
      </c>
      <c r="F813" t="s">
        <v>22</v>
      </c>
      <c r="G813">
        <v>31.681438420965801</v>
      </c>
      <c r="H813">
        <v>34.554694789741902</v>
      </c>
      <c r="I813">
        <f t="shared" si="54"/>
        <v>2022</v>
      </c>
      <c r="J813">
        <f t="shared" si="55"/>
        <v>27</v>
      </c>
      <c r="K813" s="2">
        <v>44743</v>
      </c>
      <c r="L813" s="2" t="s">
        <v>23</v>
      </c>
      <c r="M813" t="s">
        <v>2466</v>
      </c>
      <c r="N813" t="s">
        <v>2467</v>
      </c>
      <c r="O813" s="9" t="str">
        <f ca="1">IFERROR(__xludf.DUMMYFUNCTION("GOOGLETRANSLATE(D485,""ru"",""en"")"),"Hordes of Medus are approaching the coast of Israel | Trips ...")</f>
        <v>Hordes of Medus are approaching the coast of Israel | Trips ...</v>
      </c>
      <c r="P813">
        <v>1</v>
      </c>
      <c r="R813">
        <f t="shared" si="56"/>
        <v>23</v>
      </c>
      <c r="S813">
        <f t="shared" si="57"/>
        <v>7</v>
      </c>
    </row>
    <row r="814" spans="1:19" x14ac:dyDescent="0.2">
      <c r="A814">
        <v>631</v>
      </c>
      <c r="B814" t="s">
        <v>2468</v>
      </c>
      <c r="C814" t="s">
        <v>2469</v>
      </c>
      <c r="D814" t="s">
        <v>2470</v>
      </c>
      <c r="E814" s="4" t="s">
        <v>21</v>
      </c>
      <c r="F814" t="s">
        <v>22</v>
      </c>
      <c r="G814">
        <v>31.681438420965801</v>
      </c>
      <c r="H814">
        <v>34.554694789741902</v>
      </c>
      <c r="I814">
        <f t="shared" si="54"/>
        <v>2022</v>
      </c>
      <c r="J814">
        <f t="shared" si="55"/>
        <v>27</v>
      </c>
      <c r="K814" s="2">
        <v>44743</v>
      </c>
      <c r="L814" s="2" t="s">
        <v>23</v>
      </c>
      <c r="M814" t="s">
        <v>2471</v>
      </c>
      <c r="N814" t="s">
        <v>2472</v>
      </c>
      <c r="O814" s="12" t="str">
        <f ca="1">IFERROR(__xludf.DUMMYFUNCTION("GOOGLETRANSLATE(D577,""ru"",""en"")"),"Season of Medus on the Coast of the Mediterranean Sea in Israel ...")</f>
        <v>Season of Medus on the Coast of the Mediterranean Sea in Israel ...</v>
      </c>
      <c r="P814">
        <v>1</v>
      </c>
      <c r="R814">
        <f t="shared" si="56"/>
        <v>23</v>
      </c>
      <c r="S814">
        <f t="shared" si="57"/>
        <v>7</v>
      </c>
    </row>
    <row r="815" spans="1:19" x14ac:dyDescent="0.2">
      <c r="A815" s="12">
        <v>213</v>
      </c>
      <c r="B815" s="12" t="s">
        <v>2473</v>
      </c>
      <c r="C815" s="12" t="s">
        <v>2069</v>
      </c>
      <c r="D815" s="13" t="s">
        <v>2474</v>
      </c>
      <c r="E815" s="13" t="s">
        <v>29</v>
      </c>
      <c r="F815" s="12" t="s">
        <v>30</v>
      </c>
      <c r="G815" s="12"/>
      <c r="H815" s="12"/>
      <c r="I815">
        <f t="shared" si="54"/>
        <v>2022</v>
      </c>
      <c r="J815">
        <f t="shared" si="55"/>
        <v>27</v>
      </c>
      <c r="K815" s="14">
        <v>44743</v>
      </c>
      <c r="L815" s="2" t="s">
        <v>23</v>
      </c>
      <c r="M815" s="12" t="s">
        <v>2475</v>
      </c>
      <c r="N815" s="12" t="s">
        <v>2476</v>
      </c>
      <c r="O815" s="9" t="str">
        <f ca="1">IFERROR(__xludf.DUMMYFUNCTION("GOOGLETRANSLATE(D490,""ru"",""en"")"),"Weather in Israel: the sun, summer, the sea almost without jellyfish. Details ...")</f>
        <v>Weather in Israel: the sun, summer, the sea almost without jellyfish. Details ...</v>
      </c>
      <c r="P815">
        <v>1</v>
      </c>
      <c r="R815">
        <f t="shared" si="56"/>
        <v>23</v>
      </c>
      <c r="S815">
        <f t="shared" si="57"/>
        <v>4</v>
      </c>
    </row>
    <row r="816" spans="1:19" x14ac:dyDescent="0.2">
      <c r="A816" s="9">
        <v>541</v>
      </c>
      <c r="B816" s="9" t="s">
        <v>2477</v>
      </c>
      <c r="C816" s="9" t="s">
        <v>625</v>
      </c>
      <c r="D816" s="10" t="s">
        <v>2478</v>
      </c>
      <c r="E816" s="10" t="s">
        <v>47</v>
      </c>
      <c r="F816" s="9" t="s">
        <v>1465</v>
      </c>
      <c r="G816" s="9"/>
      <c r="H816" s="9"/>
      <c r="I816">
        <f t="shared" si="54"/>
        <v>2022</v>
      </c>
      <c r="J816">
        <f t="shared" si="55"/>
        <v>27</v>
      </c>
      <c r="K816" s="11">
        <v>44743</v>
      </c>
      <c r="L816" s="2" t="s">
        <v>23</v>
      </c>
      <c r="M816" s="9" t="s">
        <v>2479</v>
      </c>
      <c r="N816" s="9" t="s">
        <v>2480</v>
      </c>
      <c r="O816" s="9" t="str">
        <f ca="1">IFERROR(__xludf.DUMMYFUNCTION("GOOGLETRANSLATE(D593,""ru"",""en"")"),"The winter invasion of Medus near the Mediterranean coast ...")</f>
        <v>The winter invasion of Medus near the Mediterranean coast ...</v>
      </c>
      <c r="P816">
        <v>1</v>
      </c>
      <c r="R816">
        <f t="shared" si="56"/>
        <v>23</v>
      </c>
      <c r="S816">
        <f t="shared" si="57"/>
        <v>3</v>
      </c>
    </row>
    <row r="817" spans="1:19" x14ac:dyDescent="0.2">
      <c r="A817" s="12"/>
      <c r="B817" s="12"/>
      <c r="C817" s="12"/>
      <c r="D817" s="13" t="s">
        <v>2481</v>
      </c>
      <c r="E817" s="10" t="s">
        <v>47</v>
      </c>
      <c r="F817" s="33" t="s">
        <v>643</v>
      </c>
      <c r="G817" s="12"/>
      <c r="H817" s="12"/>
      <c r="I817">
        <f t="shared" si="54"/>
        <v>2022</v>
      </c>
      <c r="J817">
        <f t="shared" si="55"/>
        <v>27</v>
      </c>
      <c r="K817" s="14">
        <v>44743</v>
      </c>
      <c r="L817" s="2" t="s">
        <v>23</v>
      </c>
      <c r="M817" s="12"/>
      <c r="N817" s="12"/>
      <c r="O817" s="9" t="str">
        <f ca="1">IFERROR(__xludf.DUMMYFUNCTION("GOOGLETRANSLATE(D501,""ru"",""en"")"),"Near the Mediterranean coast of Israel, “burning ...")</f>
        <v>Near the Mediterranean coast of Israel, “burning ...</v>
      </c>
      <c r="P817">
        <v>1</v>
      </c>
      <c r="R817">
        <f t="shared" si="56"/>
        <v>23</v>
      </c>
      <c r="S817">
        <f t="shared" si="57"/>
        <v>3</v>
      </c>
    </row>
    <row r="818" spans="1:19" x14ac:dyDescent="0.2">
      <c r="A818" s="9">
        <v>541</v>
      </c>
      <c r="B818" s="9" t="s">
        <v>2477</v>
      </c>
      <c r="C818" s="9" t="s">
        <v>625</v>
      </c>
      <c r="D818" s="10" t="s">
        <v>2478</v>
      </c>
      <c r="E818" s="9" t="s">
        <v>100</v>
      </c>
      <c r="F818" s="9" t="s">
        <v>1465</v>
      </c>
      <c r="G818" s="9"/>
      <c r="H818" s="9"/>
      <c r="I818">
        <f t="shared" si="54"/>
        <v>2022</v>
      </c>
      <c r="J818">
        <f t="shared" si="55"/>
        <v>27</v>
      </c>
      <c r="K818" s="11">
        <v>44743</v>
      </c>
      <c r="L818" s="2" t="s">
        <v>23</v>
      </c>
      <c r="M818" s="9" t="s">
        <v>2479</v>
      </c>
      <c r="N818" s="9" t="s">
        <v>2480</v>
      </c>
      <c r="O818" s="9" t="str">
        <f ca="1">IFERROR(__xludf.DUMMYFUNCTION("GOOGLETRANSLATE(D593,""ru"",""en"")"),"The winter invasion of Medus near the Mediterranean coast ...")</f>
        <v>The winter invasion of Medus near the Mediterranean coast ...</v>
      </c>
      <c r="P818">
        <v>1</v>
      </c>
      <c r="R818">
        <f t="shared" si="56"/>
        <v>23</v>
      </c>
      <c r="S818">
        <f t="shared" si="57"/>
        <v>3</v>
      </c>
    </row>
    <row r="819" spans="1:19" x14ac:dyDescent="0.2">
      <c r="A819" s="12"/>
      <c r="B819" s="12"/>
      <c r="C819" s="12"/>
      <c r="D819" s="13" t="s">
        <v>2481</v>
      </c>
      <c r="E819" s="9" t="s">
        <v>100</v>
      </c>
      <c r="F819" s="33" t="s">
        <v>643</v>
      </c>
      <c r="G819" s="12"/>
      <c r="H819" s="12"/>
      <c r="I819">
        <f t="shared" si="54"/>
        <v>2022</v>
      </c>
      <c r="J819">
        <f t="shared" si="55"/>
        <v>27</v>
      </c>
      <c r="K819" s="14">
        <v>44743</v>
      </c>
      <c r="L819" s="2" t="s">
        <v>23</v>
      </c>
      <c r="M819" s="12"/>
      <c r="N819" s="12"/>
      <c r="O819" s="9" t="str">
        <f ca="1">IFERROR(__xludf.DUMMYFUNCTION("GOOGLETRANSLATE(D501,""ru"",""en"")"),"Near the Mediterranean coast of Israel, “burning ...")</f>
        <v>Near the Mediterranean coast of Israel, “burning ...</v>
      </c>
      <c r="P819">
        <v>1</v>
      </c>
      <c r="R819">
        <f t="shared" si="56"/>
        <v>23</v>
      </c>
      <c r="S819">
        <f t="shared" si="57"/>
        <v>3</v>
      </c>
    </row>
    <row r="820" spans="1:19" x14ac:dyDescent="0.2">
      <c r="A820" s="9">
        <v>541</v>
      </c>
      <c r="B820" s="9" t="s">
        <v>2477</v>
      </c>
      <c r="C820" s="9" t="s">
        <v>625</v>
      </c>
      <c r="D820" s="10" t="s">
        <v>2478</v>
      </c>
      <c r="E820" s="10" t="s">
        <v>73</v>
      </c>
      <c r="F820" s="9" t="s">
        <v>1465</v>
      </c>
      <c r="G820" s="9"/>
      <c r="H820" s="9"/>
      <c r="I820">
        <f t="shared" si="54"/>
        <v>2022</v>
      </c>
      <c r="J820">
        <f t="shared" si="55"/>
        <v>27</v>
      </c>
      <c r="K820" s="11">
        <v>44743</v>
      </c>
      <c r="L820" s="2" t="s">
        <v>23</v>
      </c>
      <c r="M820" s="9" t="s">
        <v>2479</v>
      </c>
      <c r="N820" s="9" t="s">
        <v>2480</v>
      </c>
      <c r="O820" s="9" t="str">
        <f ca="1">IFERROR(__xludf.DUMMYFUNCTION("GOOGLETRANSLATE(D593,""ru"",""en"")"),"The winter invasion of Medus near the Mediterranean coast ...")</f>
        <v>The winter invasion of Medus near the Mediterranean coast ...</v>
      </c>
      <c r="P820">
        <v>1</v>
      </c>
      <c r="R820">
        <f t="shared" si="56"/>
        <v>23</v>
      </c>
      <c r="S820">
        <f t="shared" si="57"/>
        <v>3</v>
      </c>
    </row>
    <row r="821" spans="1:19" x14ac:dyDescent="0.2">
      <c r="A821" s="12"/>
      <c r="B821" s="12"/>
      <c r="C821" s="12"/>
      <c r="D821" s="13" t="s">
        <v>2481</v>
      </c>
      <c r="E821" s="10" t="s">
        <v>73</v>
      </c>
      <c r="F821" s="33" t="s">
        <v>643</v>
      </c>
      <c r="G821" s="12"/>
      <c r="H821" s="12"/>
      <c r="I821">
        <f t="shared" si="54"/>
        <v>2022</v>
      </c>
      <c r="J821">
        <f t="shared" si="55"/>
        <v>27</v>
      </c>
      <c r="K821" s="14">
        <v>44743</v>
      </c>
      <c r="L821" s="2" t="s">
        <v>23</v>
      </c>
      <c r="M821" s="12"/>
      <c r="N821" s="12"/>
      <c r="O821" s="9" t="str">
        <f ca="1">IFERROR(__xludf.DUMMYFUNCTION("GOOGLETRANSLATE(D501,""ru"",""en"")"),"Near the Mediterranean coast of Israel, “burning ...")</f>
        <v>Near the Mediterranean coast of Israel, “burning ...</v>
      </c>
      <c r="P821">
        <v>1</v>
      </c>
      <c r="R821">
        <f t="shared" si="56"/>
        <v>23</v>
      </c>
      <c r="S821">
        <f t="shared" si="57"/>
        <v>3</v>
      </c>
    </row>
    <row r="822" spans="1:19" x14ac:dyDescent="0.2">
      <c r="A822" s="9">
        <v>541</v>
      </c>
      <c r="B822" s="9" t="s">
        <v>2477</v>
      </c>
      <c r="C822" s="9" t="s">
        <v>625</v>
      </c>
      <c r="D822" s="10" t="s">
        <v>2478</v>
      </c>
      <c r="E822" s="13" t="s">
        <v>21</v>
      </c>
      <c r="F822" s="9" t="s">
        <v>1465</v>
      </c>
      <c r="G822" s="9"/>
      <c r="H822" s="9"/>
      <c r="I822">
        <f t="shared" si="54"/>
        <v>2022</v>
      </c>
      <c r="J822">
        <f t="shared" si="55"/>
        <v>27</v>
      </c>
      <c r="K822" s="11">
        <v>44743</v>
      </c>
      <c r="L822" s="2" t="s">
        <v>23</v>
      </c>
      <c r="M822" s="9" t="s">
        <v>2479</v>
      </c>
      <c r="N822" s="9" t="s">
        <v>2480</v>
      </c>
      <c r="O822" s="9" t="str">
        <f ca="1">IFERROR(__xludf.DUMMYFUNCTION("GOOGLETRANSLATE(D593,""ru"",""en"")"),"The winter invasion of Medus near the Mediterranean coast ...")</f>
        <v>The winter invasion of Medus near the Mediterranean coast ...</v>
      </c>
      <c r="P822">
        <v>1</v>
      </c>
      <c r="R822">
        <f t="shared" si="56"/>
        <v>23</v>
      </c>
      <c r="S822">
        <f t="shared" si="57"/>
        <v>7</v>
      </c>
    </row>
    <row r="823" spans="1:19" x14ac:dyDescent="0.2">
      <c r="A823" s="12"/>
      <c r="B823" s="12"/>
      <c r="C823" s="12"/>
      <c r="D823" s="13" t="s">
        <v>2481</v>
      </c>
      <c r="E823" s="13" t="s">
        <v>21</v>
      </c>
      <c r="F823" s="33" t="s">
        <v>643</v>
      </c>
      <c r="G823" s="12"/>
      <c r="H823" s="12"/>
      <c r="I823">
        <f t="shared" si="54"/>
        <v>2022</v>
      </c>
      <c r="J823">
        <f t="shared" si="55"/>
        <v>27</v>
      </c>
      <c r="K823" s="14">
        <v>44743</v>
      </c>
      <c r="L823" s="2" t="s">
        <v>23</v>
      </c>
      <c r="M823" s="12"/>
      <c r="N823" s="12"/>
      <c r="O823" s="9" t="str">
        <f ca="1">IFERROR(__xludf.DUMMYFUNCTION("GOOGLETRANSLATE(D501,""ru"",""en"")"),"Near the Mediterranean coast of Israel, “burning ...")</f>
        <v>Near the Mediterranean coast of Israel, “burning ...</v>
      </c>
      <c r="P823">
        <v>1</v>
      </c>
      <c r="R823">
        <f t="shared" si="56"/>
        <v>23</v>
      </c>
      <c r="S823">
        <f t="shared" si="57"/>
        <v>7</v>
      </c>
    </row>
    <row r="824" spans="1:19" x14ac:dyDescent="0.2">
      <c r="A824" s="9">
        <v>541</v>
      </c>
      <c r="B824" s="9" t="s">
        <v>2477</v>
      </c>
      <c r="C824" s="9" t="s">
        <v>625</v>
      </c>
      <c r="D824" s="10" t="s">
        <v>2478</v>
      </c>
      <c r="E824" s="12" t="s">
        <v>29</v>
      </c>
      <c r="F824" s="9" t="s">
        <v>1465</v>
      </c>
      <c r="G824" s="9"/>
      <c r="H824" s="9"/>
      <c r="I824">
        <f t="shared" si="54"/>
        <v>2022</v>
      </c>
      <c r="J824">
        <f t="shared" si="55"/>
        <v>27</v>
      </c>
      <c r="K824" s="11">
        <v>44743</v>
      </c>
      <c r="L824" s="2" t="s">
        <v>23</v>
      </c>
      <c r="M824" s="9" t="s">
        <v>2479</v>
      </c>
      <c r="N824" s="9" t="s">
        <v>2480</v>
      </c>
      <c r="O824" s="9" t="str">
        <f ca="1">IFERROR(__xludf.DUMMYFUNCTION("GOOGLETRANSLATE(D593,""ru"",""en"")"),"The winter invasion of Medus near the Mediterranean coast ...")</f>
        <v>The winter invasion of Medus near the Mediterranean coast ...</v>
      </c>
      <c r="P824">
        <v>1</v>
      </c>
      <c r="R824">
        <f t="shared" si="56"/>
        <v>23</v>
      </c>
      <c r="S824">
        <f t="shared" si="57"/>
        <v>4</v>
      </c>
    </row>
    <row r="825" spans="1:19" x14ac:dyDescent="0.2">
      <c r="A825" s="12"/>
      <c r="B825" s="12"/>
      <c r="C825" s="12"/>
      <c r="D825" s="13" t="s">
        <v>2481</v>
      </c>
      <c r="E825" s="12" t="s">
        <v>29</v>
      </c>
      <c r="F825" s="33" t="s">
        <v>643</v>
      </c>
      <c r="G825" s="12"/>
      <c r="H825" s="12"/>
      <c r="I825">
        <f t="shared" si="54"/>
        <v>2022</v>
      </c>
      <c r="J825">
        <f t="shared" si="55"/>
        <v>27</v>
      </c>
      <c r="K825" s="14">
        <v>44743</v>
      </c>
      <c r="L825" s="2" t="s">
        <v>23</v>
      </c>
      <c r="M825" s="12"/>
      <c r="N825" s="12"/>
      <c r="O825" s="9" t="str">
        <f ca="1">IFERROR(__xludf.DUMMYFUNCTION("GOOGLETRANSLATE(D501,""ru"",""en"")"),"Near the Mediterranean coast of Israel, “burning ...")</f>
        <v>Near the Mediterranean coast of Israel, “burning ...</v>
      </c>
      <c r="P825">
        <v>1</v>
      </c>
      <c r="R825">
        <f t="shared" si="56"/>
        <v>23</v>
      </c>
      <c r="S825">
        <f t="shared" si="57"/>
        <v>4</v>
      </c>
    </row>
    <row r="826" spans="1:19" x14ac:dyDescent="0.2">
      <c r="B826" t="s">
        <v>2482</v>
      </c>
      <c r="C826" t="s">
        <v>2483</v>
      </c>
      <c r="D826" t="s">
        <v>2484</v>
      </c>
      <c r="E826" s="4" t="s">
        <v>21</v>
      </c>
      <c r="F826" t="s">
        <v>22</v>
      </c>
      <c r="G826">
        <v>31.681438420965801</v>
      </c>
      <c r="H826">
        <v>34.554694789741902</v>
      </c>
      <c r="I826">
        <f t="shared" si="54"/>
        <v>2022</v>
      </c>
      <c r="J826">
        <f t="shared" si="55"/>
        <v>27</v>
      </c>
      <c r="K826" s="2">
        <v>44744</v>
      </c>
      <c r="L826" s="2" t="s">
        <v>23</v>
      </c>
      <c r="M826" t="s">
        <v>2485</v>
      </c>
      <c r="N826" t="s">
        <v>2486</v>
      </c>
      <c r="O826" s="12" t="str">
        <f ca="1">IFERROR(__xludf.DUMMYFUNCTION("GOOGLETRANSLATE(D503,""ru"",""en"")"),"Dead jellyfish washed up on the beach in Nchsholim ...")</f>
        <v>Dead jellyfish washed up on the beach in Nchsholim ...</v>
      </c>
      <c r="P826">
        <v>1</v>
      </c>
      <c r="R826">
        <f t="shared" si="56"/>
        <v>23</v>
      </c>
      <c r="S826">
        <f t="shared" si="57"/>
        <v>7</v>
      </c>
    </row>
    <row r="827" spans="1:19" x14ac:dyDescent="0.2">
      <c r="A827">
        <v>7</v>
      </c>
      <c r="B827" t="s">
        <v>2487</v>
      </c>
      <c r="C827" t="s">
        <v>1109</v>
      </c>
      <c r="D827" t="s">
        <v>2488</v>
      </c>
      <c r="I827">
        <f t="shared" si="54"/>
        <v>2022</v>
      </c>
      <c r="J827">
        <f t="shared" si="55"/>
        <v>27</v>
      </c>
      <c r="K827" s="2">
        <v>44744</v>
      </c>
      <c r="L827" s="2" t="s">
        <v>23</v>
      </c>
      <c r="M827" t="s">
        <v>2489</v>
      </c>
      <c r="N827" t="s">
        <v>2490</v>
      </c>
      <c r="O827" s="9" t="str">
        <f ca="1">IFERROR(__xludf.DUMMYFUNCTION("GOOGLETRANSLATE(D504,""ru"",""en"")"),"On the Mediterranean coast of Israel, the season ends ...")</f>
        <v>On the Mediterranean coast of Israel, the season ends ...</v>
      </c>
      <c r="P827">
        <v>1</v>
      </c>
      <c r="R827">
        <f t="shared" si="56"/>
        <v>23</v>
      </c>
      <c r="S827">
        <f t="shared" si="57"/>
        <v>0</v>
      </c>
    </row>
    <row r="828" spans="1:19" x14ac:dyDescent="0.2">
      <c r="A828">
        <v>47</v>
      </c>
      <c r="B828" t="s">
        <v>2491</v>
      </c>
      <c r="C828" t="s">
        <v>752</v>
      </c>
      <c r="D828" t="s">
        <v>2492</v>
      </c>
      <c r="I828">
        <f t="shared" si="54"/>
        <v>2022</v>
      </c>
      <c r="J828">
        <f t="shared" si="55"/>
        <v>28</v>
      </c>
      <c r="K828" s="2">
        <v>44745</v>
      </c>
      <c r="L828" s="2" t="s">
        <v>23</v>
      </c>
      <c r="M828" t="s">
        <v>2493</v>
      </c>
      <c r="N828" t="s">
        <v>2494</v>
      </c>
      <c r="O828" s="9" t="str">
        <f ca="1">IFERROR(__xludf.DUMMYFUNCTION("GOOGLETRANSLATE(D510,""ru"",""en"")"),"Meduses approach the beaches in the south of Israel")</f>
        <v>Meduses approach the beaches in the south of Israel</v>
      </c>
      <c r="P828">
        <v>1</v>
      </c>
      <c r="R828">
        <f t="shared" si="56"/>
        <v>18</v>
      </c>
      <c r="S828">
        <f t="shared" si="57"/>
        <v>0</v>
      </c>
    </row>
    <row r="829" spans="1:19" x14ac:dyDescent="0.2">
      <c r="A829" s="12">
        <v>66</v>
      </c>
      <c r="B829" s="12" t="s">
        <v>2495</v>
      </c>
      <c r="C829" s="12" t="s">
        <v>661</v>
      </c>
      <c r="D829" s="13" t="s">
        <v>2496</v>
      </c>
      <c r="E829" s="13"/>
      <c r="F829" s="12" t="s">
        <v>48</v>
      </c>
      <c r="G829" s="12"/>
      <c r="H829" s="12"/>
      <c r="I829">
        <f t="shared" si="54"/>
        <v>2022</v>
      </c>
      <c r="J829">
        <f t="shared" si="55"/>
        <v>28</v>
      </c>
      <c r="K829" s="14">
        <v>44745</v>
      </c>
      <c r="L829" s="2" t="s">
        <v>23</v>
      </c>
      <c r="M829" s="12" t="s">
        <v>2497</v>
      </c>
      <c r="N829" s="12" t="s">
        <v>2498</v>
      </c>
      <c r="O829" s="9" t="str">
        <f ca="1">IFERROR(__xludf.DUMMYFUNCTION("GOOGLETRANSLATE(D514,""ru"",""en"")"),"The ""Medus season"" ended near the coast of Israel, but bathing ...")</f>
        <v>The "Medus season" ended near the coast of Israel, but bathing ...</v>
      </c>
      <c r="P829">
        <v>1</v>
      </c>
      <c r="R829">
        <f t="shared" si="56"/>
        <v>18</v>
      </c>
      <c r="S829">
        <f t="shared" si="57"/>
        <v>0</v>
      </c>
    </row>
    <row r="830" spans="1:19" x14ac:dyDescent="0.2">
      <c r="B830" t="s">
        <v>2499</v>
      </c>
      <c r="C830" t="s">
        <v>2500</v>
      </c>
      <c r="D830" t="s">
        <v>2501</v>
      </c>
      <c r="E830" t="s">
        <v>29</v>
      </c>
      <c r="F830" t="s">
        <v>30</v>
      </c>
      <c r="G830">
        <v>32.8371203553017</v>
      </c>
      <c r="H830">
        <v>34.9792189455856</v>
      </c>
      <c r="I830">
        <f t="shared" si="54"/>
        <v>2022</v>
      </c>
      <c r="J830">
        <f t="shared" si="55"/>
        <v>28</v>
      </c>
      <c r="K830" s="2">
        <v>44746</v>
      </c>
      <c r="L830" s="2" t="s">
        <v>23</v>
      </c>
      <c r="M830" t="s">
        <v>2502</v>
      </c>
      <c r="N830" t="s">
        <v>2503</v>
      </c>
      <c r="O830" s="12" t="str">
        <f ca="1">IFERROR(__xludf.DUMMYFUNCTION("GOOGLETRANSLATE(D515,""ru"",""en"")"),"Unexpectedly: Meduses appeared off the coast of Israel")</f>
        <v>Unexpectedly: Meduses appeared off the coast of Israel</v>
      </c>
      <c r="P830">
        <v>1</v>
      </c>
      <c r="R830">
        <f t="shared" si="56"/>
        <v>18</v>
      </c>
      <c r="S830">
        <f t="shared" si="57"/>
        <v>4</v>
      </c>
    </row>
    <row r="831" spans="1:19" x14ac:dyDescent="0.2">
      <c r="B831" t="s">
        <v>2499</v>
      </c>
      <c r="C831" t="s">
        <v>2500</v>
      </c>
      <c r="D831" t="s">
        <v>2501</v>
      </c>
      <c r="E831" t="s">
        <v>29</v>
      </c>
      <c r="F831" t="s">
        <v>241</v>
      </c>
      <c r="G831">
        <v>32.919146191970597</v>
      </c>
      <c r="H831">
        <v>35.079648455010798</v>
      </c>
      <c r="I831">
        <f t="shared" si="54"/>
        <v>2022</v>
      </c>
      <c r="J831">
        <f t="shared" si="55"/>
        <v>28</v>
      </c>
      <c r="K831" s="2">
        <v>44746</v>
      </c>
      <c r="L831" s="2" t="s">
        <v>23</v>
      </c>
      <c r="M831" t="s">
        <v>2502</v>
      </c>
      <c r="N831" t="s">
        <v>2503</v>
      </c>
      <c r="O831" s="9" t="str">
        <f ca="1">IFERROR(__xludf.DUMMYFUNCTION("GOOGLETRANSLATE(D520,""ru"",""en"")"),"On the Mediterranean coast of Israel, the season ended ...")</f>
        <v>On the Mediterranean coast of Israel, the season ended ...</v>
      </c>
      <c r="P831">
        <v>1</v>
      </c>
      <c r="R831">
        <f t="shared" si="56"/>
        <v>18</v>
      </c>
      <c r="S831">
        <f t="shared" si="57"/>
        <v>4</v>
      </c>
    </row>
    <row r="832" spans="1:19" x14ac:dyDescent="0.2">
      <c r="B832" t="s">
        <v>2499</v>
      </c>
      <c r="C832" t="s">
        <v>2500</v>
      </c>
      <c r="D832" t="s">
        <v>2501</v>
      </c>
      <c r="E832" t="s">
        <v>29</v>
      </c>
      <c r="F832" t="s">
        <v>707</v>
      </c>
      <c r="G832">
        <v>33.027952664741797</v>
      </c>
      <c r="H832">
        <v>35.095230833853499</v>
      </c>
      <c r="I832">
        <f t="shared" si="54"/>
        <v>2022</v>
      </c>
      <c r="J832">
        <f t="shared" si="55"/>
        <v>28</v>
      </c>
      <c r="K832" s="2">
        <v>44746</v>
      </c>
      <c r="L832" s="2" t="s">
        <v>23</v>
      </c>
      <c r="M832" t="s">
        <v>2502</v>
      </c>
      <c r="N832" t="s">
        <v>2503</v>
      </c>
      <c r="O832" s="12" t="str">
        <f ca="1">IFERROR(__xludf.DUMMYFUNCTION("GOOGLETRANSLATE(D537,""ru"",""en"")"),"Meduses scored the filters of the power plant in Ashkelon")</f>
        <v>Meduses scored the filters of the power plant in Ashkelon</v>
      </c>
      <c r="P832">
        <v>1</v>
      </c>
      <c r="R832">
        <f t="shared" si="56"/>
        <v>18</v>
      </c>
      <c r="S832">
        <f t="shared" si="57"/>
        <v>4</v>
      </c>
    </row>
    <row r="833" spans="1:19" x14ac:dyDescent="0.2">
      <c r="B833" t="s">
        <v>2499</v>
      </c>
      <c r="C833" t="s">
        <v>2500</v>
      </c>
      <c r="D833" t="s">
        <v>2501</v>
      </c>
      <c r="E833" t="s">
        <v>47</v>
      </c>
      <c r="F833" t="s">
        <v>48</v>
      </c>
      <c r="G833">
        <v>32.305869740247999</v>
      </c>
      <c r="H833">
        <v>34.842875660039503</v>
      </c>
      <c r="I833">
        <f t="shared" si="54"/>
        <v>2022</v>
      </c>
      <c r="J833">
        <f t="shared" si="55"/>
        <v>28</v>
      </c>
      <c r="K833" s="2">
        <v>44746</v>
      </c>
      <c r="L833" s="2" t="s">
        <v>23</v>
      </c>
      <c r="M833" t="s">
        <v>2502</v>
      </c>
      <c r="N833" t="s">
        <v>2503</v>
      </c>
      <c r="O833" s="9" t="str">
        <f ca="1">IFERROR(__xludf.DUMMYFUNCTION("GOOGLETRANSLATE(D542,""ru"",""en"")"),"Season of Medus on the Israeli coast of the Mediterranean Sea: at ...")</f>
        <v>Season of Medus on the Israeli coast of the Mediterranean Sea: at ...</v>
      </c>
      <c r="P833">
        <v>1</v>
      </c>
      <c r="R833">
        <f t="shared" si="56"/>
        <v>18</v>
      </c>
      <c r="S833">
        <f t="shared" si="57"/>
        <v>3</v>
      </c>
    </row>
    <row r="834" spans="1:19" x14ac:dyDescent="0.2">
      <c r="B834" t="s">
        <v>2499</v>
      </c>
      <c r="C834" t="s">
        <v>2500</v>
      </c>
      <c r="D834" t="s">
        <v>2501</v>
      </c>
      <c r="E834" s="5" t="s">
        <v>73</v>
      </c>
      <c r="F834" t="s">
        <v>74</v>
      </c>
      <c r="G834">
        <v>32.093438590230903</v>
      </c>
      <c r="H834">
        <v>34.767717357132298</v>
      </c>
      <c r="I834">
        <f t="shared" ref="I834:I897" si="58">YEAR(K834)</f>
        <v>2022</v>
      </c>
      <c r="J834">
        <f t="shared" ref="J834:J897" si="59">WEEKNUM(K834)</f>
        <v>28</v>
      </c>
      <c r="K834" s="2">
        <v>44746</v>
      </c>
      <c r="L834" s="2" t="s">
        <v>23</v>
      </c>
      <c r="M834" t="s">
        <v>2502</v>
      </c>
      <c r="N834" t="s">
        <v>2503</v>
      </c>
      <c r="O834" s="9" t="str">
        <f ca="1">IFERROR(__xludf.DUMMYFUNCTION("GOOGLETRANSLATE(D556,""ru"",""en"")"),"On the Mediterranean coast of Israel, the season begins ...")</f>
        <v>On the Mediterranean coast of Israel, the season begins ...</v>
      </c>
      <c r="P834">
        <v>1</v>
      </c>
      <c r="R834">
        <f t="shared" si="56"/>
        <v>18</v>
      </c>
      <c r="S834">
        <f t="shared" si="57"/>
        <v>3</v>
      </c>
    </row>
    <row r="835" spans="1:19" x14ac:dyDescent="0.2">
      <c r="B835" t="s">
        <v>2504</v>
      </c>
      <c r="C835" t="s">
        <v>2505</v>
      </c>
      <c r="D835" t="s">
        <v>2506</v>
      </c>
      <c r="E835" s="5" t="s">
        <v>73</v>
      </c>
      <c r="F835" t="s">
        <v>74</v>
      </c>
      <c r="G835">
        <v>32.093438590230903</v>
      </c>
      <c r="H835">
        <v>34.767717357132298</v>
      </c>
      <c r="I835">
        <f t="shared" si="58"/>
        <v>2022</v>
      </c>
      <c r="J835">
        <f t="shared" si="59"/>
        <v>28</v>
      </c>
      <c r="K835" s="2">
        <v>44746</v>
      </c>
      <c r="L835" s="2" t="s">
        <v>23</v>
      </c>
      <c r="M835" t="s">
        <v>2507</v>
      </c>
      <c r="N835" t="s">
        <v>2508</v>
      </c>
      <c r="O835" s="12" t="str">
        <f ca="1">IFERROR(__xludf.DUMMYFUNCTION("GOOGLETRANSLATE(D170,""ru"",""en"")"),"A gigantic cluster of jellyfish moves to the shores of Israel")</f>
        <v>A gigantic cluster of jellyfish moves to the shores of Israel</v>
      </c>
      <c r="P835">
        <v>1</v>
      </c>
      <c r="R835">
        <f t="shared" si="56"/>
        <v>18</v>
      </c>
      <c r="S835">
        <f t="shared" si="57"/>
        <v>3</v>
      </c>
    </row>
    <row r="836" spans="1:19" x14ac:dyDescent="0.2">
      <c r="A836" s="9">
        <v>25</v>
      </c>
      <c r="B836" s="9" t="s">
        <v>2509</v>
      </c>
      <c r="C836" s="9" t="s">
        <v>1824</v>
      </c>
      <c r="D836" s="10" t="s">
        <v>2510</v>
      </c>
      <c r="E836" s="10"/>
      <c r="F836" s="9"/>
      <c r="G836" s="9"/>
      <c r="H836" s="9"/>
      <c r="I836">
        <f t="shared" si="58"/>
        <v>2022</v>
      </c>
      <c r="J836">
        <f t="shared" si="59"/>
        <v>28</v>
      </c>
      <c r="K836" s="11">
        <v>44746</v>
      </c>
      <c r="L836" s="2" t="s">
        <v>23</v>
      </c>
      <c r="M836" s="9" t="s">
        <v>2511</v>
      </c>
      <c r="N836" s="9" t="s">
        <v>2512</v>
      </c>
      <c r="O836" s="12" t="str">
        <f ca="1">IFERROR(__xludf.DUMMYFUNCTION("GOOGLETRANSLATE(D545,""ru"",""en"")"),"Video: Medus invasion threatens power plants in Ashkelon")</f>
        <v>Video: Medus invasion threatens power plants in Ashkelon</v>
      </c>
      <c r="P836">
        <v>1</v>
      </c>
      <c r="R836">
        <f t="shared" si="56"/>
        <v>18</v>
      </c>
      <c r="S836">
        <f t="shared" si="57"/>
        <v>0</v>
      </c>
    </row>
    <row r="837" spans="1:19" x14ac:dyDescent="0.2">
      <c r="A837" s="9">
        <v>86</v>
      </c>
      <c r="B837" s="9" t="s">
        <v>2513</v>
      </c>
      <c r="C837" s="9" t="s">
        <v>555</v>
      </c>
      <c r="D837" s="10" t="s">
        <v>2514</v>
      </c>
      <c r="E837" s="10"/>
      <c r="F837" s="9"/>
      <c r="G837" s="9"/>
      <c r="H837" s="9"/>
      <c r="I837">
        <f t="shared" si="58"/>
        <v>2022</v>
      </c>
      <c r="J837">
        <f t="shared" si="59"/>
        <v>28</v>
      </c>
      <c r="K837" s="11">
        <v>44746</v>
      </c>
      <c r="L837" s="2" t="s">
        <v>23</v>
      </c>
      <c r="M837" s="9" t="s">
        <v>2515</v>
      </c>
      <c r="N837" s="9" t="s">
        <v>2516</v>
      </c>
      <c r="O837" s="12" t="str">
        <f ca="1">IFERROR(__xludf.DUMMYFUNCTION("GOOGLETRANSLATE(D581,""ru"",""en"")"),"Hordes of Medus sailed to the shores of Israel among winter")</f>
        <v>Hordes of Medus sailed to the shores of Israel among winter</v>
      </c>
      <c r="P837">
        <v>1</v>
      </c>
      <c r="R837">
        <f t="shared" si="56"/>
        <v>18</v>
      </c>
      <c r="S837">
        <f t="shared" si="57"/>
        <v>0</v>
      </c>
    </row>
    <row r="838" spans="1:19" x14ac:dyDescent="0.2">
      <c r="A838" s="9">
        <v>324</v>
      </c>
      <c r="B838" s="9" t="s">
        <v>2517</v>
      </c>
      <c r="C838" s="9" t="s">
        <v>2518</v>
      </c>
      <c r="D838" s="9" t="s">
        <v>2519</v>
      </c>
      <c r="E838" s="9"/>
      <c r="F838" s="9"/>
      <c r="I838">
        <f t="shared" si="58"/>
        <v>2022</v>
      </c>
      <c r="J838">
        <f t="shared" si="59"/>
        <v>28</v>
      </c>
      <c r="K838" s="16">
        <v>44746</v>
      </c>
      <c r="L838" s="2" t="s">
        <v>23</v>
      </c>
      <c r="M838" s="10" t="s">
        <v>2520</v>
      </c>
      <c r="N838" s="9" t="s">
        <v>2521</v>
      </c>
      <c r="O838" s="9" t="str">
        <f ca="1">IFERROR(__xludf.DUMMYFUNCTION("GOOGLETRANSLATE(D586,""ru"",""en"")"),"The Medus season ends near the Mediterranean coast ...")</f>
        <v>The Medus season ends near the Mediterranean coast ...</v>
      </c>
      <c r="P838">
        <v>1</v>
      </c>
      <c r="R838">
        <f t="shared" si="56"/>
        <v>18</v>
      </c>
      <c r="S838">
        <f t="shared" si="57"/>
        <v>0</v>
      </c>
    </row>
    <row r="839" spans="1:19" x14ac:dyDescent="0.2">
      <c r="A839" s="1">
        <v>134</v>
      </c>
      <c r="B839" t="s">
        <v>2522</v>
      </c>
      <c r="C839" t="s">
        <v>1077</v>
      </c>
      <c r="D839" t="s">
        <v>2523</v>
      </c>
      <c r="E839" t="s">
        <v>47</v>
      </c>
      <c r="F839" t="s">
        <v>48</v>
      </c>
      <c r="G839">
        <v>32.305869740247999</v>
      </c>
      <c r="H839">
        <v>34.842875660039503</v>
      </c>
      <c r="I839">
        <f t="shared" si="58"/>
        <v>2022</v>
      </c>
      <c r="J839">
        <f t="shared" si="59"/>
        <v>28</v>
      </c>
      <c r="K839" s="2">
        <v>44748</v>
      </c>
      <c r="L839" s="2" t="s">
        <v>23</v>
      </c>
      <c r="M839" t="s">
        <v>2524</v>
      </c>
      <c r="N839" t="s">
        <v>2525</v>
      </c>
      <c r="O839" s="9" t="str">
        <f ca="1">IFERROR(__xludf.DUMMYFUNCTION("GOOGLETRANSLATE(D590,""ru"",""en"")"),"Where did the jellyfish come from in Israel and how to treat burns correctly ...")</f>
        <v>Where did the jellyfish come from in Israel and how to treat burns correctly ...</v>
      </c>
      <c r="P839">
        <v>1</v>
      </c>
      <c r="R839">
        <f t="shared" si="56"/>
        <v>18</v>
      </c>
      <c r="S839">
        <f t="shared" si="57"/>
        <v>3</v>
      </c>
    </row>
    <row r="840" spans="1:19" x14ac:dyDescent="0.2">
      <c r="A840" s="9">
        <v>22</v>
      </c>
      <c r="B840" s="9" t="s">
        <v>2526</v>
      </c>
      <c r="C840" s="9" t="s">
        <v>331</v>
      </c>
      <c r="D840" s="10" t="s">
        <v>2527</v>
      </c>
      <c r="E840" s="10" t="s">
        <v>21</v>
      </c>
      <c r="F840" s="9" t="s">
        <v>643</v>
      </c>
      <c r="G840" s="9"/>
      <c r="H840" s="9"/>
      <c r="I840">
        <f t="shared" si="58"/>
        <v>2022</v>
      </c>
      <c r="J840">
        <f t="shared" si="59"/>
        <v>28</v>
      </c>
      <c r="K840" s="11">
        <v>44749</v>
      </c>
      <c r="L840" s="2" t="s">
        <v>23</v>
      </c>
      <c r="M840" s="9" t="s">
        <v>2528</v>
      </c>
      <c r="N840" s="9" t="s">
        <v>2529</v>
      </c>
      <c r="O840" s="9" t="str">
        <f ca="1">IFERROR(__xludf.DUMMYFUNCTION("GOOGLETRANSLATE(D557,""ru"",""en"")"),"Warning: off the coast of Israel new jellyfish, not ...")</f>
        <v>Warning: off the coast of Israel new jellyfish, not ...</v>
      </c>
      <c r="P840">
        <v>1</v>
      </c>
      <c r="R840">
        <f t="shared" ref="R840:R885" si="60">COUNTIFS($J$2:$J$997,J840,$I$2:$I$997,I840)</f>
        <v>18</v>
      </c>
      <c r="S840">
        <f t="shared" ref="S840:S885" si="61">COUNTIFS($J$2:$J$997,J840,$I$2:$I$997,I840,$E$2:$E$997,E840)</f>
        <v>2</v>
      </c>
    </row>
    <row r="841" spans="1:19" x14ac:dyDescent="0.2">
      <c r="A841" s="9">
        <v>22</v>
      </c>
      <c r="B841" s="9" t="s">
        <v>2526</v>
      </c>
      <c r="C841" s="9" t="s">
        <v>331</v>
      </c>
      <c r="D841" s="10" t="s">
        <v>2527</v>
      </c>
      <c r="E841" s="13" t="s">
        <v>73</v>
      </c>
      <c r="F841" s="9" t="s">
        <v>643</v>
      </c>
      <c r="G841" s="9"/>
      <c r="H841" s="9"/>
      <c r="I841">
        <f t="shared" si="58"/>
        <v>2022</v>
      </c>
      <c r="J841">
        <f t="shared" si="59"/>
        <v>28</v>
      </c>
      <c r="K841" s="11">
        <v>44749</v>
      </c>
      <c r="L841" s="2" t="s">
        <v>23</v>
      </c>
      <c r="M841" s="9" t="s">
        <v>2528</v>
      </c>
      <c r="N841" s="9" t="s">
        <v>2529</v>
      </c>
      <c r="O841" s="9" t="str">
        <f ca="1">IFERROR(__xludf.DUMMYFUNCTION("GOOGLETRANSLATE(D557,""ru"",""en"")"),"Warning: off the coast of Israel new jellyfish, not ...")</f>
        <v>Warning: off the coast of Israel new jellyfish, not ...</v>
      </c>
      <c r="P841">
        <v>1</v>
      </c>
      <c r="R841">
        <f t="shared" si="60"/>
        <v>18</v>
      </c>
      <c r="S841">
        <f t="shared" si="61"/>
        <v>3</v>
      </c>
    </row>
    <row r="842" spans="1:19" x14ac:dyDescent="0.2">
      <c r="A842" s="9">
        <v>22</v>
      </c>
      <c r="B842" s="9" t="s">
        <v>2526</v>
      </c>
      <c r="C842" s="9" t="s">
        <v>331</v>
      </c>
      <c r="D842" s="10" t="s">
        <v>2527</v>
      </c>
      <c r="E842" s="12" t="s">
        <v>29</v>
      </c>
      <c r="F842" s="9" t="s">
        <v>643</v>
      </c>
      <c r="G842" s="9"/>
      <c r="H842" s="9"/>
      <c r="I842">
        <f t="shared" si="58"/>
        <v>2022</v>
      </c>
      <c r="J842">
        <f t="shared" si="59"/>
        <v>28</v>
      </c>
      <c r="K842" s="11">
        <v>44749</v>
      </c>
      <c r="L842" s="2" t="s">
        <v>23</v>
      </c>
      <c r="M842" s="9" t="s">
        <v>2528</v>
      </c>
      <c r="N842" s="9" t="s">
        <v>2529</v>
      </c>
      <c r="O842" s="9" t="str">
        <f ca="1">IFERROR(__xludf.DUMMYFUNCTION("GOOGLETRANSLATE(D557,""ru"",""en"")"),"Warning: off the coast of Israel new jellyfish, not ...")</f>
        <v>Warning: off the coast of Israel new jellyfish, not ...</v>
      </c>
      <c r="P842">
        <v>1</v>
      </c>
      <c r="R842">
        <f t="shared" si="60"/>
        <v>18</v>
      </c>
      <c r="S842">
        <f t="shared" si="61"/>
        <v>4</v>
      </c>
    </row>
    <row r="843" spans="1:19" x14ac:dyDescent="0.2">
      <c r="A843" s="9">
        <v>22</v>
      </c>
      <c r="B843" s="9" t="s">
        <v>2526</v>
      </c>
      <c r="C843" s="9" t="s">
        <v>331</v>
      </c>
      <c r="D843" s="10" t="s">
        <v>2527</v>
      </c>
      <c r="E843" s="9" t="s">
        <v>100</v>
      </c>
      <c r="F843" s="9" t="s">
        <v>643</v>
      </c>
      <c r="G843" s="9"/>
      <c r="H843" s="9"/>
      <c r="I843">
        <f t="shared" si="58"/>
        <v>2022</v>
      </c>
      <c r="J843">
        <f t="shared" si="59"/>
        <v>28</v>
      </c>
      <c r="K843" s="11">
        <v>44749</v>
      </c>
      <c r="L843" s="2" t="s">
        <v>23</v>
      </c>
      <c r="M843" s="9" t="s">
        <v>2528</v>
      </c>
      <c r="N843" s="9" t="s">
        <v>2529</v>
      </c>
      <c r="O843" s="9" t="str">
        <f ca="1">IFERROR(__xludf.DUMMYFUNCTION("GOOGLETRANSLATE(D557,""ru"",""en"")"),"Warning: off the coast of Israel new jellyfish, not ...")</f>
        <v>Warning: off the coast of Israel new jellyfish, not ...</v>
      </c>
      <c r="P843">
        <v>1</v>
      </c>
      <c r="R843">
        <f t="shared" si="60"/>
        <v>18</v>
      </c>
      <c r="S843">
        <f t="shared" si="61"/>
        <v>1</v>
      </c>
    </row>
    <row r="844" spans="1:19" x14ac:dyDescent="0.2">
      <c r="A844" s="9">
        <v>22</v>
      </c>
      <c r="B844" s="9" t="s">
        <v>2526</v>
      </c>
      <c r="C844" s="9" t="s">
        <v>331</v>
      </c>
      <c r="D844" s="10" t="s">
        <v>2527</v>
      </c>
      <c r="E844" s="10" t="s">
        <v>47</v>
      </c>
      <c r="F844" s="9" t="s">
        <v>643</v>
      </c>
      <c r="G844" s="9"/>
      <c r="H844" s="9"/>
      <c r="I844">
        <f t="shared" si="58"/>
        <v>2022</v>
      </c>
      <c r="J844">
        <f t="shared" si="59"/>
        <v>28</v>
      </c>
      <c r="K844" s="11">
        <v>44749</v>
      </c>
      <c r="L844" s="2" t="s">
        <v>23</v>
      </c>
      <c r="M844" s="9" t="s">
        <v>2528</v>
      </c>
      <c r="N844" s="9" t="s">
        <v>2529</v>
      </c>
      <c r="O844" s="9" t="str">
        <f ca="1">IFERROR(__xludf.DUMMYFUNCTION("GOOGLETRANSLATE(D557,""ru"",""en"")"),"Warning: off the coast of Israel new jellyfish, not ...")</f>
        <v>Warning: off the coast of Israel new jellyfish, not ...</v>
      </c>
      <c r="P844">
        <v>1</v>
      </c>
      <c r="R844">
        <f t="shared" si="60"/>
        <v>18</v>
      </c>
      <c r="S844">
        <f t="shared" si="61"/>
        <v>3</v>
      </c>
    </row>
    <row r="845" spans="1:19" x14ac:dyDescent="0.2">
      <c r="A845" s="12">
        <v>32</v>
      </c>
      <c r="B845" s="12" t="s">
        <v>2530</v>
      </c>
      <c r="C845" s="12" t="s">
        <v>458</v>
      </c>
      <c r="D845" s="13" t="s">
        <v>2531</v>
      </c>
      <c r="E845" s="4" t="s">
        <v>21</v>
      </c>
      <c r="F845" s="12" t="s">
        <v>22</v>
      </c>
      <c r="G845" s="12"/>
      <c r="H845" s="12"/>
      <c r="I845">
        <f t="shared" si="58"/>
        <v>2022</v>
      </c>
      <c r="J845">
        <f t="shared" si="59"/>
        <v>28</v>
      </c>
      <c r="K845" s="14">
        <v>44751</v>
      </c>
      <c r="L845" s="2" t="s">
        <v>23</v>
      </c>
      <c r="M845" s="12" t="s">
        <v>2532</v>
      </c>
      <c r="N845" s="12" t="s">
        <v>2533</v>
      </c>
      <c r="O845" s="12" t="s">
        <v>2534</v>
      </c>
      <c r="P845" s="12">
        <v>1</v>
      </c>
      <c r="R845">
        <f t="shared" si="60"/>
        <v>18</v>
      </c>
      <c r="S845">
        <f t="shared" si="61"/>
        <v>2</v>
      </c>
    </row>
    <row r="846" spans="1:19" x14ac:dyDescent="0.2">
      <c r="A846">
        <v>573</v>
      </c>
      <c r="B846" t="s">
        <v>2535</v>
      </c>
      <c r="C846" t="s">
        <v>2536</v>
      </c>
      <c r="D846" t="s">
        <v>2537</v>
      </c>
      <c r="E846" t="s">
        <v>47</v>
      </c>
      <c r="F846" t="s">
        <v>48</v>
      </c>
      <c r="G846">
        <v>32.305869740247999</v>
      </c>
      <c r="H846">
        <v>34.842875660039503</v>
      </c>
      <c r="I846">
        <f t="shared" si="58"/>
        <v>2022</v>
      </c>
      <c r="J846">
        <f t="shared" si="59"/>
        <v>29</v>
      </c>
      <c r="K846" s="2">
        <v>44752</v>
      </c>
      <c r="L846" s="2" t="s">
        <v>23</v>
      </c>
      <c r="M846" t="s">
        <v>2538</v>
      </c>
      <c r="N846" t="s">
        <v>2539</v>
      </c>
      <c r="O846" s="9" t="s">
        <v>2540</v>
      </c>
      <c r="P846" s="9">
        <v>1</v>
      </c>
      <c r="R846">
        <f t="shared" si="60"/>
        <v>10</v>
      </c>
      <c r="S846">
        <f t="shared" si="61"/>
        <v>2</v>
      </c>
    </row>
    <row r="847" spans="1:19" x14ac:dyDescent="0.2">
      <c r="A847" s="9">
        <v>140</v>
      </c>
      <c r="B847" s="9" t="s">
        <v>2541</v>
      </c>
      <c r="C847" s="9" t="s">
        <v>2542</v>
      </c>
      <c r="D847" s="9" t="s">
        <v>2543</v>
      </c>
      <c r="E847" s="9" t="s">
        <v>29</v>
      </c>
      <c r="F847" s="9" t="s">
        <v>150</v>
      </c>
      <c r="I847">
        <f t="shared" si="58"/>
        <v>2022</v>
      </c>
      <c r="J847">
        <f t="shared" si="59"/>
        <v>29</v>
      </c>
      <c r="K847" s="16">
        <v>44753</v>
      </c>
      <c r="L847" s="2" t="s">
        <v>23</v>
      </c>
      <c r="M847" s="9" t="s">
        <v>2544</v>
      </c>
      <c r="N847" s="9" t="s">
        <v>2545</v>
      </c>
      <c r="O847" s="12" t="str">
        <f ca="1">IFERROR(__xludf.DUMMYFUNCTION("GOOGLETRANSLATE(D22,""ru"",""en"")"),"Medusa off the coast of Israel | Life Style | MIGNEWS - MIGNEWS - News of Israel and Peace in Russian")</f>
        <v>Medusa off the coast of Israel | Life Style | MIGNEWS - MIGNEWS - News of Israel and Peace in Russian</v>
      </c>
      <c r="P847" s="12">
        <v>1</v>
      </c>
      <c r="R847">
        <f t="shared" si="60"/>
        <v>10</v>
      </c>
      <c r="S847">
        <f t="shared" si="61"/>
        <v>4</v>
      </c>
    </row>
    <row r="848" spans="1:19" x14ac:dyDescent="0.2">
      <c r="A848">
        <v>763</v>
      </c>
      <c r="B848" t="s">
        <v>2546</v>
      </c>
      <c r="C848" t="s">
        <v>1840</v>
      </c>
      <c r="D848" t="s">
        <v>2109</v>
      </c>
      <c r="E848" s="5" t="s">
        <v>47</v>
      </c>
      <c r="F848" t="s">
        <v>2547</v>
      </c>
      <c r="G848">
        <v>32.305869740247999</v>
      </c>
      <c r="H848">
        <v>34.842875660039503</v>
      </c>
      <c r="I848">
        <f t="shared" si="58"/>
        <v>2022</v>
      </c>
      <c r="J848">
        <f t="shared" si="59"/>
        <v>29</v>
      </c>
      <c r="K848" s="2">
        <v>44754</v>
      </c>
      <c r="L848" s="2" t="s">
        <v>23</v>
      </c>
      <c r="M848" t="s">
        <v>2548</v>
      </c>
      <c r="N848" t="s">
        <v>1843</v>
      </c>
      <c r="O848" s="9" t="str">
        <f ca="1">IFERROR(__xludf.DUMMYFUNCTION("GOOGLETRANSLATE(D47,""ru"",""en"")"),"Hordes of Medus are approaching the coast of Israel | Travel | MIGNEWS - MIGNEWS - News of Israel and Peace in Russian")</f>
        <v>Hordes of Medus are approaching the coast of Israel | Travel | MIGNEWS - MIGNEWS - News of Israel and Peace in Russian</v>
      </c>
      <c r="P848" s="9">
        <v>1</v>
      </c>
      <c r="R848">
        <f t="shared" si="60"/>
        <v>10</v>
      </c>
      <c r="S848">
        <f t="shared" si="61"/>
        <v>2</v>
      </c>
    </row>
    <row r="849" spans="1:19" x14ac:dyDescent="0.2">
      <c r="A849" s="9">
        <v>267</v>
      </c>
      <c r="B849" s="9" t="s">
        <v>2549</v>
      </c>
      <c r="C849" s="9" t="s">
        <v>2218</v>
      </c>
      <c r="D849" s="9" t="s">
        <v>2550</v>
      </c>
      <c r="E849" s="9" t="s">
        <v>29</v>
      </c>
      <c r="F849" s="9" t="s">
        <v>150</v>
      </c>
      <c r="I849">
        <f t="shared" si="58"/>
        <v>2022</v>
      </c>
      <c r="J849">
        <f t="shared" si="59"/>
        <v>29</v>
      </c>
      <c r="K849" s="16">
        <v>44754</v>
      </c>
      <c r="L849" s="2" t="s">
        <v>23</v>
      </c>
      <c r="M849" s="9" t="s">
        <v>2551</v>
      </c>
      <c r="N849" s="9" t="s">
        <v>2552</v>
      </c>
      <c r="O849" s="12" t="str">
        <f ca="1">IFERROR(__xludf.DUMMYFUNCTION("GOOGLETRANSLATE(D77,""ru"",""en"")"),"Meduses leave the beaches of Israel | Travel | MIGNEWS - MIGNEWS - News of Israel and Peace in Russian")</f>
        <v>Meduses leave the beaches of Israel | Travel | MIGNEWS - MIGNEWS - News of Israel and Peace in Russian</v>
      </c>
      <c r="P849" s="12">
        <v>1</v>
      </c>
      <c r="R849">
        <f t="shared" si="60"/>
        <v>10</v>
      </c>
      <c r="S849">
        <f t="shared" si="61"/>
        <v>4</v>
      </c>
    </row>
    <row r="850" spans="1:19" x14ac:dyDescent="0.2">
      <c r="A850">
        <v>33</v>
      </c>
      <c r="B850" t="s">
        <v>2553</v>
      </c>
      <c r="C850" t="s">
        <v>370</v>
      </c>
      <c r="D850" t="s">
        <v>2554</v>
      </c>
      <c r="E850" s="4" t="s">
        <v>21</v>
      </c>
      <c r="F850" t="s">
        <v>64</v>
      </c>
      <c r="G850">
        <v>31.8169667122236</v>
      </c>
      <c r="H850">
        <v>34.639611775767101</v>
      </c>
      <c r="I850">
        <f t="shared" si="58"/>
        <v>2022</v>
      </c>
      <c r="J850">
        <f t="shared" si="59"/>
        <v>29</v>
      </c>
      <c r="K850" s="2">
        <v>44755</v>
      </c>
      <c r="L850" s="2" t="s">
        <v>23</v>
      </c>
      <c r="M850" t="s">
        <v>2555</v>
      </c>
      <c r="N850" t="s">
        <v>2556</v>
      </c>
      <c r="O850" s="9" t="s">
        <v>2557</v>
      </c>
      <c r="P850" s="9">
        <v>1</v>
      </c>
      <c r="R850">
        <f t="shared" si="60"/>
        <v>10</v>
      </c>
      <c r="S850">
        <f t="shared" si="61"/>
        <v>2</v>
      </c>
    </row>
    <row r="851" spans="1:19" x14ac:dyDescent="0.2">
      <c r="A851">
        <v>33</v>
      </c>
      <c r="B851" t="s">
        <v>2553</v>
      </c>
      <c r="C851" t="s">
        <v>370</v>
      </c>
      <c r="D851" t="s">
        <v>2554</v>
      </c>
      <c r="E851" s="4" t="s">
        <v>21</v>
      </c>
      <c r="F851" t="s">
        <v>22</v>
      </c>
      <c r="G851">
        <v>31.681438420965801</v>
      </c>
      <c r="H851">
        <v>34.554694789741902</v>
      </c>
      <c r="I851">
        <f t="shared" si="58"/>
        <v>2022</v>
      </c>
      <c r="J851">
        <f t="shared" si="59"/>
        <v>29</v>
      </c>
      <c r="K851" s="2">
        <v>44755</v>
      </c>
      <c r="L851" s="2" t="s">
        <v>23</v>
      </c>
      <c r="M851" t="s">
        <v>2555</v>
      </c>
      <c r="N851" t="s">
        <v>2556</v>
      </c>
      <c r="O851" s="12" t="s">
        <v>2558</v>
      </c>
      <c r="P851" s="12">
        <v>1</v>
      </c>
      <c r="R851">
        <f t="shared" si="60"/>
        <v>10</v>
      </c>
      <c r="S851">
        <f t="shared" si="61"/>
        <v>2</v>
      </c>
    </row>
    <row r="852" spans="1:19" x14ac:dyDescent="0.2">
      <c r="A852"/>
      <c r="B852" t="s">
        <v>2559</v>
      </c>
      <c r="C852" t="s">
        <v>2483</v>
      </c>
      <c r="D852" t="s">
        <v>2560</v>
      </c>
      <c r="I852">
        <f t="shared" si="58"/>
        <v>2022</v>
      </c>
      <c r="J852">
        <f t="shared" si="59"/>
        <v>29</v>
      </c>
      <c r="K852" s="2">
        <v>44755</v>
      </c>
      <c r="L852" s="2" t="s">
        <v>23</v>
      </c>
      <c r="M852" t="s">
        <v>2561</v>
      </c>
      <c r="N852" t="s">
        <v>2562</v>
      </c>
      <c r="O852" s="9" t="s">
        <v>2563</v>
      </c>
      <c r="P852" s="9">
        <v>1</v>
      </c>
      <c r="R852">
        <f t="shared" si="60"/>
        <v>10</v>
      </c>
      <c r="S852">
        <f t="shared" si="61"/>
        <v>0</v>
      </c>
    </row>
    <row r="853" spans="1:19" x14ac:dyDescent="0.2">
      <c r="A853" s="9">
        <v>143</v>
      </c>
      <c r="B853" s="9" t="s">
        <v>2564</v>
      </c>
      <c r="C853" s="9" t="s">
        <v>625</v>
      </c>
      <c r="D853" s="10" t="s">
        <v>2565</v>
      </c>
      <c r="E853" s="10"/>
      <c r="F853" s="9"/>
      <c r="G853" s="9"/>
      <c r="H853" s="9"/>
      <c r="I853">
        <f t="shared" si="58"/>
        <v>2022</v>
      </c>
      <c r="J853">
        <f t="shared" si="59"/>
        <v>29</v>
      </c>
      <c r="K853" s="11">
        <v>44755</v>
      </c>
      <c r="L853" s="2" t="s">
        <v>23</v>
      </c>
      <c r="M853" s="9" t="s">
        <v>2566</v>
      </c>
      <c r="N853" s="9" t="s">
        <v>2567</v>
      </c>
      <c r="O853" s="12" t="s">
        <v>2568</v>
      </c>
      <c r="P853" s="12">
        <v>1</v>
      </c>
      <c r="R853">
        <f t="shared" si="60"/>
        <v>10</v>
      </c>
      <c r="S853">
        <f t="shared" si="61"/>
        <v>0</v>
      </c>
    </row>
    <row r="854" spans="1:19" x14ac:dyDescent="0.2">
      <c r="A854">
        <v>8</v>
      </c>
      <c r="B854" t="s">
        <v>2569</v>
      </c>
      <c r="D854" t="s">
        <v>2570</v>
      </c>
      <c r="E854" t="s">
        <v>29</v>
      </c>
      <c r="F854" t="s">
        <v>30</v>
      </c>
      <c r="G854">
        <v>32.8371203553017</v>
      </c>
      <c r="H854">
        <v>34.9792189455856</v>
      </c>
      <c r="I854">
        <f t="shared" si="58"/>
        <v>2022</v>
      </c>
      <c r="J854">
        <f t="shared" si="59"/>
        <v>29</v>
      </c>
      <c r="K854" s="2">
        <v>44756</v>
      </c>
      <c r="L854" s="2" t="s">
        <v>23</v>
      </c>
      <c r="M854" t="s">
        <v>2571</v>
      </c>
      <c r="N854" t="s">
        <v>2572</v>
      </c>
      <c r="O854" s="9"/>
      <c r="P854" s="9">
        <v>1</v>
      </c>
      <c r="R854">
        <f t="shared" si="60"/>
        <v>10</v>
      </c>
      <c r="S854">
        <f t="shared" si="61"/>
        <v>4</v>
      </c>
    </row>
    <row r="855" spans="1:19" x14ac:dyDescent="0.2">
      <c r="A855">
        <v>241</v>
      </c>
      <c r="B855" t="s">
        <v>2573</v>
      </c>
      <c r="C855" t="s">
        <v>2574</v>
      </c>
      <c r="D855" t="s">
        <v>2575</v>
      </c>
      <c r="E855" t="s">
        <v>29</v>
      </c>
      <c r="F855" t="s">
        <v>30</v>
      </c>
      <c r="G855">
        <v>32.8371203553017</v>
      </c>
      <c r="H855">
        <v>34.9792189455856</v>
      </c>
      <c r="I855">
        <f t="shared" si="58"/>
        <v>2022</v>
      </c>
      <c r="J855">
        <f t="shared" si="59"/>
        <v>29</v>
      </c>
      <c r="K855" s="2">
        <v>44756</v>
      </c>
      <c r="L855" s="2" t="s">
        <v>23</v>
      </c>
      <c r="M855" t="s">
        <v>2576</v>
      </c>
      <c r="N855" t="s">
        <v>2577</v>
      </c>
      <c r="O855" s="12"/>
      <c r="P855" s="12">
        <v>1</v>
      </c>
      <c r="R855">
        <f t="shared" si="60"/>
        <v>10</v>
      </c>
      <c r="S855">
        <f t="shared" si="61"/>
        <v>4</v>
      </c>
    </row>
    <row r="856" spans="1:19" x14ac:dyDescent="0.2">
      <c r="A856">
        <v>108</v>
      </c>
      <c r="B856" t="s">
        <v>2578</v>
      </c>
      <c r="C856" t="s">
        <v>287</v>
      </c>
      <c r="D856" t="s">
        <v>2579</v>
      </c>
      <c r="E856" s="4" t="s">
        <v>21</v>
      </c>
      <c r="F856" t="s">
        <v>64</v>
      </c>
      <c r="G856">
        <v>31.8169667122236</v>
      </c>
      <c r="H856">
        <v>34.639611775767101</v>
      </c>
      <c r="I856">
        <f t="shared" si="58"/>
        <v>2022</v>
      </c>
      <c r="J856">
        <f t="shared" si="59"/>
        <v>30</v>
      </c>
      <c r="K856" s="2">
        <v>44759</v>
      </c>
      <c r="L856" s="2" t="s">
        <v>23</v>
      </c>
      <c r="M856" t="s">
        <v>2580</v>
      </c>
      <c r="N856" t="s">
        <v>2581</v>
      </c>
      <c r="O856" s="9"/>
      <c r="P856" s="9">
        <v>1</v>
      </c>
      <c r="R856">
        <f t="shared" si="60"/>
        <v>79</v>
      </c>
      <c r="S856">
        <f t="shared" si="61"/>
        <v>3</v>
      </c>
    </row>
    <row r="857" spans="1:19" x14ac:dyDescent="0.2">
      <c r="A857">
        <v>108</v>
      </c>
      <c r="B857" t="s">
        <v>2578</v>
      </c>
      <c r="C857" t="s">
        <v>287</v>
      </c>
      <c r="D857" t="s">
        <v>2579</v>
      </c>
      <c r="E857" t="s">
        <v>29</v>
      </c>
      <c r="F857" t="s">
        <v>1068</v>
      </c>
      <c r="G857">
        <v>32.8371203553017</v>
      </c>
      <c r="H857">
        <v>34.9792189455856</v>
      </c>
      <c r="I857">
        <f t="shared" si="58"/>
        <v>2022</v>
      </c>
      <c r="J857">
        <f t="shared" si="59"/>
        <v>30</v>
      </c>
      <c r="K857" s="2">
        <v>44759</v>
      </c>
      <c r="L857" s="2" t="s">
        <v>23</v>
      </c>
      <c r="M857" t="s">
        <v>2580</v>
      </c>
      <c r="N857" t="s">
        <v>2581</v>
      </c>
      <c r="O857" s="12" t="str">
        <f ca="1">IFERROR(__xludf.DUMMYFUNCTION("GOOGLETRANSLATE(D43,""ru"",""en"")"),"ᐈ The coast of Israel was filled with jellyfish. Which species is better not to meet?")</f>
        <v>ᐈ The coast of Israel was filled with jellyfish. Which species is better not to meet?</v>
      </c>
      <c r="P857" s="12">
        <v>1</v>
      </c>
      <c r="R857">
        <f t="shared" si="60"/>
        <v>79</v>
      </c>
      <c r="S857">
        <f t="shared" si="61"/>
        <v>64</v>
      </c>
    </row>
    <row r="858" spans="1:19" x14ac:dyDescent="0.2">
      <c r="A858">
        <v>108</v>
      </c>
      <c r="B858" t="s">
        <v>2578</v>
      </c>
      <c r="C858" t="s">
        <v>287</v>
      </c>
      <c r="D858" t="s">
        <v>2579</v>
      </c>
      <c r="E858" s="5" t="s">
        <v>100</v>
      </c>
      <c r="F858" t="s">
        <v>2582</v>
      </c>
      <c r="G858">
        <v>32.643262556012701</v>
      </c>
      <c r="H858">
        <v>34.924205598541697</v>
      </c>
      <c r="I858">
        <f t="shared" si="58"/>
        <v>2022</v>
      </c>
      <c r="J858">
        <f t="shared" si="59"/>
        <v>30</v>
      </c>
      <c r="K858" s="2">
        <v>44759</v>
      </c>
      <c r="L858" s="2" t="s">
        <v>23</v>
      </c>
      <c r="M858" t="s">
        <v>2580</v>
      </c>
      <c r="N858" t="s">
        <v>2581</v>
      </c>
      <c r="O858" s="9"/>
      <c r="P858" s="9">
        <v>1</v>
      </c>
      <c r="R858">
        <f t="shared" si="60"/>
        <v>79</v>
      </c>
      <c r="S858">
        <f t="shared" si="61"/>
        <v>3</v>
      </c>
    </row>
    <row r="859" spans="1:19" x14ac:dyDescent="0.2">
      <c r="A859">
        <v>108</v>
      </c>
      <c r="B859" t="s">
        <v>2578</v>
      </c>
      <c r="C859" t="s">
        <v>287</v>
      </c>
      <c r="D859" t="s">
        <v>2579</v>
      </c>
      <c r="E859" t="s">
        <v>29</v>
      </c>
      <c r="F859" t="s">
        <v>30</v>
      </c>
      <c r="G859">
        <v>32.8371203553017</v>
      </c>
      <c r="H859">
        <v>34.9792189455856</v>
      </c>
      <c r="I859">
        <f t="shared" si="58"/>
        <v>2022</v>
      </c>
      <c r="J859">
        <f t="shared" si="59"/>
        <v>30</v>
      </c>
      <c r="K859" s="2">
        <v>44759</v>
      </c>
      <c r="L859" s="2" t="s">
        <v>23</v>
      </c>
      <c r="M859" t="s">
        <v>2580</v>
      </c>
      <c r="N859" t="s">
        <v>2581</v>
      </c>
      <c r="O859" s="12"/>
      <c r="P859" s="12">
        <v>1</v>
      </c>
      <c r="R859">
        <f t="shared" si="60"/>
        <v>79</v>
      </c>
      <c r="S859">
        <f t="shared" si="61"/>
        <v>64</v>
      </c>
    </row>
    <row r="860" spans="1:19" x14ac:dyDescent="0.2">
      <c r="A860">
        <v>101</v>
      </c>
      <c r="B860" t="s">
        <v>2583</v>
      </c>
      <c r="C860" t="s">
        <v>2584</v>
      </c>
      <c r="D860" t="s">
        <v>2585</v>
      </c>
      <c r="E860" s="34" t="s">
        <v>29</v>
      </c>
      <c r="F860" t="s">
        <v>30</v>
      </c>
      <c r="G860">
        <v>32.8371203553017</v>
      </c>
      <c r="H860">
        <v>34.9792189455856</v>
      </c>
      <c r="I860">
        <f t="shared" si="58"/>
        <v>2022</v>
      </c>
      <c r="J860">
        <f t="shared" si="59"/>
        <v>30</v>
      </c>
      <c r="K860" s="2">
        <v>44759</v>
      </c>
      <c r="L860" s="2" t="s">
        <v>23</v>
      </c>
      <c r="M860" t="s">
        <v>2586</v>
      </c>
      <c r="N860" t="s">
        <v>2587</v>
      </c>
      <c r="O860" s="9"/>
      <c r="P860" s="9">
        <v>1</v>
      </c>
      <c r="R860">
        <f t="shared" si="60"/>
        <v>79</v>
      </c>
      <c r="S860">
        <f t="shared" si="61"/>
        <v>64</v>
      </c>
    </row>
    <row r="861" spans="1:19" x14ac:dyDescent="0.2">
      <c r="B861" t="s">
        <v>2588</v>
      </c>
      <c r="C861" t="s">
        <v>2589</v>
      </c>
      <c r="D861" t="s">
        <v>2590</v>
      </c>
      <c r="E861" t="s">
        <v>29</v>
      </c>
      <c r="F861" t="s">
        <v>30</v>
      </c>
      <c r="G861">
        <v>32.8371203553017</v>
      </c>
      <c r="H861">
        <v>34.9792189455856</v>
      </c>
      <c r="I861">
        <f t="shared" si="58"/>
        <v>2022</v>
      </c>
      <c r="J861">
        <f t="shared" si="59"/>
        <v>30</v>
      </c>
      <c r="K861" s="2">
        <v>44761</v>
      </c>
      <c r="L861" s="2" t="s">
        <v>23</v>
      </c>
      <c r="M861" t="s">
        <v>2591</v>
      </c>
      <c r="N861" t="s">
        <v>2592</v>
      </c>
      <c r="O861" s="12"/>
      <c r="P861" s="12">
        <v>1</v>
      </c>
      <c r="R861">
        <f t="shared" si="60"/>
        <v>79</v>
      </c>
      <c r="S861">
        <f t="shared" si="61"/>
        <v>64</v>
      </c>
    </row>
    <row r="862" spans="1:19" x14ac:dyDescent="0.2">
      <c r="A862" s="12">
        <v>88</v>
      </c>
      <c r="B862" s="12" t="s">
        <v>2593</v>
      </c>
      <c r="C862" s="12" t="s">
        <v>428</v>
      </c>
      <c r="D862" s="13" t="s">
        <v>2594</v>
      </c>
      <c r="E862" s="10" t="s">
        <v>21</v>
      </c>
      <c r="F862" s="12" t="s">
        <v>643</v>
      </c>
      <c r="G862" s="12"/>
      <c r="H862" s="12"/>
      <c r="I862">
        <f t="shared" si="58"/>
        <v>2022</v>
      </c>
      <c r="J862">
        <f t="shared" si="59"/>
        <v>30</v>
      </c>
      <c r="K862" s="14">
        <v>44761</v>
      </c>
      <c r="L862" s="2" t="s">
        <v>23</v>
      </c>
      <c r="M862" s="12" t="s">
        <v>2595</v>
      </c>
      <c r="N862" s="12" t="s">
        <v>2596</v>
      </c>
      <c r="O862" s="9" t="s">
        <v>2597</v>
      </c>
      <c r="P862" s="9">
        <v>1</v>
      </c>
      <c r="R862">
        <f t="shared" si="60"/>
        <v>79</v>
      </c>
      <c r="S862">
        <f t="shared" si="61"/>
        <v>3</v>
      </c>
    </row>
    <row r="863" spans="1:19" x14ac:dyDescent="0.2">
      <c r="A863" s="12">
        <v>88</v>
      </c>
      <c r="B863" s="12" t="s">
        <v>2593</v>
      </c>
      <c r="C863" s="12" t="s">
        <v>428</v>
      </c>
      <c r="D863" s="13" t="s">
        <v>2594</v>
      </c>
      <c r="E863" s="13" t="s">
        <v>73</v>
      </c>
      <c r="F863" s="12" t="s">
        <v>643</v>
      </c>
      <c r="G863" s="12"/>
      <c r="H863" s="12"/>
      <c r="I863">
        <f t="shared" si="58"/>
        <v>2022</v>
      </c>
      <c r="J863">
        <f t="shared" si="59"/>
        <v>30</v>
      </c>
      <c r="K863" s="14">
        <v>44761</v>
      </c>
      <c r="L863" s="2" t="s">
        <v>23</v>
      </c>
      <c r="M863" s="12" t="s">
        <v>2595</v>
      </c>
      <c r="N863" s="12" t="s">
        <v>2596</v>
      </c>
      <c r="O863" s="9" t="s">
        <v>2597</v>
      </c>
      <c r="P863" s="9">
        <v>1</v>
      </c>
      <c r="R863">
        <f t="shared" si="60"/>
        <v>79</v>
      </c>
      <c r="S863">
        <f t="shared" si="61"/>
        <v>2</v>
      </c>
    </row>
    <row r="864" spans="1:19" x14ac:dyDescent="0.2">
      <c r="A864" s="12">
        <v>88</v>
      </c>
      <c r="B864" s="12" t="s">
        <v>2593</v>
      </c>
      <c r="C864" s="12" t="s">
        <v>428</v>
      </c>
      <c r="D864" s="13" t="s">
        <v>2594</v>
      </c>
      <c r="E864" s="12" t="s">
        <v>29</v>
      </c>
      <c r="F864" s="12" t="s">
        <v>643</v>
      </c>
      <c r="G864" s="12"/>
      <c r="H864" s="12"/>
      <c r="I864">
        <f t="shared" si="58"/>
        <v>2022</v>
      </c>
      <c r="J864">
        <f t="shared" si="59"/>
        <v>30</v>
      </c>
      <c r="K864" s="14">
        <v>44761</v>
      </c>
      <c r="L864" s="2" t="s">
        <v>23</v>
      </c>
      <c r="M864" s="12" t="s">
        <v>2595</v>
      </c>
      <c r="N864" s="12" t="s">
        <v>2596</v>
      </c>
      <c r="O864" s="9" t="s">
        <v>2597</v>
      </c>
      <c r="P864" s="9">
        <v>1</v>
      </c>
      <c r="R864">
        <f t="shared" si="60"/>
        <v>79</v>
      </c>
      <c r="S864">
        <f t="shared" si="61"/>
        <v>64</v>
      </c>
    </row>
    <row r="865" spans="1:19" x14ac:dyDescent="0.2">
      <c r="A865" s="12">
        <v>88</v>
      </c>
      <c r="B865" s="12" t="s">
        <v>2593</v>
      </c>
      <c r="C865" s="12" t="s">
        <v>428</v>
      </c>
      <c r="D865" s="13" t="s">
        <v>2594</v>
      </c>
      <c r="E865" s="9" t="s">
        <v>100</v>
      </c>
      <c r="F865" s="12" t="s">
        <v>643</v>
      </c>
      <c r="G865" s="12"/>
      <c r="H865" s="12"/>
      <c r="I865">
        <f t="shared" si="58"/>
        <v>2022</v>
      </c>
      <c r="J865">
        <f t="shared" si="59"/>
        <v>30</v>
      </c>
      <c r="K865" s="14">
        <v>44761</v>
      </c>
      <c r="L865" s="2" t="s">
        <v>23</v>
      </c>
      <c r="M865" s="12" t="s">
        <v>2595</v>
      </c>
      <c r="N865" s="12" t="s">
        <v>2596</v>
      </c>
      <c r="O865" s="9" t="s">
        <v>2597</v>
      </c>
      <c r="P865" s="9">
        <v>1</v>
      </c>
      <c r="R865">
        <f t="shared" si="60"/>
        <v>79</v>
      </c>
      <c r="S865">
        <f t="shared" si="61"/>
        <v>3</v>
      </c>
    </row>
    <row r="866" spans="1:19" x14ac:dyDescent="0.2">
      <c r="A866" s="12">
        <v>88</v>
      </c>
      <c r="B866" s="12" t="s">
        <v>2593</v>
      </c>
      <c r="C866" s="12" t="s">
        <v>428</v>
      </c>
      <c r="D866" s="13" t="s">
        <v>2594</v>
      </c>
      <c r="E866" s="10" t="s">
        <v>47</v>
      </c>
      <c r="F866" s="12" t="s">
        <v>643</v>
      </c>
      <c r="G866" s="12"/>
      <c r="H866" s="12"/>
      <c r="I866">
        <f t="shared" si="58"/>
        <v>2022</v>
      </c>
      <c r="J866">
        <f t="shared" si="59"/>
        <v>30</v>
      </c>
      <c r="K866" s="14">
        <v>44761</v>
      </c>
      <c r="L866" s="2" t="s">
        <v>23</v>
      </c>
      <c r="M866" s="12" t="s">
        <v>2595</v>
      </c>
      <c r="N866" s="12" t="s">
        <v>2596</v>
      </c>
      <c r="O866" s="9" t="s">
        <v>2597</v>
      </c>
      <c r="P866" s="9">
        <v>1</v>
      </c>
      <c r="R866">
        <f t="shared" si="60"/>
        <v>79</v>
      </c>
      <c r="S866">
        <f t="shared" si="61"/>
        <v>1</v>
      </c>
    </row>
    <row r="867" spans="1:19" x14ac:dyDescent="0.2">
      <c r="A867" s="9">
        <v>119</v>
      </c>
      <c r="B867" s="9" t="s">
        <v>2598</v>
      </c>
      <c r="C867" s="9" t="s">
        <v>2599</v>
      </c>
      <c r="D867" s="10" t="s">
        <v>2600</v>
      </c>
      <c r="E867" s="10"/>
      <c r="F867" s="9"/>
      <c r="G867" s="9"/>
      <c r="H867" s="9"/>
      <c r="I867">
        <f t="shared" si="58"/>
        <v>2022</v>
      </c>
      <c r="J867">
        <f t="shared" si="59"/>
        <v>30</v>
      </c>
      <c r="K867" s="11">
        <v>44761</v>
      </c>
      <c r="L867" s="2" t="s">
        <v>23</v>
      </c>
      <c r="M867" s="9" t="s">
        <v>2601</v>
      </c>
      <c r="N867" s="9" t="s">
        <v>2602</v>
      </c>
      <c r="O867" s="12" t="str">
        <f ca="1">IFERROR(__xludf.DUMMYFUNCTION("GOOGLETRANSLATE(D65,""ru"",""en"")"),"ᐈ The child suffered from jellyfish in Rishon Le-action")</f>
        <v>ᐈ The child suffered from jellyfish in Rishon Le-action</v>
      </c>
      <c r="P867" s="12">
        <v>1</v>
      </c>
      <c r="R867">
        <f t="shared" si="60"/>
        <v>79</v>
      </c>
      <c r="S867">
        <f t="shared" si="61"/>
        <v>0</v>
      </c>
    </row>
    <row r="868" spans="1:19" x14ac:dyDescent="0.2">
      <c r="A868" s="12">
        <v>13</v>
      </c>
      <c r="B868" s="12" t="s">
        <v>2603</v>
      </c>
      <c r="C868" s="12" t="s">
        <v>1975</v>
      </c>
      <c r="D868" s="12" t="s">
        <v>2604</v>
      </c>
      <c r="E868" s="12" t="s">
        <v>29</v>
      </c>
      <c r="F868" s="12" t="s">
        <v>30</v>
      </c>
      <c r="I868">
        <f t="shared" si="58"/>
        <v>2022</v>
      </c>
      <c r="J868">
        <f t="shared" si="59"/>
        <v>30</v>
      </c>
      <c r="K868" s="17">
        <v>44761</v>
      </c>
      <c r="L868" s="2" t="s">
        <v>23</v>
      </c>
      <c r="M868" s="12" t="s">
        <v>2605</v>
      </c>
      <c r="N868" s="12" t="s">
        <v>2606</v>
      </c>
      <c r="O868" s="9" t="str">
        <f ca="1">IFERROR(__xludf.DUMMYFUNCTION("GOOGLETRANSLATE(D125,""ru"",""en"")"),"Israel: Medusa is already close: Natali_ya - Livejournal")</f>
        <v>Israel: Medusa is already close: Natali_ya - Livejournal</v>
      </c>
      <c r="P868" s="9">
        <v>1</v>
      </c>
      <c r="R868">
        <f t="shared" si="60"/>
        <v>79</v>
      </c>
      <c r="S868">
        <f t="shared" si="61"/>
        <v>64</v>
      </c>
    </row>
    <row r="869" spans="1:19" x14ac:dyDescent="0.2">
      <c r="A869">
        <v>87</v>
      </c>
      <c r="B869" t="s">
        <v>2607</v>
      </c>
      <c r="D869" t="s">
        <v>2608</v>
      </c>
      <c r="E869" s="12" t="s">
        <v>29</v>
      </c>
      <c r="F869" t="s">
        <v>30</v>
      </c>
      <c r="G869">
        <v>32.8371203553017</v>
      </c>
      <c r="H869">
        <v>34.9792189455856</v>
      </c>
      <c r="I869">
        <f t="shared" si="58"/>
        <v>2022</v>
      </c>
      <c r="J869">
        <f t="shared" si="59"/>
        <v>30</v>
      </c>
      <c r="K869" s="2">
        <v>44762</v>
      </c>
      <c r="L869" s="2" t="s">
        <v>23</v>
      </c>
      <c r="M869" t="s">
        <v>2609</v>
      </c>
      <c r="O869" s="12" t="str">
        <f ca="1">IFERROR(__xludf.DUMMYFUNCTION("GOOGLETRANSLATE(D275,""ru"",""en"")"),"Thousands of jellyfish paralyzed the operation of the power plant in Israel ...")</f>
        <v>Thousands of jellyfish paralyzed the operation of the power plant in Israel ...</v>
      </c>
      <c r="P869" s="12">
        <v>1</v>
      </c>
      <c r="R869">
        <f t="shared" si="60"/>
        <v>79</v>
      </c>
      <c r="S869">
        <f t="shared" si="61"/>
        <v>64</v>
      </c>
    </row>
    <row r="870" spans="1:19" x14ac:dyDescent="0.2">
      <c r="A870" s="1">
        <v>42</v>
      </c>
      <c r="B870" t="s">
        <v>2610</v>
      </c>
      <c r="C870" t="s">
        <v>2611</v>
      </c>
      <c r="D870" t="s">
        <v>2612</v>
      </c>
      <c r="E870" s="12" t="s">
        <v>29</v>
      </c>
      <c r="F870" t="s">
        <v>30</v>
      </c>
      <c r="G870">
        <v>32.8371203553017</v>
      </c>
      <c r="H870">
        <v>34.9792189455856</v>
      </c>
      <c r="I870">
        <f t="shared" si="58"/>
        <v>2022</v>
      </c>
      <c r="J870">
        <f t="shared" si="59"/>
        <v>30</v>
      </c>
      <c r="K870" s="2">
        <v>44762</v>
      </c>
      <c r="L870" s="2" t="s">
        <v>23</v>
      </c>
      <c r="M870" t="s">
        <v>2613</v>
      </c>
      <c r="N870" t="s">
        <v>2614</v>
      </c>
      <c r="O870" s="9" t="str">
        <f ca="1">IFERROR(__xludf.DUMMYFUNCTION("GOOGLETRANSLATE(D45,""ru"",""en"")"),"In the north of Israel, a huge jamb of jellyfish")</f>
        <v>In the north of Israel, a huge jamb of jellyfish</v>
      </c>
      <c r="P870" s="9">
        <v>1</v>
      </c>
      <c r="R870">
        <f t="shared" si="60"/>
        <v>79</v>
      </c>
      <c r="S870">
        <f t="shared" si="61"/>
        <v>64</v>
      </c>
    </row>
    <row r="871" spans="1:19" x14ac:dyDescent="0.2">
      <c r="A871">
        <v>12</v>
      </c>
      <c r="B871" t="s">
        <v>2615</v>
      </c>
      <c r="D871" t="s">
        <v>2616</v>
      </c>
      <c r="E871" s="12" t="s">
        <v>29</v>
      </c>
      <c r="F871" t="s">
        <v>30</v>
      </c>
      <c r="G871">
        <v>32.8371203553017</v>
      </c>
      <c r="H871">
        <v>34.9792189455856</v>
      </c>
      <c r="I871">
        <f t="shared" si="58"/>
        <v>2022</v>
      </c>
      <c r="J871">
        <f t="shared" si="59"/>
        <v>30</v>
      </c>
      <c r="K871" s="2">
        <v>44762</v>
      </c>
      <c r="L871" s="2" t="s">
        <v>23</v>
      </c>
      <c r="M871" t="s">
        <v>2617</v>
      </c>
      <c r="N871" t="s">
        <v>1843</v>
      </c>
      <c r="O871" s="12" t="str">
        <f ca="1">IFERROR(__xludf.DUMMYFUNCTION("GOOGLETRANSLATE(D185,""ru"",""en"")"),"Flocks of Medus kicked out tourists from Israeli beaches")</f>
        <v>Flocks of Medus kicked out tourists from Israeli beaches</v>
      </c>
      <c r="P871" s="12">
        <v>1</v>
      </c>
      <c r="R871">
        <f t="shared" si="60"/>
        <v>79</v>
      </c>
      <c r="S871">
        <f t="shared" si="61"/>
        <v>64</v>
      </c>
    </row>
    <row r="872" spans="1:19" x14ac:dyDescent="0.2">
      <c r="A872">
        <v>1</v>
      </c>
      <c r="B872" t="s">
        <v>2618</v>
      </c>
      <c r="D872" t="s">
        <v>2619</v>
      </c>
      <c r="E872" s="12" t="s">
        <v>29</v>
      </c>
      <c r="F872" t="s">
        <v>30</v>
      </c>
      <c r="G872">
        <v>32.8371203553017</v>
      </c>
      <c r="H872">
        <v>34.9792189455856</v>
      </c>
      <c r="I872">
        <f t="shared" si="58"/>
        <v>2022</v>
      </c>
      <c r="J872">
        <f t="shared" si="59"/>
        <v>30</v>
      </c>
      <c r="K872" s="2">
        <v>44762</v>
      </c>
      <c r="L872" s="2" t="s">
        <v>23</v>
      </c>
      <c r="M872" t="s">
        <v>2620</v>
      </c>
      <c r="N872" t="s">
        <v>2621</v>
      </c>
      <c r="O872" s="9" t="str">
        <f ca="1">IFERROR(__xludf.DUMMYFUNCTION("GOOGLETRANSLATE(D294,""ru"",""en"")"),"The largest Israeli power station suffers from the influx of jellyfish")</f>
        <v>The largest Israeli power station suffers from the influx of jellyfish</v>
      </c>
      <c r="P872" s="9">
        <v>1</v>
      </c>
      <c r="R872">
        <f t="shared" si="60"/>
        <v>79</v>
      </c>
      <c r="S872">
        <f t="shared" si="61"/>
        <v>64</v>
      </c>
    </row>
    <row r="873" spans="1:19" x14ac:dyDescent="0.2">
      <c r="A873" s="1">
        <v>80</v>
      </c>
      <c r="B873" t="s">
        <v>2622</v>
      </c>
      <c r="C873" t="s">
        <v>1275</v>
      </c>
      <c r="D873" t="s">
        <v>2623</v>
      </c>
      <c r="E873" s="12" t="s">
        <v>29</v>
      </c>
      <c r="F873" t="s">
        <v>30</v>
      </c>
      <c r="G873">
        <v>32.8371203553017</v>
      </c>
      <c r="H873">
        <v>34.9792189455856</v>
      </c>
      <c r="I873">
        <f t="shared" si="58"/>
        <v>2022</v>
      </c>
      <c r="J873">
        <f t="shared" si="59"/>
        <v>30</v>
      </c>
      <c r="K873" s="2">
        <v>44762</v>
      </c>
      <c r="L873" s="2" t="s">
        <v>23</v>
      </c>
      <c r="M873" t="s">
        <v>2624</v>
      </c>
      <c r="N873" t="s">
        <v>2625</v>
      </c>
      <c r="O873" s="12" t="str">
        <f ca="1">IFERROR(__xludf.DUMMYFUNCTION("GOOGLETRANSLATE(D15,""ru"",""en"")"),"A record invasion of jellyfish is expected in Israel in the coming days - the best radio")</f>
        <v>A record invasion of jellyfish is expected in Israel in the coming days - the best radio</v>
      </c>
      <c r="P873" s="12">
        <v>1</v>
      </c>
      <c r="R873">
        <f t="shared" si="60"/>
        <v>79</v>
      </c>
      <c r="S873">
        <f t="shared" si="61"/>
        <v>64</v>
      </c>
    </row>
    <row r="874" spans="1:19" x14ac:dyDescent="0.2">
      <c r="A874">
        <v>59</v>
      </c>
      <c r="B874" t="s">
        <v>2626</v>
      </c>
      <c r="D874" t="s">
        <v>2627</v>
      </c>
      <c r="E874" s="12" t="s">
        <v>29</v>
      </c>
      <c r="F874" t="s">
        <v>30</v>
      </c>
      <c r="G874">
        <v>32.8371203553017</v>
      </c>
      <c r="H874">
        <v>34.9792189455856</v>
      </c>
      <c r="I874">
        <f t="shared" si="58"/>
        <v>2022</v>
      </c>
      <c r="J874">
        <f t="shared" si="59"/>
        <v>30</v>
      </c>
      <c r="K874" s="2">
        <v>44762</v>
      </c>
      <c r="L874" s="2" t="s">
        <v>23</v>
      </c>
      <c r="M874" t="s">
        <v>2628</v>
      </c>
      <c r="O874" s="9" t="str">
        <f ca="1">IFERROR(__xludf.DUMMYFUNCTION("GOOGLETRANSLATE(D199,""ru"",""en"")"),"Israeli beaches attacked dangerous creatures - Replyua.net")</f>
        <v>Israeli beaches attacked dangerous creatures - Replyua.net</v>
      </c>
      <c r="P874" s="9">
        <v>1</v>
      </c>
      <c r="R874">
        <f t="shared" si="60"/>
        <v>79</v>
      </c>
      <c r="S874">
        <f t="shared" si="61"/>
        <v>64</v>
      </c>
    </row>
    <row r="875" spans="1:19" x14ac:dyDescent="0.2">
      <c r="A875" s="1">
        <v>97</v>
      </c>
      <c r="B875" t="s">
        <v>2629</v>
      </c>
      <c r="C875" t="s">
        <v>752</v>
      </c>
      <c r="D875" t="s">
        <v>2630</v>
      </c>
      <c r="E875" s="12" t="s">
        <v>29</v>
      </c>
      <c r="F875" t="s">
        <v>30</v>
      </c>
      <c r="G875">
        <v>32.8371203553017</v>
      </c>
      <c r="H875">
        <v>34.9792189455856</v>
      </c>
      <c r="I875">
        <f t="shared" si="58"/>
        <v>2022</v>
      </c>
      <c r="J875">
        <f t="shared" si="59"/>
        <v>30</v>
      </c>
      <c r="K875" s="2">
        <v>44762</v>
      </c>
      <c r="L875" s="2" t="s">
        <v>23</v>
      </c>
      <c r="M875" t="s">
        <v>2631</v>
      </c>
      <c r="N875" t="s">
        <v>2632</v>
      </c>
      <c r="O875" s="12" t="str">
        <f ca="1">IFERROR(__xludf.DUMMYFUNCTION("GOOGLETRANSLATE(D117,""ru"",""en"")"),"Israeli beaches were invited by dangerous jellyfish - RIA ...")</f>
        <v>Israeli beaches were invited by dangerous jellyfish - RIA ...</v>
      </c>
      <c r="P875" s="12">
        <v>1</v>
      </c>
      <c r="R875">
        <f t="shared" si="60"/>
        <v>79</v>
      </c>
      <c r="S875">
        <f t="shared" si="61"/>
        <v>64</v>
      </c>
    </row>
    <row r="876" spans="1:19" x14ac:dyDescent="0.2">
      <c r="A876">
        <v>215</v>
      </c>
      <c r="B876" t="s">
        <v>2633</v>
      </c>
      <c r="C876" t="s">
        <v>2584</v>
      </c>
      <c r="D876" t="s">
        <v>2634</v>
      </c>
      <c r="E876" s="12" t="s">
        <v>29</v>
      </c>
      <c r="F876" t="s">
        <v>30</v>
      </c>
      <c r="G876">
        <v>32.8371203553017</v>
      </c>
      <c r="H876">
        <v>34.9792189455856</v>
      </c>
      <c r="I876">
        <f t="shared" si="58"/>
        <v>2022</v>
      </c>
      <c r="J876">
        <f t="shared" si="59"/>
        <v>30</v>
      </c>
      <c r="K876" s="2">
        <v>44762</v>
      </c>
      <c r="L876" s="2" t="s">
        <v>23</v>
      </c>
      <c r="M876" t="s">
        <v>2635</v>
      </c>
      <c r="N876" t="s">
        <v>2636</v>
      </c>
      <c r="O876" s="9" t="str">
        <f ca="1">IFERROR(__xludf.DUMMYFUNCTION("GOOGLETRANSLATE(D167,""ru"",""en"")"),"On the coast of Israel, the Medus invasion is Delfi Rus")</f>
        <v>On the coast of Israel, the Medus invasion is Delfi Rus</v>
      </c>
      <c r="P876" s="9">
        <v>1</v>
      </c>
      <c r="R876">
        <f t="shared" si="60"/>
        <v>79</v>
      </c>
      <c r="S876">
        <f t="shared" si="61"/>
        <v>64</v>
      </c>
    </row>
    <row r="877" spans="1:19" x14ac:dyDescent="0.2">
      <c r="A877" s="1">
        <v>102</v>
      </c>
      <c r="B877" t="s">
        <v>2637</v>
      </c>
      <c r="C877" t="s">
        <v>2638</v>
      </c>
      <c r="D877" t="s">
        <v>2639</v>
      </c>
      <c r="E877" s="12" t="s">
        <v>29</v>
      </c>
      <c r="F877" t="s">
        <v>30</v>
      </c>
      <c r="G877">
        <v>32.8371203553017</v>
      </c>
      <c r="H877">
        <v>34.9792189455856</v>
      </c>
      <c r="I877">
        <f t="shared" si="58"/>
        <v>2022</v>
      </c>
      <c r="J877">
        <f t="shared" si="59"/>
        <v>30</v>
      </c>
      <c r="K877" s="2">
        <v>44762</v>
      </c>
      <c r="L877" s="2" t="s">
        <v>23</v>
      </c>
      <c r="M877" t="s">
        <v>2640</v>
      </c>
      <c r="N877" t="s">
        <v>2641</v>
      </c>
      <c r="O877" s="12" t="str">
        <f ca="1">IFERROR(__xludf.DUMMYFUNCTION("GOOGLETRANSLATE(D244,""ru"",""en"")"),"The coast of Israel was attacked by jellyfish - Stmegi")</f>
        <v>The coast of Israel was attacked by jellyfish - Stmegi</v>
      </c>
      <c r="P877" s="12">
        <v>1</v>
      </c>
      <c r="R877">
        <f t="shared" si="60"/>
        <v>79</v>
      </c>
      <c r="S877">
        <f t="shared" si="61"/>
        <v>64</v>
      </c>
    </row>
    <row r="878" spans="1:19" x14ac:dyDescent="0.2">
      <c r="A878">
        <v>655</v>
      </c>
      <c r="B878" t="s">
        <v>2642</v>
      </c>
      <c r="C878" t="s">
        <v>2643</v>
      </c>
      <c r="D878" t="s">
        <v>2644</v>
      </c>
      <c r="E878" s="12" t="s">
        <v>29</v>
      </c>
      <c r="F878" t="s">
        <v>30</v>
      </c>
      <c r="G878">
        <v>32.8371203553017</v>
      </c>
      <c r="H878">
        <v>34.9792189455856</v>
      </c>
      <c r="I878">
        <f t="shared" si="58"/>
        <v>2022</v>
      </c>
      <c r="J878">
        <f t="shared" si="59"/>
        <v>30</v>
      </c>
      <c r="K878" s="2">
        <v>44762</v>
      </c>
      <c r="L878" s="2" t="s">
        <v>23</v>
      </c>
      <c r="M878" t="s">
        <v>2645</v>
      </c>
      <c r="N878" t="s">
        <v>2646</v>
      </c>
      <c r="O878" s="9" t="str">
        <f ca="1">IFERROR(__xludf.DUMMYFUNCTION("GOOGLETRANSLATE(D12,""ru"",""en"")"),"The Medus season begins on the Israeli coast of the Mediterranean Sea - Stmegi")</f>
        <v>The Medus season begins on the Israeli coast of the Mediterranean Sea - Stmegi</v>
      </c>
      <c r="P878" s="9">
        <v>1</v>
      </c>
      <c r="R878">
        <f t="shared" si="60"/>
        <v>79</v>
      </c>
      <c r="S878">
        <f t="shared" si="61"/>
        <v>64</v>
      </c>
    </row>
    <row r="879" spans="1:19" x14ac:dyDescent="0.2">
      <c r="A879">
        <v>62</v>
      </c>
      <c r="B879" t="s">
        <v>2647</v>
      </c>
      <c r="C879" t="s">
        <v>2648</v>
      </c>
      <c r="D879" t="s">
        <v>2649</v>
      </c>
      <c r="E879" s="12" t="s">
        <v>29</v>
      </c>
      <c r="F879" t="s">
        <v>30</v>
      </c>
      <c r="G879">
        <v>32.8371203553017</v>
      </c>
      <c r="H879">
        <v>34.9792189455856</v>
      </c>
      <c r="I879">
        <f t="shared" si="58"/>
        <v>2022</v>
      </c>
      <c r="J879">
        <f t="shared" si="59"/>
        <v>30</v>
      </c>
      <c r="K879" s="2">
        <v>44762</v>
      </c>
      <c r="L879" s="2" t="s">
        <v>23</v>
      </c>
      <c r="M879" t="s">
        <v>2650</v>
      </c>
      <c r="N879" t="s">
        <v>2651</v>
      </c>
      <c r="O879" s="12" t="str">
        <f ca="1">IFERROR(__xludf.DUMMYFUNCTION("GOOGLETRANSLATE(D272,""ru"",""en"")"),"Jellyfish on the Sand Images - Browse 22 Stock Photos ...")</f>
        <v>Jellyfish on the Sand Images - Browse 22 Stock Photos ...</v>
      </c>
      <c r="P879" s="12">
        <v>1</v>
      </c>
      <c r="R879">
        <f t="shared" si="60"/>
        <v>79</v>
      </c>
      <c r="S879">
        <f t="shared" si="61"/>
        <v>64</v>
      </c>
    </row>
    <row r="880" spans="1:19" x14ac:dyDescent="0.2">
      <c r="A880">
        <v>7</v>
      </c>
      <c r="B880" t="s">
        <v>2652</v>
      </c>
      <c r="D880" t="s">
        <v>2653</v>
      </c>
      <c r="E880" s="12" t="s">
        <v>29</v>
      </c>
      <c r="F880" t="s">
        <v>30</v>
      </c>
      <c r="G880">
        <v>32.8371203553017</v>
      </c>
      <c r="H880">
        <v>34.9792189455856</v>
      </c>
      <c r="I880">
        <f t="shared" si="58"/>
        <v>2022</v>
      </c>
      <c r="J880">
        <f t="shared" si="59"/>
        <v>30</v>
      </c>
      <c r="K880" s="2">
        <v>44762</v>
      </c>
      <c r="L880" s="2" t="s">
        <v>23</v>
      </c>
      <c r="M880" t="s">
        <v>2654</v>
      </c>
      <c r="N880" t="s">
        <v>2036</v>
      </c>
      <c r="O880" s="9" t="str">
        <f ca="1">IFERROR(__xludf.DUMMYFUNCTION("GOOGLETRANSLATE(D103,""ru"",""en"")"),"Video | Fascinating spectacle: thousands of jellyfish were flooded ...")</f>
        <v>Video | Fascinating spectacle: thousands of jellyfish were flooded ...</v>
      </c>
      <c r="P880" s="9">
        <v>1</v>
      </c>
      <c r="R880">
        <f t="shared" si="60"/>
        <v>79</v>
      </c>
      <c r="S880">
        <f t="shared" si="61"/>
        <v>64</v>
      </c>
    </row>
    <row r="881" spans="1:19" x14ac:dyDescent="0.2">
      <c r="A881">
        <v>110</v>
      </c>
      <c r="B881" t="s">
        <v>2655</v>
      </c>
      <c r="C881" t="s">
        <v>2656</v>
      </c>
      <c r="D881" t="s">
        <v>2657</v>
      </c>
      <c r="E881" s="12" t="s">
        <v>29</v>
      </c>
      <c r="F881" t="s">
        <v>30</v>
      </c>
      <c r="G881">
        <v>32.8371203553017</v>
      </c>
      <c r="H881">
        <v>34.9792189455856</v>
      </c>
      <c r="I881">
        <f t="shared" si="58"/>
        <v>2022</v>
      </c>
      <c r="J881">
        <f t="shared" si="59"/>
        <v>30</v>
      </c>
      <c r="K881" s="2">
        <v>44762</v>
      </c>
      <c r="L881" s="2" t="s">
        <v>23</v>
      </c>
      <c r="M881" t="s">
        <v>2658</v>
      </c>
      <c r="N881" t="s">
        <v>2659</v>
      </c>
      <c r="O881" s="12" t="str">
        <f ca="1">IFERROR(__xludf.DUMMYFUNCTION("GOOGLETRANSLATE(D104,""ru"",""en"")"),"The first jellyfish are noticed off the coast of Israel | Bulletin of the Caucasus")</f>
        <v>The first jellyfish are noticed off the coast of Israel | Bulletin of the Caucasus</v>
      </c>
      <c r="P881" s="12">
        <v>1</v>
      </c>
      <c r="R881">
        <f t="shared" si="60"/>
        <v>79</v>
      </c>
      <c r="S881">
        <f t="shared" si="61"/>
        <v>64</v>
      </c>
    </row>
    <row r="882" spans="1:19" x14ac:dyDescent="0.2">
      <c r="A882">
        <v>21</v>
      </c>
      <c r="B882" t="s">
        <v>2660</v>
      </c>
      <c r="C882" t="s">
        <v>2661</v>
      </c>
      <c r="D882" t="s">
        <v>2662</v>
      </c>
      <c r="E882" s="12" t="s">
        <v>29</v>
      </c>
      <c r="F882" t="s">
        <v>30</v>
      </c>
      <c r="G882">
        <v>32.8371203553017</v>
      </c>
      <c r="H882">
        <v>34.9792189455856</v>
      </c>
      <c r="I882">
        <f t="shared" si="58"/>
        <v>2022</v>
      </c>
      <c r="J882">
        <f t="shared" si="59"/>
        <v>30</v>
      </c>
      <c r="K882" s="2">
        <v>44762</v>
      </c>
      <c r="L882" s="2" t="s">
        <v>23</v>
      </c>
      <c r="M882" t="s">
        <v>2663</v>
      </c>
      <c r="N882" t="s">
        <v>2664</v>
      </c>
      <c r="O882" s="9" t="str">
        <f ca="1">IFERROR(__xludf.DUMMYFUNCTION("GOOGLETRANSLATE(D188,""ru"",""en"")"),"Typical Israel. Overheard - ⚡️⚡️⚡️ on the beaches ...")</f>
        <v>Typical Israel. Overheard - ⚡️⚡️⚡️ on the beaches ...</v>
      </c>
      <c r="P882" s="9">
        <v>1</v>
      </c>
      <c r="R882">
        <f t="shared" si="60"/>
        <v>79</v>
      </c>
      <c r="S882">
        <f t="shared" si="61"/>
        <v>64</v>
      </c>
    </row>
    <row r="883" spans="1:19" x14ac:dyDescent="0.2">
      <c r="A883" s="1">
        <v>79</v>
      </c>
      <c r="B883" t="s">
        <v>2665</v>
      </c>
      <c r="C883" t="s">
        <v>2666</v>
      </c>
      <c r="D883" t="s">
        <v>2667</v>
      </c>
      <c r="E883" s="12" t="s">
        <v>29</v>
      </c>
      <c r="F883" t="s">
        <v>30</v>
      </c>
      <c r="G883">
        <v>32.8371203553017</v>
      </c>
      <c r="H883">
        <v>34.9792189455856</v>
      </c>
      <c r="I883">
        <f t="shared" si="58"/>
        <v>2022</v>
      </c>
      <c r="J883">
        <f t="shared" si="59"/>
        <v>30</v>
      </c>
      <c r="K883" s="2">
        <v>44762</v>
      </c>
      <c r="L883" s="2" t="s">
        <v>23</v>
      </c>
      <c r="M883" t="s">
        <v>2668</v>
      </c>
      <c r="N883" t="s">
        <v>2669</v>
      </c>
      <c r="O883" s="12" t="s">
        <v>2670</v>
      </c>
      <c r="P883" s="12">
        <v>1</v>
      </c>
      <c r="R883">
        <f t="shared" si="60"/>
        <v>79</v>
      </c>
      <c r="S883">
        <f t="shared" si="61"/>
        <v>64</v>
      </c>
    </row>
    <row r="884" spans="1:19" x14ac:dyDescent="0.2">
      <c r="A884" s="1">
        <v>72</v>
      </c>
      <c r="B884" t="s">
        <v>2671</v>
      </c>
      <c r="C884" t="s">
        <v>2666</v>
      </c>
      <c r="D884" t="s">
        <v>2667</v>
      </c>
      <c r="E884" s="12" t="s">
        <v>29</v>
      </c>
      <c r="F884" t="s">
        <v>30</v>
      </c>
      <c r="G884">
        <v>32.8371203553017</v>
      </c>
      <c r="H884">
        <v>34.9792189455856</v>
      </c>
      <c r="I884">
        <f t="shared" si="58"/>
        <v>2022</v>
      </c>
      <c r="J884">
        <f t="shared" si="59"/>
        <v>30</v>
      </c>
      <c r="K884" s="2">
        <v>44762</v>
      </c>
      <c r="L884" s="2" t="s">
        <v>23</v>
      </c>
      <c r="M884" t="s">
        <v>2672</v>
      </c>
      <c r="N884" t="s">
        <v>2669</v>
      </c>
      <c r="O884" s="9" t="str">
        <f ca="1">IFERROR(__xludf.DUMMYFUNCTION("GOOGLETRANSLATE(D208,""ru"",""en"")"),"The Medusa Invasion | As Seen in Herzliya, Israel | Ivona ...")</f>
        <v>The Medusa Invasion | As Seen in Herzliya, Israel | Ivona ...</v>
      </c>
      <c r="P884" s="9">
        <v>1</v>
      </c>
      <c r="R884">
        <f t="shared" si="60"/>
        <v>79</v>
      </c>
      <c r="S884">
        <f t="shared" si="61"/>
        <v>64</v>
      </c>
    </row>
    <row r="885" spans="1:19" x14ac:dyDescent="0.2">
      <c r="A885">
        <v>109</v>
      </c>
      <c r="B885" t="s">
        <v>2673</v>
      </c>
      <c r="C885" t="s">
        <v>2674</v>
      </c>
      <c r="D885" t="s">
        <v>2675</v>
      </c>
      <c r="E885" s="12" t="s">
        <v>29</v>
      </c>
      <c r="F885" t="s">
        <v>30</v>
      </c>
      <c r="G885">
        <v>32.8371203553017</v>
      </c>
      <c r="H885">
        <v>34.9792189455856</v>
      </c>
      <c r="I885">
        <f t="shared" si="58"/>
        <v>2022</v>
      </c>
      <c r="J885">
        <f t="shared" si="59"/>
        <v>30</v>
      </c>
      <c r="K885" s="2">
        <v>44762</v>
      </c>
      <c r="L885" s="2" t="s">
        <v>23</v>
      </c>
      <c r="M885" t="s">
        <v>2676</v>
      </c>
      <c r="N885" t="s">
        <v>2677</v>
      </c>
      <c r="O885" s="12" t="str">
        <f ca="1">IFERROR(__xludf.DUMMYFUNCTION("GOOGLETRANSLATE(D36,""ru"",""en"")"),"Gismeteo: Thousands of blue jellyfish - incidents fell into the Israeli power station | Weather news.")</f>
        <v>Gismeteo: Thousands of blue jellyfish - incidents fell into the Israeli power station | Weather news.</v>
      </c>
      <c r="P885" s="12">
        <v>1</v>
      </c>
      <c r="R885">
        <f t="shared" si="60"/>
        <v>79</v>
      </c>
      <c r="S885">
        <f t="shared" si="61"/>
        <v>64</v>
      </c>
    </row>
    <row r="886" spans="1:19" x14ac:dyDescent="0.2">
      <c r="A886">
        <v>4</v>
      </c>
      <c r="B886" t="s">
        <v>2678</v>
      </c>
      <c r="D886" t="s">
        <v>2679</v>
      </c>
      <c r="E886" s="12" t="s">
        <v>29</v>
      </c>
      <c r="F886" t="s">
        <v>30</v>
      </c>
      <c r="G886">
        <v>32.8371203553017</v>
      </c>
      <c r="H886">
        <v>34.9792189455856</v>
      </c>
      <c r="I886">
        <f t="shared" si="58"/>
        <v>2022</v>
      </c>
      <c r="J886">
        <f t="shared" si="59"/>
        <v>30</v>
      </c>
      <c r="K886" s="2">
        <v>44762</v>
      </c>
      <c r="L886" s="2" t="s">
        <v>23</v>
      </c>
      <c r="M886" t="s">
        <v>2680</v>
      </c>
      <c r="N886" t="s">
        <v>2681</v>
      </c>
      <c r="O886" s="9" t="s">
        <v>2682</v>
      </c>
      <c r="P886" s="9">
        <v>0</v>
      </c>
    </row>
    <row r="887" spans="1:19" x14ac:dyDescent="0.2">
      <c r="A887">
        <v>52</v>
      </c>
      <c r="B887" t="s">
        <v>2683</v>
      </c>
      <c r="D887" t="s">
        <v>2684</v>
      </c>
      <c r="E887" s="12" t="s">
        <v>29</v>
      </c>
      <c r="F887" t="s">
        <v>30</v>
      </c>
      <c r="G887">
        <v>32.8371203553017</v>
      </c>
      <c r="H887">
        <v>34.9792189455856</v>
      </c>
      <c r="I887">
        <f t="shared" si="58"/>
        <v>2022</v>
      </c>
      <c r="J887">
        <f t="shared" si="59"/>
        <v>30</v>
      </c>
      <c r="K887" s="2">
        <v>44762</v>
      </c>
      <c r="L887" s="2" t="s">
        <v>23</v>
      </c>
      <c r="M887" t="s">
        <v>2685</v>
      </c>
      <c r="O887" s="12" t="s">
        <v>2686</v>
      </c>
      <c r="P887" s="12">
        <v>1</v>
      </c>
      <c r="R887">
        <f t="shared" ref="R887:R892" si="62">COUNTIFS($J$2:$J$997,J887,$I$2:$I$997,I887)</f>
        <v>79</v>
      </c>
      <c r="S887">
        <f t="shared" ref="S887:S892" si="63">COUNTIFS($J$2:$J$997,J887,$I$2:$I$997,I887,$E$2:$E$997,E887)</f>
        <v>64</v>
      </c>
    </row>
    <row r="888" spans="1:19" x14ac:dyDescent="0.2">
      <c r="A888">
        <v>12</v>
      </c>
      <c r="B888" t="s">
        <v>2687</v>
      </c>
      <c r="C888" t="s">
        <v>2419</v>
      </c>
      <c r="D888" t="s">
        <v>2420</v>
      </c>
      <c r="E888" s="12" t="s">
        <v>29</v>
      </c>
      <c r="F888" t="s">
        <v>30</v>
      </c>
      <c r="G888">
        <v>32.8371203553017</v>
      </c>
      <c r="H888">
        <v>34.9792189455856</v>
      </c>
      <c r="I888">
        <f t="shared" si="58"/>
        <v>2022</v>
      </c>
      <c r="J888">
        <f t="shared" si="59"/>
        <v>30</v>
      </c>
      <c r="K888" s="2">
        <v>44762</v>
      </c>
      <c r="L888" s="2" t="s">
        <v>23</v>
      </c>
      <c r="M888" t="s">
        <v>2688</v>
      </c>
      <c r="N888" t="s">
        <v>2422</v>
      </c>
      <c r="O888" s="9" t="str">
        <f ca="1">IFERROR(__xludf.DUMMYFUNCTION("GOOGLETRANSLATE(D54,""ru"",""en"")"),"Origins of the Medusa: Study Examines Israel's Summer Jellyfish - i24news")</f>
        <v>Origins of the Medusa: Study Examines Israel's Summer Jellyfish - i24news</v>
      </c>
      <c r="P888" s="9">
        <v>1</v>
      </c>
      <c r="R888">
        <f t="shared" si="62"/>
        <v>79</v>
      </c>
      <c r="S888">
        <f t="shared" si="63"/>
        <v>64</v>
      </c>
    </row>
    <row r="889" spans="1:19" x14ac:dyDescent="0.2">
      <c r="A889">
        <v>2</v>
      </c>
      <c r="B889" t="s">
        <v>2689</v>
      </c>
      <c r="D889" t="s">
        <v>2690</v>
      </c>
      <c r="E889" s="12" t="s">
        <v>29</v>
      </c>
      <c r="F889" t="s">
        <v>30</v>
      </c>
      <c r="G889">
        <v>32.8371203553017</v>
      </c>
      <c r="H889">
        <v>34.9792189455856</v>
      </c>
      <c r="I889">
        <f t="shared" si="58"/>
        <v>2022</v>
      </c>
      <c r="J889">
        <f t="shared" si="59"/>
        <v>30</v>
      </c>
      <c r="K889" s="2">
        <v>44762</v>
      </c>
      <c r="L889" s="2" t="s">
        <v>23</v>
      </c>
      <c r="M889" t="s">
        <v>2691</v>
      </c>
      <c r="N889" t="s">
        <v>2036</v>
      </c>
      <c r="O889" s="12" t="s">
        <v>2692</v>
      </c>
      <c r="P889" s="12">
        <v>1</v>
      </c>
      <c r="R889">
        <f t="shared" si="62"/>
        <v>79</v>
      </c>
      <c r="S889">
        <f t="shared" si="63"/>
        <v>64</v>
      </c>
    </row>
    <row r="890" spans="1:19" x14ac:dyDescent="0.2">
      <c r="A890" s="1">
        <v>415</v>
      </c>
      <c r="B890" t="s">
        <v>2693</v>
      </c>
      <c r="C890" t="s">
        <v>2694</v>
      </c>
      <c r="D890" t="s">
        <v>2695</v>
      </c>
      <c r="E890" s="12" t="s">
        <v>29</v>
      </c>
      <c r="F890" t="s">
        <v>30</v>
      </c>
      <c r="G890">
        <v>32.8371203553017</v>
      </c>
      <c r="H890">
        <v>34.9792189455856</v>
      </c>
      <c r="I890">
        <f t="shared" si="58"/>
        <v>2022</v>
      </c>
      <c r="J890">
        <f t="shared" si="59"/>
        <v>30</v>
      </c>
      <c r="K890" s="2">
        <v>44762</v>
      </c>
      <c r="L890" s="2" t="s">
        <v>23</v>
      </c>
      <c r="M890" t="s">
        <v>2696</v>
      </c>
      <c r="N890" t="s">
        <v>2697</v>
      </c>
      <c r="O890" s="9" t="str">
        <f ca="1">IFERROR(__xludf.DUMMYFUNCTION("GOOGLETRANSLATE(D39,""ru"",""en"")"),"Dangerous poisonous jellyfish came to the shores of Israel | Israeli news")</f>
        <v>Dangerous poisonous jellyfish came to the shores of Israel | Israeli news</v>
      </c>
      <c r="P890" s="9">
        <v>1</v>
      </c>
      <c r="R890">
        <f t="shared" si="62"/>
        <v>79</v>
      </c>
      <c r="S890">
        <f t="shared" si="63"/>
        <v>64</v>
      </c>
    </row>
    <row r="891" spans="1:19" x14ac:dyDescent="0.2">
      <c r="A891" s="1">
        <v>443</v>
      </c>
      <c r="B891" t="s">
        <v>2698</v>
      </c>
      <c r="C891" t="s">
        <v>19</v>
      </c>
      <c r="D891" t="s">
        <v>2699</v>
      </c>
      <c r="E891" s="12" t="s">
        <v>29</v>
      </c>
      <c r="F891" t="s">
        <v>30</v>
      </c>
      <c r="G891">
        <v>32.8371203553017</v>
      </c>
      <c r="H891">
        <v>34.9792189455856</v>
      </c>
      <c r="I891">
        <f t="shared" si="58"/>
        <v>2022</v>
      </c>
      <c r="J891">
        <f t="shared" si="59"/>
        <v>30</v>
      </c>
      <c r="K891" s="2">
        <v>44762</v>
      </c>
      <c r="L891" s="2" t="s">
        <v>23</v>
      </c>
      <c r="M891" t="s">
        <v>2700</v>
      </c>
      <c r="N891" t="s">
        <v>2701</v>
      </c>
      <c r="O891" s="12" t="str">
        <f ca="1">IFERROR(__xludf.DUMMYFUNCTION("GOOGLETRANSLATE(D107,""ru"",""en"")"),"Hordes of Medus came to the shores of Israel | Israeli news")</f>
        <v>Hordes of Medus came to the shores of Israel | Israeli news</v>
      </c>
      <c r="P891" s="12">
        <v>1</v>
      </c>
      <c r="R891">
        <f t="shared" si="62"/>
        <v>79</v>
      </c>
      <c r="S891">
        <f t="shared" si="63"/>
        <v>64</v>
      </c>
    </row>
    <row r="892" spans="1:19" x14ac:dyDescent="0.2">
      <c r="A892" s="1">
        <v>444</v>
      </c>
      <c r="B892" t="s">
        <v>2702</v>
      </c>
      <c r="C892" t="s">
        <v>2069</v>
      </c>
      <c r="D892" t="s">
        <v>2703</v>
      </c>
      <c r="E892" s="12" t="s">
        <v>29</v>
      </c>
      <c r="F892" t="s">
        <v>30</v>
      </c>
      <c r="G892">
        <v>32.8371203553017</v>
      </c>
      <c r="H892">
        <v>34.9792189455856</v>
      </c>
      <c r="I892">
        <f t="shared" si="58"/>
        <v>2022</v>
      </c>
      <c r="J892">
        <f t="shared" si="59"/>
        <v>30</v>
      </c>
      <c r="K892" s="2">
        <v>44762</v>
      </c>
      <c r="L892" s="2" t="s">
        <v>23</v>
      </c>
      <c r="M892" t="s">
        <v>2704</v>
      </c>
      <c r="N892" t="s">
        <v>2705</v>
      </c>
      <c r="O892" s="9" t="s">
        <v>2706</v>
      </c>
      <c r="P892" s="9">
        <v>1</v>
      </c>
      <c r="R892">
        <f t="shared" si="62"/>
        <v>79</v>
      </c>
      <c r="S892">
        <f t="shared" si="63"/>
        <v>64</v>
      </c>
    </row>
    <row r="893" spans="1:19" x14ac:dyDescent="0.2">
      <c r="A893" s="1">
        <v>487</v>
      </c>
      <c r="B893" t="s">
        <v>2707</v>
      </c>
      <c r="C893" t="s">
        <v>19</v>
      </c>
      <c r="D893" t="s">
        <v>2708</v>
      </c>
      <c r="E893" s="12" t="s">
        <v>29</v>
      </c>
      <c r="F893" t="s">
        <v>30</v>
      </c>
      <c r="G893">
        <v>32.8371203553017</v>
      </c>
      <c r="H893">
        <v>34.9792189455856</v>
      </c>
      <c r="I893">
        <f t="shared" si="58"/>
        <v>2022</v>
      </c>
      <c r="J893">
        <f t="shared" si="59"/>
        <v>30</v>
      </c>
      <c r="K893" s="2">
        <v>44762</v>
      </c>
      <c r="L893" s="2" t="s">
        <v>23</v>
      </c>
      <c r="M893" t="s">
        <v>2709</v>
      </c>
      <c r="N893" t="s">
        <v>2710</v>
      </c>
      <c r="O893" s="12" t="str">
        <f ca="1">IFERROR(__xludf.DUMMYFUNCTION("GOOGLETRANSLATE(D134,""ru"",""en"")"),"Invasion of the Medusa Finally Ends - Israel Today")</f>
        <v>Invasion of the Medusa Finally Ends - Israel Today</v>
      </c>
      <c r="P893" s="12">
        <v>0</v>
      </c>
    </row>
    <row r="894" spans="1:19" x14ac:dyDescent="0.2">
      <c r="A894" s="1">
        <v>524</v>
      </c>
      <c r="B894" t="s">
        <v>2711</v>
      </c>
      <c r="C894" t="s">
        <v>19</v>
      </c>
      <c r="D894" t="s">
        <v>2712</v>
      </c>
      <c r="E894" s="12" t="s">
        <v>29</v>
      </c>
      <c r="F894" t="s">
        <v>30</v>
      </c>
      <c r="G894">
        <v>32.8371203553017</v>
      </c>
      <c r="H894">
        <v>34.9792189455856</v>
      </c>
      <c r="I894">
        <f t="shared" si="58"/>
        <v>2022</v>
      </c>
      <c r="J894">
        <f t="shared" si="59"/>
        <v>30</v>
      </c>
      <c r="K894" s="2">
        <v>44762</v>
      </c>
      <c r="L894" s="2" t="s">
        <v>23</v>
      </c>
      <c r="M894" t="s">
        <v>2713</v>
      </c>
      <c r="N894" t="s">
        <v>2714</v>
      </c>
      <c r="O894" s="9" t="str">
        <f ca="1">IFERROR(__xludf.DUMMYFUNCTION("GOOGLETRANSLATE(D144,""ru"",""en"")"),"The concentration of jellyfish in Israeli begins to decrease ...")</f>
        <v>The concentration of jellyfish in Israeli begins to decrease ...</v>
      </c>
      <c r="P894" s="9">
        <v>1</v>
      </c>
      <c r="R894">
        <f t="shared" ref="R894:R957" si="64">COUNTIFS($J$2:$J$997,J894,$I$2:$I$997,I894)</f>
        <v>79</v>
      </c>
      <c r="S894">
        <f t="shared" ref="S894:S957" si="65">COUNTIFS($J$2:$J$997,J894,$I$2:$I$997,I894,$E$2:$E$997,E894)</f>
        <v>64</v>
      </c>
    </row>
    <row r="895" spans="1:19" x14ac:dyDescent="0.2">
      <c r="A895" s="1">
        <v>562</v>
      </c>
      <c r="B895" t="s">
        <v>2715</v>
      </c>
      <c r="C895" t="s">
        <v>19</v>
      </c>
      <c r="D895" t="s">
        <v>2716</v>
      </c>
      <c r="E895" s="12" t="s">
        <v>29</v>
      </c>
      <c r="F895" t="s">
        <v>30</v>
      </c>
      <c r="G895">
        <v>32.8371203553017</v>
      </c>
      <c r="H895">
        <v>34.9792189455856</v>
      </c>
      <c r="I895">
        <f t="shared" si="58"/>
        <v>2022</v>
      </c>
      <c r="J895">
        <f t="shared" si="59"/>
        <v>30</v>
      </c>
      <c r="K895" s="2">
        <v>44762</v>
      </c>
      <c r="L895" s="2" t="s">
        <v>23</v>
      </c>
      <c r="M895" t="s">
        <v>2717</v>
      </c>
      <c r="N895" t="s">
        <v>2718</v>
      </c>
      <c r="O895" s="12" t="str">
        <f ca="1">IFERROR(__xludf.DUMMYFUNCTION("GOOGLETRANSLATE(D3,""ru"",""en"")"),"The Medus season begins on the Israeli coast of the Mediterranean Sea - Newsru.co.il")</f>
        <v>The Medus season begins on the Israeli coast of the Mediterranean Sea - Newsru.co.il</v>
      </c>
      <c r="P895" s="12">
        <v>1</v>
      </c>
      <c r="R895">
        <f t="shared" si="64"/>
        <v>79</v>
      </c>
      <c r="S895">
        <f t="shared" si="65"/>
        <v>64</v>
      </c>
    </row>
    <row r="896" spans="1:19" x14ac:dyDescent="0.2">
      <c r="A896" s="1">
        <v>584</v>
      </c>
      <c r="B896" t="s">
        <v>2719</v>
      </c>
      <c r="C896" t="s">
        <v>2720</v>
      </c>
      <c r="D896" t="s">
        <v>2721</v>
      </c>
      <c r="E896" s="12" t="s">
        <v>29</v>
      </c>
      <c r="F896" t="s">
        <v>30</v>
      </c>
      <c r="G896">
        <v>32.8371203553017</v>
      </c>
      <c r="H896">
        <v>34.9792189455856</v>
      </c>
      <c r="I896">
        <f t="shared" si="58"/>
        <v>2022</v>
      </c>
      <c r="J896">
        <f t="shared" si="59"/>
        <v>30</v>
      </c>
      <c r="K896" s="2">
        <v>44762</v>
      </c>
      <c r="L896" s="2" t="s">
        <v>23</v>
      </c>
      <c r="M896" t="s">
        <v>2722</v>
      </c>
      <c r="N896" t="s">
        <v>2723</v>
      </c>
      <c r="O896" s="9" t="str">
        <f ca="1">IFERROR(__xludf.DUMMYFUNCTION("GOOGLETRANSLATE(D8,""ru"",""en"")"),"The beaches are open, but bathing is dangerous: high waves, jellyfish - Newsru.co.il")</f>
        <v>The beaches are open, but bathing is dangerous: high waves, jellyfish - Newsru.co.il</v>
      </c>
      <c r="P896" s="9">
        <v>1</v>
      </c>
      <c r="R896">
        <f t="shared" si="64"/>
        <v>79</v>
      </c>
      <c r="S896">
        <f t="shared" si="65"/>
        <v>64</v>
      </c>
    </row>
    <row r="897" spans="1:19" x14ac:dyDescent="0.2">
      <c r="B897" t="s">
        <v>2724</v>
      </c>
      <c r="C897" t="s">
        <v>397</v>
      </c>
      <c r="D897" t="s">
        <v>2725</v>
      </c>
      <c r="E897" s="12" t="s">
        <v>29</v>
      </c>
      <c r="F897" t="s">
        <v>30</v>
      </c>
      <c r="G897">
        <v>32.8371203553017</v>
      </c>
      <c r="H897">
        <v>34.9792189455856</v>
      </c>
      <c r="I897">
        <f t="shared" si="58"/>
        <v>2022</v>
      </c>
      <c r="J897">
        <f t="shared" si="59"/>
        <v>30</v>
      </c>
      <c r="K897" s="2">
        <v>44762</v>
      </c>
      <c r="L897" s="2" t="s">
        <v>23</v>
      </c>
      <c r="M897" t="s">
        <v>2726</v>
      </c>
      <c r="N897" t="s">
        <v>2727</v>
      </c>
      <c r="O897" s="12" t="str">
        <f ca="1">IFERROR(__xludf.DUMMYFUNCTION("GOOGLETRANSLATE(D84,""ru"",""en"")"),"On the Mediterranean coast of Israel, the Medusa season - Newsru.co.il")</f>
        <v>On the Mediterranean coast of Israel, the Medusa season - Newsru.co.il</v>
      </c>
      <c r="P897" s="12">
        <v>1</v>
      </c>
      <c r="R897">
        <f t="shared" si="64"/>
        <v>79</v>
      </c>
      <c r="S897">
        <f t="shared" si="65"/>
        <v>64</v>
      </c>
    </row>
    <row r="898" spans="1:19" x14ac:dyDescent="0.2">
      <c r="B898" t="s">
        <v>2728</v>
      </c>
      <c r="C898" t="s">
        <v>2729</v>
      </c>
      <c r="D898" t="s">
        <v>2730</v>
      </c>
      <c r="E898" s="12" t="s">
        <v>29</v>
      </c>
      <c r="F898" t="s">
        <v>30</v>
      </c>
      <c r="G898">
        <v>32.8371203553017</v>
      </c>
      <c r="H898">
        <v>34.9792189455856</v>
      </c>
      <c r="I898">
        <f t="shared" ref="I898:I920" si="66">YEAR(K898)</f>
        <v>2022</v>
      </c>
      <c r="J898">
        <f t="shared" ref="J898:J961" si="67">WEEKNUM(K898)</f>
        <v>30</v>
      </c>
      <c r="K898" s="2">
        <v>44762</v>
      </c>
      <c r="L898" s="2" t="s">
        <v>23</v>
      </c>
      <c r="M898" t="s">
        <v>2731</v>
      </c>
      <c r="N898" t="s">
        <v>2732</v>
      </c>
      <c r="O898" s="9" t="s">
        <v>2733</v>
      </c>
      <c r="P898" s="9">
        <v>1</v>
      </c>
      <c r="R898">
        <f t="shared" si="64"/>
        <v>79</v>
      </c>
      <c r="S898">
        <f t="shared" si="65"/>
        <v>64</v>
      </c>
    </row>
    <row r="899" spans="1:19" x14ac:dyDescent="0.2">
      <c r="B899" t="s">
        <v>2734</v>
      </c>
      <c r="C899" t="s">
        <v>397</v>
      </c>
      <c r="D899" t="s">
        <v>2725</v>
      </c>
      <c r="E899" s="12" t="s">
        <v>29</v>
      </c>
      <c r="F899" t="s">
        <v>30</v>
      </c>
      <c r="G899">
        <v>32.8371203553017</v>
      </c>
      <c r="H899">
        <v>34.9792189455856</v>
      </c>
      <c r="I899">
        <f t="shared" si="66"/>
        <v>2022</v>
      </c>
      <c r="J899">
        <f t="shared" si="67"/>
        <v>30</v>
      </c>
      <c r="K899" s="2">
        <v>44762</v>
      </c>
      <c r="L899" s="2" t="s">
        <v>23</v>
      </c>
      <c r="M899" t="s">
        <v>2735</v>
      </c>
      <c r="N899" t="s">
        <v>2727</v>
      </c>
      <c r="O899" s="12"/>
      <c r="P899" s="33">
        <v>1</v>
      </c>
      <c r="R899">
        <f t="shared" si="64"/>
        <v>79</v>
      </c>
      <c r="S899">
        <f t="shared" si="65"/>
        <v>64</v>
      </c>
    </row>
    <row r="900" spans="1:19" x14ac:dyDescent="0.2">
      <c r="B900" t="s">
        <v>2736</v>
      </c>
      <c r="C900" t="s">
        <v>2236</v>
      </c>
      <c r="D900" t="s">
        <v>2737</v>
      </c>
      <c r="E900" s="12" t="s">
        <v>29</v>
      </c>
      <c r="F900" t="s">
        <v>30</v>
      </c>
      <c r="G900">
        <v>32.8371203553017</v>
      </c>
      <c r="H900">
        <v>34.9792189455856</v>
      </c>
      <c r="I900">
        <f t="shared" si="66"/>
        <v>2022</v>
      </c>
      <c r="J900">
        <f t="shared" si="67"/>
        <v>30</v>
      </c>
      <c r="K900" s="2">
        <v>44762</v>
      </c>
      <c r="L900" s="2" t="s">
        <v>23</v>
      </c>
      <c r="M900" t="s">
        <v>2738</v>
      </c>
      <c r="N900" t="s">
        <v>2739</v>
      </c>
      <c r="O900" s="9" t="str">
        <f ca="1">IFERROR(__xludf.DUMMYFUNCTION("GOOGLETRANSLATE(D34,""ru"",""en"")"),"The concentration of jellyfish on the Israeli coast of the Mediterranean Sea - Newsru.co.il has increased")</f>
        <v>The concentration of jellyfish on the Israeli coast of the Mediterranean Sea - Newsru.co.il has increased</v>
      </c>
      <c r="P900" s="9">
        <v>1</v>
      </c>
      <c r="R900">
        <f t="shared" si="64"/>
        <v>79</v>
      </c>
      <c r="S900">
        <f t="shared" si="65"/>
        <v>64</v>
      </c>
    </row>
    <row r="901" spans="1:19" x14ac:dyDescent="0.2">
      <c r="B901" t="s">
        <v>2740</v>
      </c>
      <c r="C901" t="s">
        <v>2741</v>
      </c>
      <c r="D901" t="s">
        <v>2742</v>
      </c>
      <c r="E901" s="12" t="s">
        <v>29</v>
      </c>
      <c r="F901" t="s">
        <v>30</v>
      </c>
      <c r="G901">
        <v>32.8371203553017</v>
      </c>
      <c r="H901">
        <v>34.9792189455856</v>
      </c>
      <c r="I901">
        <f t="shared" si="66"/>
        <v>2022</v>
      </c>
      <c r="J901">
        <f t="shared" si="67"/>
        <v>30</v>
      </c>
      <c r="K901" s="2">
        <v>44762</v>
      </c>
      <c r="L901" s="2" t="s">
        <v>23</v>
      </c>
      <c r="M901" t="s">
        <v>2743</v>
      </c>
      <c r="N901" t="s">
        <v>2744</v>
      </c>
      <c r="O901" s="12" t="str">
        <f ca="1">IFERROR(__xludf.DUMMYFUNCTION("GOOGLETRANSLATE(D425,""ru"",""en"")"),"Along the entire coast of Israel, high ...")</f>
        <v>Along the entire coast of Israel, high ...</v>
      </c>
      <c r="P901" s="12">
        <v>1</v>
      </c>
      <c r="R901">
        <f t="shared" si="64"/>
        <v>79</v>
      </c>
      <c r="S901">
        <f t="shared" si="65"/>
        <v>64</v>
      </c>
    </row>
    <row r="902" spans="1:19" x14ac:dyDescent="0.2">
      <c r="B902" t="s">
        <v>2745</v>
      </c>
      <c r="C902" t="s">
        <v>2746</v>
      </c>
      <c r="D902" t="s">
        <v>2747</v>
      </c>
      <c r="E902" s="12" t="s">
        <v>29</v>
      </c>
      <c r="F902" t="s">
        <v>30</v>
      </c>
      <c r="G902">
        <v>32.8371203553017</v>
      </c>
      <c r="H902">
        <v>34.9792189455856</v>
      </c>
      <c r="I902">
        <f t="shared" si="66"/>
        <v>2022</v>
      </c>
      <c r="J902">
        <f t="shared" si="67"/>
        <v>30</v>
      </c>
      <c r="K902" s="2">
        <v>44762</v>
      </c>
      <c r="L902" s="2" t="s">
        <v>23</v>
      </c>
      <c r="M902" t="s">
        <v>2748</v>
      </c>
      <c r="N902" t="s">
        <v>2749</v>
      </c>
      <c r="O902" s="9"/>
      <c r="P902" s="9">
        <v>1</v>
      </c>
      <c r="R902">
        <f t="shared" si="64"/>
        <v>79</v>
      </c>
      <c r="S902">
        <f t="shared" si="65"/>
        <v>64</v>
      </c>
    </row>
    <row r="903" spans="1:19" x14ac:dyDescent="0.2">
      <c r="B903" t="s">
        <v>2750</v>
      </c>
      <c r="C903" t="s">
        <v>2751</v>
      </c>
      <c r="D903" t="s">
        <v>2752</v>
      </c>
      <c r="E903" s="12" t="s">
        <v>29</v>
      </c>
      <c r="F903" t="s">
        <v>30</v>
      </c>
      <c r="G903">
        <v>32.8371203553017</v>
      </c>
      <c r="H903">
        <v>34.9792189455856</v>
      </c>
      <c r="I903">
        <f t="shared" si="66"/>
        <v>2022</v>
      </c>
      <c r="J903">
        <f t="shared" si="67"/>
        <v>30</v>
      </c>
      <c r="K903" s="2">
        <v>44762</v>
      </c>
      <c r="L903" s="2" t="s">
        <v>23</v>
      </c>
      <c r="M903" t="s">
        <v>2753</v>
      </c>
      <c r="N903" t="s">
        <v>2754</v>
      </c>
      <c r="O903" s="12"/>
      <c r="P903" s="12">
        <v>1</v>
      </c>
      <c r="R903">
        <f t="shared" si="64"/>
        <v>79</v>
      </c>
      <c r="S903">
        <f t="shared" si="65"/>
        <v>64</v>
      </c>
    </row>
    <row r="904" spans="1:19" x14ac:dyDescent="0.2">
      <c r="B904" t="s">
        <v>2755</v>
      </c>
      <c r="C904" t="s">
        <v>2756</v>
      </c>
      <c r="D904" t="s">
        <v>2757</v>
      </c>
      <c r="E904" s="12" t="s">
        <v>29</v>
      </c>
      <c r="F904" t="s">
        <v>30</v>
      </c>
      <c r="G904">
        <v>32.8371203553017</v>
      </c>
      <c r="H904">
        <v>34.9792189455856</v>
      </c>
      <c r="I904">
        <f t="shared" si="66"/>
        <v>2022</v>
      </c>
      <c r="J904">
        <f t="shared" si="67"/>
        <v>30</v>
      </c>
      <c r="K904" s="2">
        <v>44762</v>
      </c>
      <c r="L904" s="2" t="s">
        <v>23</v>
      </c>
      <c r="M904" t="s">
        <v>2758</v>
      </c>
      <c r="N904" t="s">
        <v>2759</v>
      </c>
      <c r="O904" s="9"/>
      <c r="P904" s="9">
        <v>1</v>
      </c>
      <c r="R904">
        <f t="shared" si="64"/>
        <v>79</v>
      </c>
      <c r="S904">
        <f t="shared" si="65"/>
        <v>64</v>
      </c>
    </row>
    <row r="905" spans="1:19" x14ac:dyDescent="0.2">
      <c r="B905" t="s">
        <v>2760</v>
      </c>
      <c r="C905" t="s">
        <v>2761</v>
      </c>
      <c r="D905" t="s">
        <v>2762</v>
      </c>
      <c r="E905" s="12" t="s">
        <v>29</v>
      </c>
      <c r="F905" t="s">
        <v>30</v>
      </c>
      <c r="G905">
        <v>32.8371203553017</v>
      </c>
      <c r="H905">
        <v>34.9792189455856</v>
      </c>
      <c r="I905">
        <f t="shared" si="66"/>
        <v>2022</v>
      </c>
      <c r="J905">
        <f t="shared" si="67"/>
        <v>30</v>
      </c>
      <c r="K905" s="2">
        <v>44762</v>
      </c>
      <c r="L905" s="2" t="s">
        <v>23</v>
      </c>
      <c r="M905" t="s">
        <v>2763</v>
      </c>
      <c r="N905" t="s">
        <v>2764</v>
      </c>
      <c r="O905" s="12" t="s">
        <v>2765</v>
      </c>
      <c r="P905" s="12">
        <v>1</v>
      </c>
      <c r="R905">
        <f t="shared" si="64"/>
        <v>79</v>
      </c>
      <c r="S905">
        <f t="shared" si="65"/>
        <v>64</v>
      </c>
    </row>
    <row r="906" spans="1:19" x14ac:dyDescent="0.2">
      <c r="B906" t="s">
        <v>2766</v>
      </c>
      <c r="C906" t="s">
        <v>2767</v>
      </c>
      <c r="D906" t="s">
        <v>2730</v>
      </c>
      <c r="E906" s="12" t="s">
        <v>29</v>
      </c>
      <c r="F906" t="s">
        <v>30</v>
      </c>
      <c r="G906">
        <v>32.8371203553017</v>
      </c>
      <c r="H906">
        <v>34.9792189455856</v>
      </c>
      <c r="I906">
        <f t="shared" si="66"/>
        <v>2022</v>
      </c>
      <c r="J906">
        <f t="shared" si="67"/>
        <v>30</v>
      </c>
      <c r="K906" s="2">
        <v>44762</v>
      </c>
      <c r="L906" s="2" t="s">
        <v>23</v>
      </c>
      <c r="M906" t="s">
        <v>2768</v>
      </c>
      <c r="N906" t="s">
        <v>2769</v>
      </c>
      <c r="O906" s="9" t="str">
        <f ca="1">IFERROR(__xludf.DUMMYFUNCTION("GOOGLETRANSLATE(D92,""ru"",""en"")"),"The concentration of jellyfish near the east coast of the Mediterranean Sea is growing - Newsru.co.il")</f>
        <v>The concentration of jellyfish near the east coast of the Mediterranean Sea is growing - Newsru.co.il</v>
      </c>
      <c r="P906" s="9">
        <v>1</v>
      </c>
      <c r="R906">
        <f t="shared" si="64"/>
        <v>79</v>
      </c>
      <c r="S906">
        <f t="shared" si="65"/>
        <v>64</v>
      </c>
    </row>
    <row r="907" spans="1:19" x14ac:dyDescent="0.2">
      <c r="A907"/>
      <c r="B907" t="s">
        <v>2770</v>
      </c>
      <c r="C907" t="s">
        <v>440</v>
      </c>
      <c r="D907" t="s">
        <v>2737</v>
      </c>
      <c r="I907">
        <f t="shared" si="66"/>
        <v>2022</v>
      </c>
      <c r="J907">
        <f t="shared" si="67"/>
        <v>30</v>
      </c>
      <c r="K907" s="2">
        <v>44762</v>
      </c>
      <c r="L907" s="2" t="s">
        <v>23</v>
      </c>
      <c r="M907" t="s">
        <v>2771</v>
      </c>
      <c r="N907" t="s">
        <v>2772</v>
      </c>
      <c r="O907" s="12" t="s">
        <v>2773</v>
      </c>
      <c r="P907" s="12">
        <v>1</v>
      </c>
      <c r="R907">
        <f t="shared" si="64"/>
        <v>79</v>
      </c>
      <c r="S907">
        <f t="shared" si="65"/>
        <v>0</v>
      </c>
    </row>
    <row r="908" spans="1:19" x14ac:dyDescent="0.2">
      <c r="A908" s="12">
        <v>39</v>
      </c>
      <c r="B908" s="12" t="s">
        <v>2774</v>
      </c>
      <c r="C908" s="12" t="s">
        <v>2409</v>
      </c>
      <c r="D908" s="13" t="s">
        <v>2775</v>
      </c>
      <c r="E908" s="12" t="s">
        <v>29</v>
      </c>
      <c r="F908" s="12" t="s">
        <v>30</v>
      </c>
      <c r="G908" s="12"/>
      <c r="H908" s="12"/>
      <c r="I908">
        <f t="shared" si="66"/>
        <v>2022</v>
      </c>
      <c r="J908">
        <f t="shared" si="67"/>
        <v>30</v>
      </c>
      <c r="K908" s="14">
        <v>44762</v>
      </c>
      <c r="L908" s="2" t="s">
        <v>23</v>
      </c>
      <c r="M908" s="12" t="s">
        <v>2776</v>
      </c>
      <c r="N908" s="12" t="s">
        <v>2777</v>
      </c>
      <c r="O908" s="9" t="str">
        <f ca="1">IFERROR(__xludf.DUMMYFUNCTION("GOOGLETRANSLATE(D23,""ru"",""en"")"),"The Medusa season on the Israeli coast of the Mediterranean Sea continues: when bathing, care should be observed - Newsru.co.il")</f>
        <v>The Medusa season on the Israeli coast of the Mediterranean Sea continues: when bathing, care should be observed - Newsru.co.il</v>
      </c>
      <c r="P908" s="9">
        <v>1</v>
      </c>
      <c r="R908">
        <f t="shared" si="64"/>
        <v>79</v>
      </c>
      <c r="S908">
        <f t="shared" si="65"/>
        <v>64</v>
      </c>
    </row>
    <row r="909" spans="1:19" x14ac:dyDescent="0.2">
      <c r="A909" s="9">
        <v>82</v>
      </c>
      <c r="B909" s="9" t="s">
        <v>2778</v>
      </c>
      <c r="C909" s="9" t="s">
        <v>2779</v>
      </c>
      <c r="D909" s="10" t="s">
        <v>2780</v>
      </c>
      <c r="E909" s="12" t="s">
        <v>29</v>
      </c>
      <c r="F909" s="9" t="s">
        <v>30</v>
      </c>
      <c r="G909" s="9"/>
      <c r="H909" s="9"/>
      <c r="I909">
        <f t="shared" si="66"/>
        <v>2022</v>
      </c>
      <c r="J909">
        <f t="shared" si="67"/>
        <v>30</v>
      </c>
      <c r="K909" s="11">
        <v>44762</v>
      </c>
      <c r="L909" s="2" t="s">
        <v>23</v>
      </c>
      <c r="M909" s="9" t="s">
        <v>2781</v>
      </c>
      <c r="N909" s="9" t="s">
        <v>2782</v>
      </c>
      <c r="O909" s="12" t="s">
        <v>2783</v>
      </c>
      <c r="P909" s="12">
        <v>1</v>
      </c>
      <c r="R909">
        <f t="shared" si="64"/>
        <v>79</v>
      </c>
      <c r="S909">
        <f t="shared" si="65"/>
        <v>64</v>
      </c>
    </row>
    <row r="910" spans="1:19" x14ac:dyDescent="0.2">
      <c r="A910" s="9">
        <v>155</v>
      </c>
      <c r="B910" s="9" t="s">
        <v>2784</v>
      </c>
      <c r="C910" s="9" t="s">
        <v>2785</v>
      </c>
      <c r="D910" s="10" t="s">
        <v>2786</v>
      </c>
      <c r="E910" s="12" t="s">
        <v>29</v>
      </c>
      <c r="F910" s="9" t="s">
        <v>30</v>
      </c>
      <c r="G910" s="9"/>
      <c r="H910" s="9"/>
      <c r="I910">
        <f t="shared" si="66"/>
        <v>2022</v>
      </c>
      <c r="J910">
        <f t="shared" si="67"/>
        <v>30</v>
      </c>
      <c r="K910" s="11">
        <v>44762</v>
      </c>
      <c r="L910" s="2" t="s">
        <v>23</v>
      </c>
      <c r="M910" s="9" t="s">
        <v>2787</v>
      </c>
      <c r="N910" s="9" t="s">
        <v>2788</v>
      </c>
      <c r="O910" s="9" t="str">
        <f ca="1">IFERROR(__xludf.DUMMYFUNCTION("GOOGLETRANSLATE(D68,""ru"",""en"")"),"In Israel, jellyfish paralyzed the operation of the power plant - RBC")</f>
        <v>In Israel, jellyfish paralyzed the operation of the power plant - RBC</v>
      </c>
      <c r="P910" s="9">
        <v>1</v>
      </c>
      <c r="R910">
        <f t="shared" si="64"/>
        <v>79</v>
      </c>
      <c r="S910">
        <f t="shared" si="65"/>
        <v>64</v>
      </c>
    </row>
    <row r="911" spans="1:19" x14ac:dyDescent="0.2">
      <c r="A911" s="9">
        <v>266</v>
      </c>
      <c r="B911" s="9" t="s">
        <v>2789</v>
      </c>
      <c r="C911" s="9" t="s">
        <v>2790</v>
      </c>
      <c r="D911" s="10" t="s">
        <v>2791</v>
      </c>
      <c r="E911" s="10"/>
      <c r="F911" s="9"/>
      <c r="G911" s="9"/>
      <c r="H911" s="9"/>
      <c r="I911">
        <v>2022</v>
      </c>
      <c r="J911">
        <f t="shared" si="67"/>
        <v>30</v>
      </c>
      <c r="K911" s="11">
        <v>44762</v>
      </c>
      <c r="L911" s="2" t="s">
        <v>23</v>
      </c>
      <c r="M911" s="9" t="s">
        <v>2792</v>
      </c>
      <c r="N911" s="9" t="s">
        <v>2793</v>
      </c>
      <c r="O911" s="12" t="str">
        <f ca="1">IFERROR(__xludf.DUMMYFUNCTION("GOOGLETRANSLATE(D141,""ru"",""en"")"),"Hordes of jellyfish moves to Israel - Armenia News - Terth.am")</f>
        <v>Hordes of jellyfish moves to Israel - Armenia News - Terth.am</v>
      </c>
      <c r="P911" s="12">
        <v>1</v>
      </c>
      <c r="R911">
        <f t="shared" si="64"/>
        <v>79</v>
      </c>
      <c r="S911">
        <f t="shared" si="65"/>
        <v>0</v>
      </c>
    </row>
    <row r="912" spans="1:19" x14ac:dyDescent="0.2">
      <c r="A912" s="9">
        <v>44</v>
      </c>
      <c r="B912" s="9" t="s">
        <v>2794</v>
      </c>
      <c r="C912" s="9" t="s">
        <v>2795</v>
      </c>
      <c r="D912" s="10" t="s">
        <v>2796</v>
      </c>
      <c r="E912" s="12" t="s">
        <v>29</v>
      </c>
      <c r="F912" s="9" t="s">
        <v>30</v>
      </c>
      <c r="G912" s="9"/>
      <c r="H912" s="9"/>
      <c r="I912">
        <f t="shared" ref="I912:I975" si="68">YEAR(K912)</f>
        <v>2022</v>
      </c>
      <c r="J912">
        <f t="shared" si="67"/>
        <v>30</v>
      </c>
      <c r="K912" s="11">
        <v>44762</v>
      </c>
      <c r="L912" s="2" t="s">
        <v>23</v>
      </c>
      <c r="M912" s="9" t="s">
        <v>2797</v>
      </c>
      <c r="N912" s="9" t="s">
        <v>2798</v>
      </c>
      <c r="O912" s="9" t="str">
        <f ca="1">IFERROR(__xludf.DUMMYFUNCTION("GOOGLETRANSLATE(D25,""ru"",""en"")"),"The first Medusa appeared near the Mediterranean coast of Israel")</f>
        <v>The first Medusa appeared near the Mediterranean coast of Israel</v>
      </c>
      <c r="P912" s="9">
        <v>1</v>
      </c>
      <c r="R912">
        <f t="shared" si="64"/>
        <v>79</v>
      </c>
      <c r="S912">
        <f t="shared" si="65"/>
        <v>64</v>
      </c>
    </row>
    <row r="913" spans="1:19" x14ac:dyDescent="0.2">
      <c r="A913" s="9">
        <v>113</v>
      </c>
      <c r="B913" s="9" t="s">
        <v>2799</v>
      </c>
      <c r="C913" s="9" t="s">
        <v>2767</v>
      </c>
      <c r="D913" s="9" t="s">
        <v>2800</v>
      </c>
      <c r="E913" s="12" t="s">
        <v>29</v>
      </c>
      <c r="F913" s="9" t="s">
        <v>30</v>
      </c>
      <c r="I913">
        <f t="shared" si="68"/>
        <v>2022</v>
      </c>
      <c r="J913">
        <f t="shared" si="67"/>
        <v>30</v>
      </c>
      <c r="K913" s="16">
        <v>44762</v>
      </c>
      <c r="L913" s="2" t="s">
        <v>23</v>
      </c>
      <c r="M913" s="9" t="s">
        <v>2801</v>
      </c>
      <c r="N913" s="9" t="s">
        <v>2802</v>
      </c>
      <c r="O913" s="12" t="str">
        <f ca="1">IFERROR(__xludf.DUMMYFUNCTION("GOOGLETRANSLATE(D212,""ru"",""en"")"),"Israeli beaches attack jellyfish")</f>
        <v>Israeli beaches attack jellyfish</v>
      </c>
      <c r="P913" s="12">
        <v>1</v>
      </c>
      <c r="R913">
        <f t="shared" si="64"/>
        <v>79</v>
      </c>
      <c r="S913">
        <f t="shared" si="65"/>
        <v>64</v>
      </c>
    </row>
    <row r="914" spans="1:19" x14ac:dyDescent="0.2">
      <c r="A914" s="12">
        <v>347</v>
      </c>
      <c r="B914" s="12" t="s">
        <v>2803</v>
      </c>
      <c r="C914" s="12" t="s">
        <v>2804</v>
      </c>
      <c r="D914" s="12" t="s">
        <v>2805</v>
      </c>
      <c r="E914" s="12" t="s">
        <v>29</v>
      </c>
      <c r="F914" s="12" t="s">
        <v>30</v>
      </c>
      <c r="I914">
        <f t="shared" si="68"/>
        <v>2022</v>
      </c>
      <c r="J914">
        <f t="shared" si="67"/>
        <v>30</v>
      </c>
      <c r="K914" s="17">
        <v>44762</v>
      </c>
      <c r="L914" s="2" t="s">
        <v>23</v>
      </c>
      <c r="M914" s="12" t="s">
        <v>2806</v>
      </c>
      <c r="N914" s="12" t="s">
        <v>2807</v>
      </c>
      <c r="O914" s="9" t="s">
        <v>2808</v>
      </c>
      <c r="P914" s="9">
        <v>1</v>
      </c>
      <c r="R914">
        <f t="shared" si="64"/>
        <v>79</v>
      </c>
      <c r="S914">
        <f t="shared" si="65"/>
        <v>64</v>
      </c>
    </row>
    <row r="915" spans="1:19" x14ac:dyDescent="0.2">
      <c r="A915">
        <v>17</v>
      </c>
      <c r="B915" t="s">
        <v>2809</v>
      </c>
      <c r="C915" t="s">
        <v>2810</v>
      </c>
      <c r="D915" t="s">
        <v>2811</v>
      </c>
      <c r="E915" s="12" t="s">
        <v>29</v>
      </c>
      <c r="F915" t="s">
        <v>30</v>
      </c>
      <c r="G915">
        <v>32.8371203553017</v>
      </c>
      <c r="H915">
        <v>34.9792189455856</v>
      </c>
      <c r="I915">
        <f t="shared" si="68"/>
        <v>2022</v>
      </c>
      <c r="J915">
        <f t="shared" si="67"/>
        <v>30</v>
      </c>
      <c r="K915" s="2">
        <v>44763</v>
      </c>
      <c r="L915" s="2" t="s">
        <v>23</v>
      </c>
      <c r="M915" t="s">
        <v>2812</v>
      </c>
      <c r="N915" t="s">
        <v>2813</v>
      </c>
      <c r="O915" s="12" t="str">
        <f ca="1">IFERROR(__xludf.DUMMYFUNCTION("GOOGLETRANSLATE(D235,""ru"",""en"")"),"Meduses threaten the power supply of Israel")</f>
        <v>Meduses threaten the power supply of Israel</v>
      </c>
      <c r="P915" s="12">
        <v>1</v>
      </c>
      <c r="R915">
        <f t="shared" si="64"/>
        <v>79</v>
      </c>
      <c r="S915">
        <f t="shared" si="65"/>
        <v>64</v>
      </c>
    </row>
    <row r="916" spans="1:19" x14ac:dyDescent="0.2">
      <c r="A916">
        <v>274</v>
      </c>
      <c r="B916" t="s">
        <v>2814</v>
      </c>
      <c r="C916" t="s">
        <v>2815</v>
      </c>
      <c r="D916" t="s">
        <v>2811</v>
      </c>
      <c r="E916" s="12" t="s">
        <v>29</v>
      </c>
      <c r="F916" t="s">
        <v>30</v>
      </c>
      <c r="G916">
        <v>32.8371203553017</v>
      </c>
      <c r="H916">
        <v>34.9792189455856</v>
      </c>
      <c r="I916">
        <f t="shared" si="68"/>
        <v>2022</v>
      </c>
      <c r="J916">
        <f t="shared" si="67"/>
        <v>30</v>
      </c>
      <c r="K916" s="2">
        <v>44763</v>
      </c>
      <c r="L916" s="2" t="s">
        <v>23</v>
      </c>
      <c r="M916" t="s">
        <v>2816</v>
      </c>
      <c r="N916" t="s">
        <v>2813</v>
      </c>
      <c r="O916" s="9" t="str">
        <f ca="1">IFERROR(__xludf.DUMMYFUNCTION("GOOGLETRANSLATE(D87,""ru"",""en"")"),"Medusa is already here: what to do with a burn and how to find out a dislocation")</f>
        <v>Medusa is already here: what to do with a burn and how to find out a dislocation</v>
      </c>
      <c r="P916" s="9">
        <v>1</v>
      </c>
      <c r="R916">
        <f t="shared" si="64"/>
        <v>79</v>
      </c>
      <c r="S916">
        <f t="shared" si="65"/>
        <v>64</v>
      </c>
    </row>
    <row r="917" spans="1:19" x14ac:dyDescent="0.2">
      <c r="B917" t="s">
        <v>2817</v>
      </c>
      <c r="C917" t="s">
        <v>2818</v>
      </c>
      <c r="D917" t="s">
        <v>2819</v>
      </c>
      <c r="E917" s="12" t="s">
        <v>29</v>
      </c>
      <c r="F917" t="s">
        <v>30</v>
      </c>
      <c r="G917">
        <v>32.8371203553017</v>
      </c>
      <c r="H917">
        <v>34.9792189455856</v>
      </c>
      <c r="I917">
        <f t="shared" si="68"/>
        <v>2022</v>
      </c>
      <c r="J917">
        <f t="shared" si="67"/>
        <v>30</v>
      </c>
      <c r="K917" s="2">
        <v>44763</v>
      </c>
      <c r="L917" s="2" t="s">
        <v>23</v>
      </c>
      <c r="M917" t="s">
        <v>2820</v>
      </c>
      <c r="N917" t="s">
        <v>2821</v>
      </c>
      <c r="O917" s="12" t="s">
        <v>2822</v>
      </c>
      <c r="P917" s="12">
        <v>1</v>
      </c>
      <c r="R917">
        <f t="shared" si="64"/>
        <v>79</v>
      </c>
      <c r="S917">
        <f t="shared" si="65"/>
        <v>64</v>
      </c>
    </row>
    <row r="918" spans="1:19" x14ac:dyDescent="0.2">
      <c r="B918" t="s">
        <v>2823</v>
      </c>
      <c r="C918" t="s">
        <v>2824</v>
      </c>
      <c r="D918" t="s">
        <v>2825</v>
      </c>
      <c r="E918" s="12" t="s">
        <v>29</v>
      </c>
      <c r="F918" t="s">
        <v>30</v>
      </c>
      <c r="G918">
        <v>32.8371203553017</v>
      </c>
      <c r="H918">
        <v>34.9792189455856</v>
      </c>
      <c r="I918">
        <f t="shared" si="68"/>
        <v>2022</v>
      </c>
      <c r="J918">
        <f t="shared" si="67"/>
        <v>30</v>
      </c>
      <c r="K918" s="2">
        <v>44763</v>
      </c>
      <c r="L918" s="2" t="s">
        <v>23</v>
      </c>
      <c r="M918" t="s">
        <v>2826</v>
      </c>
      <c r="N918" t="s">
        <v>2827</v>
      </c>
      <c r="O918" s="9" t="s">
        <v>2828</v>
      </c>
      <c r="P918" s="9">
        <v>1</v>
      </c>
      <c r="R918">
        <f t="shared" si="64"/>
        <v>79</v>
      </c>
      <c r="S918">
        <f t="shared" si="65"/>
        <v>64</v>
      </c>
    </row>
    <row r="919" spans="1:19" x14ac:dyDescent="0.2">
      <c r="B919" t="s">
        <v>2829</v>
      </c>
      <c r="C919" t="s">
        <v>2830</v>
      </c>
      <c r="D919" t="s">
        <v>2831</v>
      </c>
      <c r="E919" s="12" t="s">
        <v>29</v>
      </c>
      <c r="F919" t="s">
        <v>30</v>
      </c>
      <c r="G919">
        <v>32.8371203553017</v>
      </c>
      <c r="H919">
        <v>34.9792189455856</v>
      </c>
      <c r="I919">
        <f t="shared" si="68"/>
        <v>2022</v>
      </c>
      <c r="J919">
        <f t="shared" si="67"/>
        <v>30</v>
      </c>
      <c r="K919" s="2">
        <v>44763</v>
      </c>
      <c r="L919" s="2" t="s">
        <v>23</v>
      </c>
      <c r="M919" t="s">
        <v>2832</v>
      </c>
      <c r="N919" t="s">
        <v>2714</v>
      </c>
      <c r="O919" s="12" t="s">
        <v>2833</v>
      </c>
      <c r="P919" s="12">
        <v>1</v>
      </c>
      <c r="R919">
        <f t="shared" si="64"/>
        <v>79</v>
      </c>
      <c r="S919">
        <f t="shared" si="65"/>
        <v>64</v>
      </c>
    </row>
    <row r="920" spans="1:19" x14ac:dyDescent="0.2">
      <c r="B920" t="s">
        <v>2834</v>
      </c>
      <c r="C920" t="s">
        <v>2835</v>
      </c>
      <c r="D920" t="s">
        <v>2836</v>
      </c>
      <c r="E920" s="5" t="s">
        <v>100</v>
      </c>
      <c r="F920" t="s">
        <v>885</v>
      </c>
      <c r="G920">
        <v>32.515814807338202</v>
      </c>
      <c r="H920">
        <v>34.896646884804703</v>
      </c>
      <c r="I920">
        <f t="shared" si="68"/>
        <v>2022</v>
      </c>
      <c r="J920">
        <f t="shared" si="67"/>
        <v>30</v>
      </c>
      <c r="K920" s="2">
        <v>44763</v>
      </c>
      <c r="L920" s="2" t="s">
        <v>23</v>
      </c>
      <c r="M920" t="s">
        <v>2837</v>
      </c>
      <c r="N920" t="s">
        <v>2838</v>
      </c>
      <c r="O920" s="9" t="s">
        <v>2839</v>
      </c>
      <c r="P920" s="9">
        <v>1</v>
      </c>
      <c r="R920">
        <f t="shared" si="64"/>
        <v>79</v>
      </c>
      <c r="S920">
        <f t="shared" si="65"/>
        <v>3</v>
      </c>
    </row>
    <row r="921" spans="1:19" x14ac:dyDescent="0.2">
      <c r="A921">
        <v>47</v>
      </c>
      <c r="B921" t="s">
        <v>2840</v>
      </c>
      <c r="C921" t="s">
        <v>752</v>
      </c>
      <c r="D921" t="s">
        <v>2841</v>
      </c>
      <c r="E921" s="5" t="s">
        <v>73</v>
      </c>
      <c r="F921" t="s">
        <v>74</v>
      </c>
      <c r="G921">
        <v>32.093438590230903</v>
      </c>
      <c r="H921">
        <v>34.767717357132298</v>
      </c>
      <c r="I921">
        <f t="shared" si="68"/>
        <v>2022</v>
      </c>
      <c r="J921">
        <f t="shared" si="67"/>
        <v>30</v>
      </c>
      <c r="K921" s="2">
        <v>44763</v>
      </c>
      <c r="L921" s="2" t="s">
        <v>23</v>
      </c>
      <c r="M921" t="s">
        <v>2842</v>
      </c>
      <c r="N921" t="s">
        <v>2843</v>
      </c>
      <c r="O921" s="12" t="str">
        <f ca="1">IFERROR(__xludf.DUMMYFUNCTION("GOOGLETRANSLATE(D91,""ru"",""en"")"),"The Mediterranean Sea and the Medus season! The beaches of Israel. Rain in June in Israel - YouTube")</f>
        <v>The Mediterranean Sea and the Medus season! The beaches of Israel. Rain in June in Israel - YouTube</v>
      </c>
      <c r="P921" s="12">
        <v>1</v>
      </c>
      <c r="R921">
        <f t="shared" si="64"/>
        <v>79</v>
      </c>
      <c r="S921">
        <f t="shared" si="65"/>
        <v>2</v>
      </c>
    </row>
    <row r="922" spans="1:19" x14ac:dyDescent="0.2">
      <c r="A922" s="12"/>
      <c r="B922" s="12"/>
      <c r="C922" s="12" t="s">
        <v>331</v>
      </c>
      <c r="D922" s="13" t="s">
        <v>2844</v>
      </c>
      <c r="E922" s="12" t="s">
        <v>29</v>
      </c>
      <c r="F922" s="12" t="s">
        <v>30</v>
      </c>
      <c r="G922" s="12"/>
      <c r="H922" s="12"/>
      <c r="I922">
        <f t="shared" si="68"/>
        <v>2022</v>
      </c>
      <c r="J922">
        <f t="shared" si="67"/>
        <v>30</v>
      </c>
      <c r="K922" s="14">
        <v>44763</v>
      </c>
      <c r="L922" s="2" t="s">
        <v>23</v>
      </c>
      <c r="M922" s="12"/>
      <c r="N922" s="12"/>
      <c r="O922" s="9" t="str">
        <f ca="1">IFERROR(__xludf.DUMMYFUNCTION("GOOGLETRANSLATE(D148,""ru"",""en"")"),"Dangerous jellyfish attacked Israeli beaches")</f>
        <v>Dangerous jellyfish attacked Israeli beaches</v>
      </c>
      <c r="P922" s="9">
        <v>1</v>
      </c>
      <c r="R922">
        <f t="shared" si="64"/>
        <v>79</v>
      </c>
      <c r="S922">
        <f t="shared" si="65"/>
        <v>64</v>
      </c>
    </row>
    <row r="923" spans="1:19" x14ac:dyDescent="0.2">
      <c r="A923" s="9">
        <v>235</v>
      </c>
      <c r="B923" s="9" t="s">
        <v>2845</v>
      </c>
      <c r="C923" s="9" t="s">
        <v>2846</v>
      </c>
      <c r="D923" s="9" t="s">
        <v>2847</v>
      </c>
      <c r="E923" s="12" t="s">
        <v>29</v>
      </c>
      <c r="F923" s="9" t="s">
        <v>30</v>
      </c>
      <c r="I923">
        <f t="shared" si="68"/>
        <v>2022</v>
      </c>
      <c r="J923">
        <f t="shared" si="67"/>
        <v>30</v>
      </c>
      <c r="K923" s="16">
        <v>44763</v>
      </c>
      <c r="L923" s="2" t="s">
        <v>23</v>
      </c>
      <c r="M923" s="9" t="s">
        <v>2848</v>
      </c>
      <c r="N923" s="9" t="s">
        <v>2849</v>
      </c>
      <c r="O923" s="12" t="str">
        <f ca="1">IFERROR(__xludf.DUMMYFUNCTION("GOOGLETRANSLATE(D37,""ru"",""en"")"),"Meduses attack! ACKO Beach, Israel - YouTube")</f>
        <v>Meduses attack! ACKO Beach, Israel - YouTube</v>
      </c>
      <c r="P923" s="12">
        <v>1</v>
      </c>
      <c r="R923">
        <f t="shared" si="64"/>
        <v>79</v>
      </c>
      <c r="S923">
        <f t="shared" si="65"/>
        <v>64</v>
      </c>
    </row>
    <row r="924" spans="1:19" x14ac:dyDescent="0.2">
      <c r="A924" s="12">
        <v>343</v>
      </c>
      <c r="B924" s="12" t="s">
        <v>2850</v>
      </c>
      <c r="C924" s="12" t="s">
        <v>2846</v>
      </c>
      <c r="D924" s="12" t="s">
        <v>2851</v>
      </c>
      <c r="E924" s="12"/>
      <c r="F924" s="12"/>
      <c r="I924">
        <f t="shared" si="68"/>
        <v>2022</v>
      </c>
      <c r="J924">
        <f t="shared" si="67"/>
        <v>30</v>
      </c>
      <c r="K924" s="17">
        <v>44763</v>
      </c>
      <c r="L924" s="2" t="s">
        <v>23</v>
      </c>
      <c r="M924" s="13" t="s">
        <v>2852</v>
      </c>
      <c r="N924" s="12" t="s">
        <v>2853</v>
      </c>
      <c r="O924" s="9"/>
      <c r="P924" s="9">
        <v>1</v>
      </c>
      <c r="R924">
        <f t="shared" si="64"/>
        <v>79</v>
      </c>
      <c r="S924">
        <f t="shared" si="65"/>
        <v>0</v>
      </c>
    </row>
    <row r="925" spans="1:19" x14ac:dyDescent="0.2">
      <c r="A925">
        <v>678</v>
      </c>
      <c r="B925" t="s">
        <v>2854</v>
      </c>
      <c r="C925" t="s">
        <v>1042</v>
      </c>
      <c r="D925" t="s">
        <v>2855</v>
      </c>
      <c r="E925" s="4" t="s">
        <v>21</v>
      </c>
      <c r="F925" t="s">
        <v>64</v>
      </c>
      <c r="G925">
        <v>31.8169667122236</v>
      </c>
      <c r="H925">
        <v>34.639611775767101</v>
      </c>
      <c r="I925">
        <f t="shared" si="68"/>
        <v>2022</v>
      </c>
      <c r="J925">
        <f t="shared" si="67"/>
        <v>30</v>
      </c>
      <c r="K925" s="2">
        <v>44764</v>
      </c>
      <c r="L925" s="2" t="s">
        <v>23</v>
      </c>
      <c r="M925" t="s">
        <v>2856</v>
      </c>
      <c r="N925" t="s">
        <v>2857</v>
      </c>
      <c r="O925" s="12"/>
      <c r="P925" s="12">
        <v>1</v>
      </c>
      <c r="R925">
        <f t="shared" si="64"/>
        <v>79</v>
      </c>
      <c r="S925">
        <f t="shared" si="65"/>
        <v>3</v>
      </c>
    </row>
    <row r="926" spans="1:19" x14ac:dyDescent="0.2">
      <c r="A926" s="1">
        <v>422</v>
      </c>
      <c r="B926" t="s">
        <v>2858</v>
      </c>
      <c r="C926" t="s">
        <v>1931</v>
      </c>
      <c r="D926" t="s">
        <v>2859</v>
      </c>
      <c r="E926" s="12" t="s">
        <v>29</v>
      </c>
      <c r="F926" t="s">
        <v>30</v>
      </c>
      <c r="G926">
        <v>32.8371203553017</v>
      </c>
      <c r="H926">
        <v>34.9792189455856</v>
      </c>
      <c r="I926">
        <f t="shared" si="68"/>
        <v>2022</v>
      </c>
      <c r="J926">
        <f t="shared" si="67"/>
        <v>30</v>
      </c>
      <c r="K926" s="2">
        <v>44764</v>
      </c>
      <c r="L926" s="2" t="s">
        <v>23</v>
      </c>
      <c r="M926" t="s">
        <v>2860</v>
      </c>
      <c r="N926" t="s">
        <v>2861</v>
      </c>
      <c r="O926" s="9" t="s">
        <v>2862</v>
      </c>
      <c r="P926" s="9">
        <v>1</v>
      </c>
      <c r="R926">
        <f t="shared" si="64"/>
        <v>79</v>
      </c>
      <c r="S926">
        <f t="shared" si="65"/>
        <v>64</v>
      </c>
    </row>
    <row r="927" spans="1:19" x14ac:dyDescent="0.2">
      <c r="A927" s="1">
        <v>403</v>
      </c>
      <c r="B927" t="s">
        <v>2863</v>
      </c>
      <c r="C927" t="s">
        <v>1552</v>
      </c>
      <c r="D927" t="s">
        <v>2864</v>
      </c>
      <c r="E927" s="12" t="s">
        <v>29</v>
      </c>
      <c r="F927" t="s">
        <v>30</v>
      </c>
      <c r="G927">
        <v>32.8371203553017</v>
      </c>
      <c r="H927">
        <v>34.9792189455856</v>
      </c>
      <c r="I927">
        <f t="shared" si="68"/>
        <v>2022</v>
      </c>
      <c r="J927">
        <f t="shared" si="67"/>
        <v>30</v>
      </c>
      <c r="K927" s="2">
        <v>44765</v>
      </c>
      <c r="L927" s="2" t="s">
        <v>23</v>
      </c>
      <c r="M927" t="s">
        <v>2865</v>
      </c>
      <c r="N927" t="s">
        <v>2866</v>
      </c>
      <c r="O927" s="12"/>
      <c r="P927" s="12">
        <v>1</v>
      </c>
      <c r="R927">
        <f t="shared" si="64"/>
        <v>79</v>
      </c>
      <c r="S927">
        <f t="shared" si="65"/>
        <v>64</v>
      </c>
    </row>
    <row r="928" spans="1:19" x14ac:dyDescent="0.2">
      <c r="B928" t="s">
        <v>2867</v>
      </c>
      <c r="C928" t="s">
        <v>2868</v>
      </c>
      <c r="D928" t="s">
        <v>2869</v>
      </c>
      <c r="E928" s="12" t="s">
        <v>29</v>
      </c>
      <c r="F928" t="s">
        <v>30</v>
      </c>
      <c r="G928">
        <v>32.8371203553017</v>
      </c>
      <c r="H928">
        <v>34.9792189455856</v>
      </c>
      <c r="I928">
        <f t="shared" si="68"/>
        <v>2022</v>
      </c>
      <c r="J928">
        <f t="shared" si="67"/>
        <v>30</v>
      </c>
      <c r="K928" s="2">
        <v>44765</v>
      </c>
      <c r="L928" s="2" t="s">
        <v>23</v>
      </c>
      <c r="M928" t="s">
        <v>2870</v>
      </c>
      <c r="N928" t="s">
        <v>2871</v>
      </c>
      <c r="O928" s="9" t="s">
        <v>2872</v>
      </c>
      <c r="P928" s="9">
        <v>1</v>
      </c>
      <c r="R928">
        <f t="shared" si="64"/>
        <v>79</v>
      </c>
      <c r="S928">
        <f t="shared" si="65"/>
        <v>64</v>
      </c>
    </row>
    <row r="929" spans="1:19" x14ac:dyDescent="0.2">
      <c r="B929" t="s">
        <v>2863</v>
      </c>
      <c r="C929" t="s">
        <v>1552</v>
      </c>
      <c r="D929" t="s">
        <v>2864</v>
      </c>
      <c r="E929" s="12" t="s">
        <v>29</v>
      </c>
      <c r="F929" t="s">
        <v>30</v>
      </c>
      <c r="G929">
        <v>32.8371203553017</v>
      </c>
      <c r="H929">
        <v>34.9792189455856</v>
      </c>
      <c r="I929">
        <f t="shared" si="68"/>
        <v>2022</v>
      </c>
      <c r="J929">
        <f t="shared" si="67"/>
        <v>30</v>
      </c>
      <c r="K929" s="2">
        <v>44765</v>
      </c>
      <c r="L929" s="2" t="s">
        <v>23</v>
      </c>
      <c r="M929" t="s">
        <v>2865</v>
      </c>
      <c r="N929" t="s">
        <v>2866</v>
      </c>
      <c r="O929" s="9" t="str">
        <f ca="1">IFERROR(__xludf.DUMMYFUNCTION("googletranslate(D192,""ar"",""en"")"),"Jellyfish attacks Israeli power stations and threatens to stop them ...")</f>
        <v>Jellyfish attacks Israeli power stations and threatens to stop them ...</v>
      </c>
      <c r="P929" s="9">
        <v>1</v>
      </c>
      <c r="R929">
        <f t="shared" si="64"/>
        <v>79</v>
      </c>
      <c r="S929">
        <f t="shared" si="65"/>
        <v>64</v>
      </c>
    </row>
    <row r="930" spans="1:19" x14ac:dyDescent="0.2">
      <c r="A930"/>
      <c r="B930" t="s">
        <v>2873</v>
      </c>
      <c r="C930" t="s">
        <v>52</v>
      </c>
      <c r="D930" t="s">
        <v>2874</v>
      </c>
      <c r="I930">
        <f t="shared" si="68"/>
        <v>2022</v>
      </c>
      <c r="J930">
        <f t="shared" si="67"/>
        <v>30</v>
      </c>
      <c r="K930" s="2">
        <v>44765</v>
      </c>
      <c r="L930" s="2" t="s">
        <v>23</v>
      </c>
      <c r="M930" t="s">
        <v>2875</v>
      </c>
      <c r="N930" t="s">
        <v>2876</v>
      </c>
      <c r="O930" s="12" t="str">
        <f ca="1">IFERROR(__xludf.DUMMYFUNCTION("googletranslate(D36,""ar"",""en"")"),"Hundreds of tons of jellyfish attacks Israeli power stations - Palestine weather")</f>
        <v>Hundreds of tons of jellyfish attacks Israeli power stations - Palestine weather</v>
      </c>
      <c r="P930" s="12">
        <v>1</v>
      </c>
      <c r="R930">
        <f t="shared" si="64"/>
        <v>79</v>
      </c>
      <c r="S930">
        <f t="shared" si="65"/>
        <v>0</v>
      </c>
    </row>
    <row r="931" spans="1:19" x14ac:dyDescent="0.2">
      <c r="A931"/>
      <c r="B931" t="s">
        <v>2877</v>
      </c>
      <c r="C931" t="s">
        <v>52</v>
      </c>
      <c r="D931" t="s">
        <v>2878</v>
      </c>
      <c r="I931">
        <f t="shared" si="68"/>
        <v>2022</v>
      </c>
      <c r="J931">
        <f t="shared" si="67"/>
        <v>30</v>
      </c>
      <c r="K931" s="2">
        <v>44765</v>
      </c>
      <c r="L931" s="2" t="s">
        <v>23</v>
      </c>
      <c r="M931" t="s">
        <v>2879</v>
      </c>
      <c r="N931" t="s">
        <v>2876</v>
      </c>
      <c r="O931" s="9" t="str">
        <f ca="1">IFERROR(__xludf.DUMMYFUNCTION("googletranslate(D244,""ar"",""en"")"),"What is the reason for the flow of the poisonous jellyfish after the expansion of the Suez Canal?")</f>
        <v>What is the reason for the flow of the poisonous jellyfish after the expansion of the Suez Canal?</v>
      </c>
      <c r="P931">
        <v>1</v>
      </c>
      <c r="R931">
        <f t="shared" si="64"/>
        <v>79</v>
      </c>
      <c r="S931">
        <f t="shared" si="65"/>
        <v>0</v>
      </c>
    </row>
    <row r="932" spans="1:19" x14ac:dyDescent="0.2">
      <c r="A932" s="9">
        <v>8</v>
      </c>
      <c r="B932" s="9" t="s">
        <v>2880</v>
      </c>
      <c r="C932" s="9" t="s">
        <v>610</v>
      </c>
      <c r="D932" s="9" t="s">
        <v>2881</v>
      </c>
      <c r="E932" s="12" t="s">
        <v>29</v>
      </c>
      <c r="F932" s="9" t="s">
        <v>30</v>
      </c>
      <c r="I932">
        <f t="shared" si="68"/>
        <v>2022</v>
      </c>
      <c r="J932">
        <f t="shared" si="67"/>
        <v>30</v>
      </c>
      <c r="K932" s="16">
        <v>44765</v>
      </c>
      <c r="L932" s="2" t="s">
        <v>23</v>
      </c>
      <c r="M932" s="9" t="s">
        <v>2882</v>
      </c>
      <c r="N932" s="9" t="s">
        <v>2883</v>
      </c>
      <c r="O932" s="12" t="str">
        <f ca="1">IFERROR(__xludf.DUMMYFUNCTION("googletranslate(D307,""ar"",""en"")"),"The jellyfish is the enemy of the Gazans while they are heading to the dowry and causes them ...")</f>
        <v>The jellyfish is the enemy of the Gazans while they are heading to the dowry and causes them ...</v>
      </c>
      <c r="P932" s="12">
        <v>1</v>
      </c>
      <c r="R932">
        <f t="shared" si="64"/>
        <v>79</v>
      </c>
      <c r="S932">
        <f t="shared" si="65"/>
        <v>64</v>
      </c>
    </row>
    <row r="933" spans="1:19" x14ac:dyDescent="0.2">
      <c r="A933" s="12">
        <v>20</v>
      </c>
      <c r="B933" s="12" t="s">
        <v>2884</v>
      </c>
      <c r="C933" s="12" t="s">
        <v>2885</v>
      </c>
      <c r="D933" s="12" t="s">
        <v>2886</v>
      </c>
      <c r="E933" s="12" t="s">
        <v>29</v>
      </c>
      <c r="F933" s="12" t="s">
        <v>30</v>
      </c>
      <c r="I933">
        <f t="shared" si="68"/>
        <v>2022</v>
      </c>
      <c r="J933">
        <f t="shared" si="67"/>
        <v>30</v>
      </c>
      <c r="K933" s="17">
        <v>44765</v>
      </c>
      <c r="L933" s="2" t="s">
        <v>23</v>
      </c>
      <c r="M933" s="12" t="s">
        <v>2887</v>
      </c>
      <c r="N933" s="12" t="s">
        <v>2888</v>
      </c>
      <c r="O933" s="9" t="str">
        <f ca="1">IFERROR(__xludf.DUMMYFUNCTION("googletranslate(D86,""ar"",""en"")"),"Sea jellyfish swarm")</f>
        <v>Sea jellyfish swarm</v>
      </c>
      <c r="P933">
        <v>1</v>
      </c>
      <c r="R933">
        <f t="shared" si="64"/>
        <v>79</v>
      </c>
      <c r="S933">
        <f t="shared" si="65"/>
        <v>64</v>
      </c>
    </row>
    <row r="934" spans="1:19" x14ac:dyDescent="0.2">
      <c r="A934" s="9">
        <v>62</v>
      </c>
      <c r="B934" s="9" t="s">
        <v>2889</v>
      </c>
      <c r="C934" s="9" t="s">
        <v>2885</v>
      </c>
      <c r="D934" s="9" t="s">
        <v>2890</v>
      </c>
      <c r="E934" s="12" t="s">
        <v>29</v>
      </c>
      <c r="F934" s="9" t="s">
        <v>30</v>
      </c>
      <c r="I934">
        <f t="shared" si="68"/>
        <v>2022</v>
      </c>
      <c r="J934">
        <f t="shared" si="67"/>
        <v>30</v>
      </c>
      <c r="K934" s="16">
        <v>44765</v>
      </c>
      <c r="L934" s="2" t="s">
        <v>23</v>
      </c>
      <c r="M934" s="9" t="s">
        <v>2891</v>
      </c>
      <c r="N934" s="9" t="s">
        <v>2892</v>
      </c>
      <c r="O934" s="12" t="str">
        <f ca="1">IFERROR(__xludf.DUMMYFUNCTION("googletranslate(D184,""ar"",""en"")"),"Zionist experts warn that millions of jellyfish approaches the coast of Palestine ...")</f>
        <v>Zionist experts warn that millions of jellyfish approaches the coast of Palestine ...</v>
      </c>
      <c r="P934" s="12">
        <v>1</v>
      </c>
      <c r="R934">
        <f t="shared" si="64"/>
        <v>79</v>
      </c>
      <c r="S934">
        <f t="shared" si="65"/>
        <v>64</v>
      </c>
    </row>
    <row r="935" spans="1:19" x14ac:dyDescent="0.2">
      <c r="B935" t="s">
        <v>2893</v>
      </c>
      <c r="C935" t="s">
        <v>2894</v>
      </c>
      <c r="D935" t="s">
        <v>2895</v>
      </c>
      <c r="E935" s="12" t="s">
        <v>29</v>
      </c>
      <c r="F935" t="s">
        <v>30</v>
      </c>
      <c r="G935">
        <v>32.8371203553017</v>
      </c>
      <c r="H935">
        <v>34.9792189455856</v>
      </c>
      <c r="I935">
        <f t="shared" si="68"/>
        <v>2022</v>
      </c>
      <c r="J935">
        <f t="shared" si="67"/>
        <v>31</v>
      </c>
      <c r="K935" s="2">
        <v>44767</v>
      </c>
      <c r="L935" s="2" t="s">
        <v>23</v>
      </c>
      <c r="M935" t="s">
        <v>2896</v>
      </c>
      <c r="N935" t="s">
        <v>2897</v>
      </c>
      <c r="O935" s="9" t="str">
        <f ca="1">IFERROR(__xludf.DUMMYFUNCTION("googletranslate(D49,""ar"",""en"")"),"Huge numbers of jellyfish on their way to the coast of Israel - Peace TV")</f>
        <v>Huge numbers of jellyfish on their way to the coast of Israel - Peace TV</v>
      </c>
      <c r="P935" s="9">
        <v>1</v>
      </c>
      <c r="R935">
        <f t="shared" si="64"/>
        <v>44</v>
      </c>
      <c r="S935">
        <f t="shared" si="65"/>
        <v>30</v>
      </c>
    </row>
    <row r="936" spans="1:19" x14ac:dyDescent="0.2">
      <c r="B936" t="s">
        <v>2898</v>
      </c>
      <c r="C936" t="s">
        <v>2756</v>
      </c>
      <c r="D936" t="s">
        <v>2899</v>
      </c>
      <c r="E936" s="12" t="s">
        <v>29</v>
      </c>
      <c r="F936" t="s">
        <v>30</v>
      </c>
      <c r="G936">
        <v>32.8371203553017</v>
      </c>
      <c r="H936">
        <v>34.9792189455856</v>
      </c>
      <c r="I936">
        <f t="shared" si="68"/>
        <v>2022</v>
      </c>
      <c r="J936">
        <f t="shared" si="67"/>
        <v>31</v>
      </c>
      <c r="K936" s="2">
        <v>44767</v>
      </c>
      <c r="L936" s="2" t="s">
        <v>23</v>
      </c>
      <c r="M936" t="s">
        <v>2900</v>
      </c>
      <c r="N936" t="s">
        <v>2901</v>
      </c>
      <c r="O936" s="12" t="str">
        <f ca="1">IFERROR(__xludf.DUMMYFUNCTION("googletranslate(D250,""ar"",""en"")"),"Sea lamps threatening to close a power station in Israel")</f>
        <v>Sea lamps threatening to close a power station in Israel</v>
      </c>
      <c r="P936" s="12">
        <v>1</v>
      </c>
      <c r="R936">
        <f t="shared" si="64"/>
        <v>44</v>
      </c>
      <c r="S936">
        <f t="shared" si="65"/>
        <v>30</v>
      </c>
    </row>
    <row r="937" spans="1:19" x14ac:dyDescent="0.2">
      <c r="B937" t="s">
        <v>2902</v>
      </c>
      <c r="C937" t="s">
        <v>2894</v>
      </c>
      <c r="D937" t="s">
        <v>2895</v>
      </c>
      <c r="E937" s="12" t="s">
        <v>29</v>
      </c>
      <c r="F937" t="s">
        <v>30</v>
      </c>
      <c r="G937">
        <v>32.8371203553017</v>
      </c>
      <c r="H937">
        <v>34.9792189455856</v>
      </c>
      <c r="I937">
        <f t="shared" si="68"/>
        <v>2022</v>
      </c>
      <c r="J937">
        <f t="shared" si="67"/>
        <v>31</v>
      </c>
      <c r="K937" s="2">
        <v>44767</v>
      </c>
      <c r="L937" s="2" t="s">
        <v>23</v>
      </c>
      <c r="M937" t="s">
        <v>2903</v>
      </c>
      <c r="N937" t="s">
        <v>2897</v>
      </c>
      <c r="O937" s="9" t="str">
        <f ca="1">IFERROR(__xludf.DUMMYFUNCTION("googletranslate(D111,""ar"",""en"")"),"Sea lamps threatening to close a power station in (Israel) | Press news")</f>
        <v>Sea lamps threatening to close a power station in (Israel) | Press news</v>
      </c>
      <c r="P937" s="9">
        <v>1</v>
      </c>
      <c r="R937">
        <f t="shared" si="64"/>
        <v>44</v>
      </c>
      <c r="S937">
        <f t="shared" si="65"/>
        <v>30</v>
      </c>
    </row>
    <row r="938" spans="1:19" x14ac:dyDescent="0.2">
      <c r="B938" t="s">
        <v>2904</v>
      </c>
      <c r="C938" t="s">
        <v>59</v>
      </c>
      <c r="D938" t="s">
        <v>2905</v>
      </c>
      <c r="E938" s="12" t="s">
        <v>29</v>
      </c>
      <c r="F938" t="s">
        <v>30</v>
      </c>
      <c r="G938">
        <v>32.8371203553017</v>
      </c>
      <c r="H938">
        <v>34.9792189455856</v>
      </c>
      <c r="I938">
        <f t="shared" si="68"/>
        <v>2022</v>
      </c>
      <c r="J938">
        <f t="shared" si="67"/>
        <v>31</v>
      </c>
      <c r="K938" s="2">
        <v>44767</v>
      </c>
      <c r="L938" s="2" t="s">
        <v>23</v>
      </c>
      <c r="M938" t="s">
        <v>2906</v>
      </c>
      <c r="N938" t="s">
        <v>2907</v>
      </c>
      <c r="O938" s="12" t="str">
        <f ca="1">IFERROR(__xludf.DUMMYFUNCTION("googletranslate(D29,""ar"",""en"")"),"Witness: The jellyfish attacks an electricity generation station in Israel - YouTube")</f>
        <v>Witness: The jellyfish attacks an electricity generation station in Israel - YouTube</v>
      </c>
      <c r="P938" s="12">
        <v>1</v>
      </c>
      <c r="R938">
        <f t="shared" si="64"/>
        <v>44</v>
      </c>
      <c r="S938">
        <f t="shared" si="65"/>
        <v>30</v>
      </c>
    </row>
    <row r="939" spans="1:19" x14ac:dyDescent="0.2">
      <c r="B939" t="s">
        <v>2908</v>
      </c>
      <c r="C939" t="s">
        <v>2909</v>
      </c>
      <c r="D939" t="s">
        <v>2910</v>
      </c>
      <c r="E939" s="12" t="s">
        <v>29</v>
      </c>
      <c r="F939" t="s">
        <v>30</v>
      </c>
      <c r="G939">
        <v>32.8371203553017</v>
      </c>
      <c r="H939">
        <v>34.9792189455856</v>
      </c>
      <c r="I939">
        <f t="shared" si="68"/>
        <v>2022</v>
      </c>
      <c r="J939">
        <f t="shared" si="67"/>
        <v>31</v>
      </c>
      <c r="K939" s="2">
        <v>44767</v>
      </c>
      <c r="L939" s="2" t="s">
        <v>23</v>
      </c>
      <c r="M939" t="s">
        <v>2911</v>
      </c>
      <c r="N939" t="s">
        <v>2912</v>
      </c>
      <c r="O939" s="9" t="str">
        <f ca="1">IFERROR(__xludf.DUMMYFUNCTION("googletranslate(D182,""ar"",""en"")"),"After its spread on the Mediterranean coasts ... the environment issues a statement on the jellyfish ...")</f>
        <v>After its spread on the Mediterranean coasts ... the environment issues a statement on the jellyfish ...</v>
      </c>
      <c r="P939">
        <v>1</v>
      </c>
      <c r="R939">
        <f t="shared" si="64"/>
        <v>44</v>
      </c>
      <c r="S939">
        <f t="shared" si="65"/>
        <v>30</v>
      </c>
    </row>
    <row r="940" spans="1:19" x14ac:dyDescent="0.2">
      <c r="B940" t="s">
        <v>2913</v>
      </c>
      <c r="C940" t="s">
        <v>2914</v>
      </c>
      <c r="D940" t="s">
        <v>2915</v>
      </c>
      <c r="E940" s="12" t="s">
        <v>29</v>
      </c>
      <c r="F940" t="s">
        <v>30</v>
      </c>
      <c r="G940">
        <v>32.8371203553017</v>
      </c>
      <c r="H940">
        <v>34.9792189455856</v>
      </c>
      <c r="I940">
        <f t="shared" si="68"/>
        <v>2022</v>
      </c>
      <c r="J940">
        <f t="shared" si="67"/>
        <v>31</v>
      </c>
      <c r="K940" s="2">
        <v>44767</v>
      </c>
      <c r="L940" s="2" t="s">
        <v>23</v>
      </c>
      <c r="M940" t="s">
        <v>2916</v>
      </c>
      <c r="N940" t="s">
        <v>2917</v>
      </c>
      <c r="O940" s="12" t="str">
        <f ca="1">IFERROR(__xludf.DUMMYFUNCTION("googletranslate(D295,""ar"",""en"")"),"Environment »: The« Al -Qanadil »receding from the beaches of Alexandria ... and committees of a survey ...")</f>
        <v>Environment »: The« Al -Qanadil »receding from the beaches of Alexandria ... and committees of a survey ...</v>
      </c>
      <c r="P940">
        <v>1</v>
      </c>
      <c r="R940">
        <f t="shared" si="64"/>
        <v>44</v>
      </c>
      <c r="S940">
        <f t="shared" si="65"/>
        <v>30</v>
      </c>
    </row>
    <row r="941" spans="1:19" x14ac:dyDescent="0.2">
      <c r="B941" t="s">
        <v>2918</v>
      </c>
      <c r="C941" t="s">
        <v>2919</v>
      </c>
      <c r="D941" t="s">
        <v>2920</v>
      </c>
      <c r="E941" s="12" t="s">
        <v>29</v>
      </c>
      <c r="F941" t="s">
        <v>30</v>
      </c>
      <c r="G941">
        <v>32.8371203553017</v>
      </c>
      <c r="H941">
        <v>34.9792189455856</v>
      </c>
      <c r="I941">
        <f t="shared" si="68"/>
        <v>2022</v>
      </c>
      <c r="J941">
        <f t="shared" si="67"/>
        <v>31</v>
      </c>
      <c r="K941" s="2">
        <v>44767</v>
      </c>
      <c r="L941" s="2" t="s">
        <v>23</v>
      </c>
      <c r="M941" t="s">
        <v>2921</v>
      </c>
      <c r="N941" t="s">
        <v>2922</v>
      </c>
      <c r="O941" s="9" t="str">
        <f ca="1">IFERROR(__xludf.DUMMYFUNCTION("googletranslate(D233,""ar"",""en"")"),"The arrival of toxic jellyfish to the beaches of Palestine - News Agency ...")</f>
        <v>The arrival of toxic jellyfish to the beaches of Palestine - News Agency ...</v>
      </c>
      <c r="P941" s="9">
        <v>1</v>
      </c>
      <c r="R941">
        <f t="shared" si="64"/>
        <v>44</v>
      </c>
      <c r="S941">
        <f t="shared" si="65"/>
        <v>30</v>
      </c>
    </row>
    <row r="942" spans="1:19" x14ac:dyDescent="0.2">
      <c r="B942" t="s">
        <v>2923</v>
      </c>
      <c r="C942" t="s">
        <v>2694</v>
      </c>
      <c r="D942" t="s">
        <v>2924</v>
      </c>
      <c r="E942" s="12" t="s">
        <v>29</v>
      </c>
      <c r="F942" t="s">
        <v>30</v>
      </c>
      <c r="G942">
        <v>32.8371203553017</v>
      </c>
      <c r="H942">
        <v>34.9792189455856</v>
      </c>
      <c r="I942">
        <f t="shared" si="68"/>
        <v>2022</v>
      </c>
      <c r="J942">
        <f t="shared" si="67"/>
        <v>31</v>
      </c>
      <c r="K942" s="2">
        <v>44767</v>
      </c>
      <c r="L942" s="2" t="s">
        <v>23</v>
      </c>
      <c r="M942" t="s">
        <v>2925</v>
      </c>
      <c r="N942" t="s">
        <v>2926</v>
      </c>
      <c r="O942" s="12" t="str">
        <f ca="1">IFERROR(__xludf.DUMMYFUNCTION("googletranslate(D199,""ar"",""en"")"),"Pictures .. Thousands of vacationers on Port Said Beach in a challenge to the appearance of Qandil ...")</f>
        <v>Pictures .. Thousands of vacationers on Port Said Beach in a challenge to the appearance of Qandil ...</v>
      </c>
      <c r="P942">
        <v>1</v>
      </c>
      <c r="R942">
        <f t="shared" si="64"/>
        <v>44</v>
      </c>
      <c r="S942">
        <f t="shared" si="65"/>
        <v>30</v>
      </c>
    </row>
    <row r="943" spans="1:19" x14ac:dyDescent="0.2">
      <c r="B943" t="s">
        <v>2858</v>
      </c>
      <c r="C943" t="s">
        <v>1931</v>
      </c>
      <c r="D943" t="s">
        <v>2927</v>
      </c>
      <c r="E943" s="12" t="s">
        <v>29</v>
      </c>
      <c r="F943" t="s">
        <v>30</v>
      </c>
      <c r="G943">
        <v>32.8371203553017</v>
      </c>
      <c r="H943">
        <v>34.9792189455856</v>
      </c>
      <c r="I943">
        <f t="shared" si="68"/>
        <v>2022</v>
      </c>
      <c r="J943">
        <f t="shared" si="67"/>
        <v>31</v>
      </c>
      <c r="K943" s="2">
        <v>44767</v>
      </c>
      <c r="L943" s="2" t="s">
        <v>23</v>
      </c>
      <c r="M943" t="s">
        <v>2860</v>
      </c>
      <c r="N943" t="s">
        <v>2928</v>
      </c>
      <c r="O943" s="9" t="str">
        <f ca="1">IFERROR(__xludf.DUMMYFUNCTION("googletranslate(D160,""ar"",""en"")"),"Toxic jellyfish sweeps the beaches of Palestine Ramallah")</f>
        <v>Toxic jellyfish sweeps the beaches of Palestine Ramallah</v>
      </c>
      <c r="P943" s="9">
        <v>1</v>
      </c>
      <c r="R943">
        <f t="shared" si="64"/>
        <v>44</v>
      </c>
      <c r="S943">
        <f t="shared" si="65"/>
        <v>30</v>
      </c>
    </row>
    <row r="944" spans="1:19" x14ac:dyDescent="0.2">
      <c r="A944"/>
      <c r="B944" t="s">
        <v>2929</v>
      </c>
      <c r="C944" t="s">
        <v>1931</v>
      </c>
      <c r="D944" t="s">
        <v>2930</v>
      </c>
      <c r="I944">
        <f t="shared" si="68"/>
        <v>2022</v>
      </c>
      <c r="J944">
        <f t="shared" si="67"/>
        <v>31</v>
      </c>
      <c r="K944" s="2">
        <v>44767</v>
      </c>
      <c r="L944" s="2" t="s">
        <v>23</v>
      </c>
      <c r="M944" t="s">
        <v>2931</v>
      </c>
      <c r="N944" t="s">
        <v>2710</v>
      </c>
      <c r="O944" s="12" t="str">
        <f ca="1">IFERROR(__xludf.DUMMYFUNCTION("googletranslate(D8,""ar"",""en"")"),"Site here Summer vacation ... Beware of the jellyfish: Midasa: The shores of Israel are sweeping millions")</f>
        <v>Site here Summer vacation ... Beware of the jellyfish: Midasa: The shores of Israel are sweeping millions</v>
      </c>
      <c r="P944" s="12">
        <v>1</v>
      </c>
      <c r="R944">
        <f t="shared" si="64"/>
        <v>44</v>
      </c>
      <c r="S944">
        <f t="shared" si="65"/>
        <v>0</v>
      </c>
    </row>
    <row r="945" spans="1:19" x14ac:dyDescent="0.2">
      <c r="A945" s="12">
        <v>109</v>
      </c>
      <c r="B945" s="12" t="s">
        <v>2932</v>
      </c>
      <c r="C945" s="12" t="s">
        <v>2933</v>
      </c>
      <c r="D945" s="13" t="s">
        <v>2934</v>
      </c>
      <c r="E945" s="13"/>
      <c r="F945" s="12"/>
      <c r="G945" s="12"/>
      <c r="H945" s="12"/>
      <c r="I945">
        <f t="shared" si="68"/>
        <v>2022</v>
      </c>
      <c r="J945">
        <f t="shared" si="67"/>
        <v>31</v>
      </c>
      <c r="K945" s="14">
        <v>44767</v>
      </c>
      <c r="L945" s="2" t="s">
        <v>23</v>
      </c>
      <c r="M945" s="12" t="s">
        <v>2935</v>
      </c>
      <c r="N945" s="12" t="s">
        <v>2936</v>
      </c>
      <c r="O945" s="9" t="str">
        <f ca="1">IFERROR(__xludf.DUMMYFUNCTION("googletranslate(D170,""ar"",""en"")"),"The jellyfish spoils the pleasure of swimming in the Gaza Sea")</f>
        <v>The jellyfish spoils the pleasure of swimming in the Gaza Sea</v>
      </c>
      <c r="P945" s="9">
        <v>1</v>
      </c>
      <c r="R945">
        <f t="shared" si="64"/>
        <v>44</v>
      </c>
      <c r="S945">
        <f t="shared" si="65"/>
        <v>0</v>
      </c>
    </row>
    <row r="946" spans="1:19" x14ac:dyDescent="0.2">
      <c r="A946" s="12">
        <v>125</v>
      </c>
      <c r="B946" s="12" t="s">
        <v>2937</v>
      </c>
      <c r="C946" s="12" t="s">
        <v>2938</v>
      </c>
      <c r="D946" s="13" t="s">
        <v>2939</v>
      </c>
      <c r="E946" s="13"/>
      <c r="F946" s="12"/>
      <c r="G946" s="12"/>
      <c r="H946" s="12"/>
      <c r="I946">
        <f t="shared" si="68"/>
        <v>2022</v>
      </c>
      <c r="J946">
        <f t="shared" si="67"/>
        <v>31</v>
      </c>
      <c r="K946" s="14">
        <v>44767</v>
      </c>
      <c r="L946" s="2" t="s">
        <v>23</v>
      </c>
      <c r="M946" s="12" t="s">
        <v>2940</v>
      </c>
      <c r="N946" s="12" t="s">
        <v>2941</v>
      </c>
      <c r="O946" s="12" t="str">
        <f ca="1">IFERROR(__xludf.DUMMYFUNCTION("googletranslate(D287,""ar"",""en"")"),"Pictures - How do rescue and ambulance teams deal with ...")</f>
        <v>Pictures - How do rescue and ambulance teams deal with ...</v>
      </c>
      <c r="P946">
        <v>1</v>
      </c>
      <c r="R946">
        <f t="shared" si="64"/>
        <v>44</v>
      </c>
      <c r="S946">
        <f t="shared" si="65"/>
        <v>0</v>
      </c>
    </row>
    <row r="947" spans="1:19" x14ac:dyDescent="0.2">
      <c r="A947" s="12">
        <v>209</v>
      </c>
      <c r="B947" s="12" t="s">
        <v>2942</v>
      </c>
      <c r="C947" s="12" t="s">
        <v>1093</v>
      </c>
      <c r="D947" s="13" t="s">
        <v>2943</v>
      </c>
      <c r="E947" s="13"/>
      <c r="F947" s="12"/>
      <c r="G947" s="12"/>
      <c r="H947" s="12"/>
      <c r="I947">
        <f t="shared" si="68"/>
        <v>2022</v>
      </c>
      <c r="J947">
        <f t="shared" si="67"/>
        <v>31</v>
      </c>
      <c r="K947" s="14">
        <v>44767</v>
      </c>
      <c r="L947" s="2" t="s">
        <v>23</v>
      </c>
      <c r="M947" s="12" t="s">
        <v>2944</v>
      </c>
      <c r="N947" s="12" t="s">
        <v>2945</v>
      </c>
      <c r="O947" s="9" t="str">
        <f ca="1">IFERROR(__xludf.DUMMYFUNCTION("googletranslate(D288,""ar"",""en"")"),"Grag a Palestinian news network specialized in following up events in ...")</f>
        <v>Grag a Palestinian news network specialized in following up events in ...</v>
      </c>
      <c r="P947">
        <v>1</v>
      </c>
      <c r="R947">
        <f t="shared" si="64"/>
        <v>44</v>
      </c>
      <c r="S947">
        <f t="shared" si="65"/>
        <v>0</v>
      </c>
    </row>
    <row r="948" spans="1:19" x14ac:dyDescent="0.2">
      <c r="A948" s="12">
        <v>239</v>
      </c>
      <c r="B948" s="12" t="s">
        <v>2946</v>
      </c>
      <c r="C948" s="12" t="s">
        <v>887</v>
      </c>
      <c r="D948" s="13" t="s">
        <v>2947</v>
      </c>
      <c r="E948" s="13"/>
      <c r="F948" s="12"/>
      <c r="G948" s="12"/>
      <c r="H948" s="12"/>
      <c r="I948">
        <f t="shared" si="68"/>
        <v>2022</v>
      </c>
      <c r="J948">
        <f t="shared" si="67"/>
        <v>31</v>
      </c>
      <c r="K948" s="14">
        <v>44767</v>
      </c>
      <c r="L948" s="2" t="s">
        <v>23</v>
      </c>
      <c r="M948" s="12" t="s">
        <v>2948</v>
      </c>
      <c r="N948" s="12" t="s">
        <v>2949</v>
      </c>
      <c r="O948" s="12" t="str">
        <f ca="1">IFERROR(__xludf.DUMMYFUNCTION("googletranslate(D284,""ar"",""en"")"),"The jellyfish compete with the Ghazlis in the invasion of the sea - Nawa Network, Palestinian women")</f>
        <v>The jellyfish compete with the Ghazlis in the invasion of the sea - Nawa Network, Palestinian women</v>
      </c>
      <c r="P948" s="12">
        <v>1</v>
      </c>
      <c r="R948">
        <f t="shared" si="64"/>
        <v>44</v>
      </c>
      <c r="S948">
        <f t="shared" si="65"/>
        <v>0</v>
      </c>
    </row>
    <row r="949" spans="1:19" x14ac:dyDescent="0.2">
      <c r="A949" s="12">
        <v>43</v>
      </c>
      <c r="B949" s="12" t="s">
        <v>2950</v>
      </c>
      <c r="C949" s="12" t="s">
        <v>2951</v>
      </c>
      <c r="D949" s="12" t="s">
        <v>2952</v>
      </c>
      <c r="E949" s="12"/>
      <c r="F949" s="12"/>
      <c r="I949">
        <f t="shared" si="68"/>
        <v>2022</v>
      </c>
      <c r="J949">
        <f t="shared" si="67"/>
        <v>31</v>
      </c>
      <c r="K949" s="17">
        <v>44767</v>
      </c>
      <c r="L949" s="2" t="s">
        <v>23</v>
      </c>
      <c r="M949" s="12" t="s">
        <v>2953</v>
      </c>
      <c r="N949" s="12" t="s">
        <v>2954</v>
      </c>
      <c r="O949" s="9"/>
      <c r="P949" s="9">
        <v>1</v>
      </c>
      <c r="R949">
        <f t="shared" si="64"/>
        <v>44</v>
      </c>
      <c r="S949">
        <f t="shared" si="65"/>
        <v>0</v>
      </c>
    </row>
    <row r="950" spans="1:19" x14ac:dyDescent="0.2">
      <c r="A950" s="9">
        <v>111</v>
      </c>
      <c r="B950" s="9" t="s">
        <v>2955</v>
      </c>
      <c r="C950" s="9" t="s">
        <v>2956</v>
      </c>
      <c r="D950" s="9" t="s">
        <v>2957</v>
      </c>
      <c r="E950" s="12" t="s">
        <v>29</v>
      </c>
      <c r="F950" s="9" t="s">
        <v>30</v>
      </c>
      <c r="I950">
        <f t="shared" si="68"/>
        <v>2022</v>
      </c>
      <c r="J950">
        <f t="shared" si="67"/>
        <v>31</v>
      </c>
      <c r="K950" s="16">
        <v>44767</v>
      </c>
      <c r="L950" s="2" t="s">
        <v>23</v>
      </c>
      <c r="M950" s="9" t="s">
        <v>2958</v>
      </c>
      <c r="N950" s="9" t="s">
        <v>2959</v>
      </c>
      <c r="O950" s="12" t="str">
        <f ca="1">IFERROR(__xludf.DUMMYFUNCTION("googletranslate(D357,""ar"",""en"")"),"The jellyfish .. a spread bothering the Gaza sea pioneers")</f>
        <v>The jellyfish .. a spread bothering the Gaza sea pioneers</v>
      </c>
      <c r="P950">
        <v>1</v>
      </c>
      <c r="R950">
        <f t="shared" si="64"/>
        <v>44</v>
      </c>
      <c r="S950">
        <f t="shared" si="65"/>
        <v>30</v>
      </c>
    </row>
    <row r="951" spans="1:19" x14ac:dyDescent="0.2">
      <c r="A951" s="12">
        <v>29</v>
      </c>
      <c r="B951" s="12" t="s">
        <v>2960</v>
      </c>
      <c r="C951" s="12" t="s">
        <v>2961</v>
      </c>
      <c r="D951" s="12" t="s">
        <v>2962</v>
      </c>
      <c r="E951" s="12" t="s">
        <v>29</v>
      </c>
      <c r="F951" s="12" t="s">
        <v>30</v>
      </c>
      <c r="I951">
        <f t="shared" si="68"/>
        <v>2022</v>
      </c>
      <c r="J951">
        <f t="shared" si="67"/>
        <v>31</v>
      </c>
      <c r="K951" s="17">
        <v>44767</v>
      </c>
      <c r="L951" s="2" t="s">
        <v>23</v>
      </c>
      <c r="M951" s="12" t="s">
        <v>2963</v>
      </c>
      <c r="N951" s="12" t="s">
        <v>2964</v>
      </c>
      <c r="O951" s="9"/>
      <c r="P951" s="9">
        <v>1</v>
      </c>
      <c r="R951">
        <f t="shared" si="64"/>
        <v>44</v>
      </c>
      <c r="S951">
        <f t="shared" si="65"/>
        <v>30</v>
      </c>
    </row>
    <row r="952" spans="1:19" x14ac:dyDescent="0.2">
      <c r="A952" s="12">
        <v>16</v>
      </c>
      <c r="B952" s="12" t="s">
        <v>2965</v>
      </c>
      <c r="C952" s="12" t="s">
        <v>2966</v>
      </c>
      <c r="D952" s="12" t="s">
        <v>2967</v>
      </c>
      <c r="E952" s="12" t="s">
        <v>29</v>
      </c>
      <c r="F952" s="12" t="s">
        <v>30</v>
      </c>
      <c r="I952">
        <f t="shared" si="68"/>
        <v>2022</v>
      </c>
      <c r="J952">
        <f t="shared" si="67"/>
        <v>31</v>
      </c>
      <c r="K952" s="17">
        <v>44767</v>
      </c>
      <c r="L952" s="2" t="s">
        <v>23</v>
      </c>
      <c r="M952" s="12" t="s">
        <v>2968</v>
      </c>
      <c r="N952" s="12" t="s">
        <v>2969</v>
      </c>
      <c r="O952" s="12" t="str">
        <f ca="1">IFERROR(__xludf.DUMMYFUNCTION("googletranslate(D188,""ar"",""en"")"),"Discovering an antidote to the most poisonous animal in the world Health Arab 48")</f>
        <v>Discovering an antidote to the most poisonous animal in the world Health Arab 48</v>
      </c>
      <c r="P952">
        <v>1</v>
      </c>
      <c r="R952">
        <f t="shared" si="64"/>
        <v>44</v>
      </c>
      <c r="S952">
        <f t="shared" si="65"/>
        <v>30</v>
      </c>
    </row>
    <row r="953" spans="1:19" x14ac:dyDescent="0.2">
      <c r="A953" s="12">
        <v>115</v>
      </c>
      <c r="B953" s="12" t="s">
        <v>2970</v>
      </c>
      <c r="C953" s="12" t="s">
        <v>2971</v>
      </c>
      <c r="D953" s="12" t="s">
        <v>2972</v>
      </c>
      <c r="E953" s="12"/>
      <c r="F953" s="12"/>
      <c r="I953">
        <f t="shared" si="68"/>
        <v>2022</v>
      </c>
      <c r="J953">
        <f t="shared" si="67"/>
        <v>31</v>
      </c>
      <c r="K953" s="17">
        <v>44767</v>
      </c>
      <c r="L953" s="2" t="s">
        <v>23</v>
      </c>
      <c r="M953" s="12" t="s">
        <v>2973</v>
      </c>
      <c r="N953" s="12" t="s">
        <v>2974</v>
      </c>
      <c r="O953" s="9" t="str">
        <f ca="1">IFERROR(__xludf.DUMMYFUNCTION("googletranslate(D272,""ar"",""en"")"),"It contains a poison that causes paralysis and then death .. A deadly sea being sneaked into ...")</f>
        <v>It contains a poison that causes paralysis and then death .. A deadly sea being sneaked into ...</v>
      </c>
      <c r="P953">
        <v>1</v>
      </c>
      <c r="R953">
        <f t="shared" si="64"/>
        <v>44</v>
      </c>
      <c r="S953">
        <f t="shared" si="65"/>
        <v>0</v>
      </c>
    </row>
    <row r="954" spans="1:19" x14ac:dyDescent="0.2">
      <c r="A954" s="9">
        <v>51</v>
      </c>
      <c r="B954" s="9" t="s">
        <v>2975</v>
      </c>
      <c r="C954" s="9" t="s">
        <v>2885</v>
      </c>
      <c r="D954" s="9" t="s">
        <v>2976</v>
      </c>
      <c r="E954" s="12" t="s">
        <v>29</v>
      </c>
      <c r="F954" s="9" t="s">
        <v>30</v>
      </c>
      <c r="I954">
        <f t="shared" si="68"/>
        <v>2022</v>
      </c>
      <c r="J954">
        <f t="shared" si="67"/>
        <v>31</v>
      </c>
      <c r="K954" s="16">
        <v>44767</v>
      </c>
      <c r="L954" s="2" t="s">
        <v>23</v>
      </c>
      <c r="M954" s="9" t="s">
        <v>2977</v>
      </c>
      <c r="N954" s="9" t="s">
        <v>2978</v>
      </c>
      <c r="O954" s="12" t="str">
        <f ca="1">IFERROR(__xludf.DUMMYFUNCTION("googletranslate(D80,""ar"",""en"")"),"On the beaches of Gaza ... a sticky white jellyfish that disturbs the vacationers")</f>
        <v>On the beaches of Gaza ... a sticky white jellyfish that disturbs the vacationers</v>
      </c>
      <c r="P954" s="12">
        <v>1</v>
      </c>
      <c r="R954">
        <f t="shared" si="64"/>
        <v>44</v>
      </c>
      <c r="S954">
        <f t="shared" si="65"/>
        <v>30</v>
      </c>
    </row>
    <row r="955" spans="1:19" x14ac:dyDescent="0.2">
      <c r="B955" t="s">
        <v>2979</v>
      </c>
      <c r="C955" t="s">
        <v>2980</v>
      </c>
      <c r="D955" t="s">
        <v>2981</v>
      </c>
      <c r="E955" s="12" t="s">
        <v>29</v>
      </c>
      <c r="F955" t="s">
        <v>30</v>
      </c>
      <c r="G955">
        <v>32.8371203553017</v>
      </c>
      <c r="H955">
        <v>34.9792189455856</v>
      </c>
      <c r="I955">
        <f t="shared" si="68"/>
        <v>2022</v>
      </c>
      <c r="J955">
        <f t="shared" si="67"/>
        <v>31</v>
      </c>
      <c r="K955" s="2">
        <v>44768</v>
      </c>
      <c r="L955" s="2" t="s">
        <v>23</v>
      </c>
      <c r="M955" t="s">
        <v>2982</v>
      </c>
      <c r="N955" t="s">
        <v>2983</v>
      </c>
      <c r="O955" s="9" t="str">
        <f ca="1">IFERROR(__xludf.DUMMYFUNCTION("googletranslate(D71,""ar"",""en"")"),"Beware - jellyfish in front of you!")</f>
        <v>Beware - jellyfish in front of you!</v>
      </c>
      <c r="P955" s="9">
        <v>1</v>
      </c>
      <c r="R955">
        <f t="shared" si="64"/>
        <v>44</v>
      </c>
      <c r="S955">
        <f t="shared" si="65"/>
        <v>30</v>
      </c>
    </row>
    <row r="956" spans="1:19" x14ac:dyDescent="0.2">
      <c r="B956" t="s">
        <v>2984</v>
      </c>
      <c r="C956" t="s">
        <v>2985</v>
      </c>
      <c r="D956" t="s">
        <v>2986</v>
      </c>
      <c r="E956" s="12" t="s">
        <v>29</v>
      </c>
      <c r="F956" t="s">
        <v>30</v>
      </c>
      <c r="G956">
        <v>32.8371203553017</v>
      </c>
      <c r="H956">
        <v>34.9792189455856</v>
      </c>
      <c r="I956">
        <f t="shared" si="68"/>
        <v>2022</v>
      </c>
      <c r="J956">
        <f t="shared" si="67"/>
        <v>31</v>
      </c>
      <c r="K956" s="2">
        <v>44768</v>
      </c>
      <c r="L956" s="2" t="s">
        <v>23</v>
      </c>
      <c r="M956" t="s">
        <v>2987</v>
      </c>
      <c r="N956" t="s">
        <v>2988</v>
      </c>
      <c r="O956" s="12" t="str">
        <f ca="1">IFERROR(__xludf.DUMMYFUNCTION("googletranslate(D200,""ar"",""en"")"),"Within 10 days, the jellyfish disappears from the sea water Palestine today")</f>
        <v>Within 10 days, the jellyfish disappears from the sea water Palestine today</v>
      </c>
      <c r="P956" s="12">
        <v>1</v>
      </c>
      <c r="R956">
        <f t="shared" si="64"/>
        <v>44</v>
      </c>
      <c r="S956">
        <f t="shared" si="65"/>
        <v>30</v>
      </c>
    </row>
    <row r="957" spans="1:19" x14ac:dyDescent="0.2">
      <c r="B957" t="s">
        <v>2989</v>
      </c>
      <c r="C957" t="s">
        <v>2990</v>
      </c>
      <c r="D957" t="s">
        <v>2991</v>
      </c>
      <c r="E957" s="12" t="s">
        <v>29</v>
      </c>
      <c r="F957" t="s">
        <v>30</v>
      </c>
      <c r="G957">
        <v>32.8371203553017</v>
      </c>
      <c r="H957">
        <v>34.9792189455856</v>
      </c>
      <c r="I957">
        <f t="shared" si="68"/>
        <v>2022</v>
      </c>
      <c r="J957">
        <f t="shared" si="67"/>
        <v>31</v>
      </c>
      <c r="K957" s="2">
        <v>44768</v>
      </c>
      <c r="L957" s="2" t="s">
        <v>23</v>
      </c>
      <c r="M957" t="s">
        <v>2992</v>
      </c>
      <c r="N957" t="s">
        <v>2993</v>
      </c>
      <c r="O957" s="9" t="str">
        <f ca="1">IFERROR(__xludf.DUMMYFUNCTION("googletranslate(D31,""ar"",""en"")"),"Alkhums Divers The Five Divinities - Jellyfish / Hailfish is a marine animal of mollusks classified in the Division of the Pins its shape is a transparent disk, its gelatinous body and has long ends")</f>
        <v>Alkhums Divers The Five Divinities - Jellyfish / Hailfish is a marine animal of mollusks classified in the Division of the Pins its shape is a transparent disk, its gelatinous body and has long ends</v>
      </c>
      <c r="P957" s="9">
        <v>1</v>
      </c>
      <c r="R957">
        <f t="shared" si="64"/>
        <v>44</v>
      </c>
      <c r="S957">
        <f t="shared" si="65"/>
        <v>30</v>
      </c>
    </row>
    <row r="958" spans="1:19" x14ac:dyDescent="0.2">
      <c r="B958" t="s">
        <v>2994</v>
      </c>
      <c r="C958" t="s">
        <v>2069</v>
      </c>
      <c r="D958" t="s">
        <v>2995</v>
      </c>
      <c r="E958" s="12" t="s">
        <v>29</v>
      </c>
      <c r="F958" t="s">
        <v>30</v>
      </c>
      <c r="G958">
        <v>32.8371203553017</v>
      </c>
      <c r="H958">
        <v>34.9792189455856</v>
      </c>
      <c r="I958">
        <f t="shared" si="68"/>
        <v>2022</v>
      </c>
      <c r="J958">
        <f t="shared" si="67"/>
        <v>31</v>
      </c>
      <c r="K958" s="2">
        <v>44768</v>
      </c>
      <c r="L958" s="2" t="s">
        <v>23</v>
      </c>
      <c r="M958" t="s">
        <v>2996</v>
      </c>
      <c r="N958" t="s">
        <v>2997</v>
      </c>
      <c r="O958" s="12" t="str">
        <f ca="1">IFERROR(__xludf.DUMMYFUNCTION("googletranslate(D221,""ar"",""en"")"),"Al -Masar newspaper and location &gt;&gt; Local &gt;&gt; Beware ... the jellyfish ...")</f>
        <v>Al -Masar newspaper and location &gt;&gt; Local &gt;&gt; Beware ... the jellyfish ...</v>
      </c>
      <c r="P958" s="12">
        <v>1</v>
      </c>
      <c r="R958">
        <f t="shared" ref="R958:R997" si="69">COUNTIFS($J$2:$J$997,J958,$I$2:$I$997,I958)</f>
        <v>44</v>
      </c>
      <c r="S958">
        <f t="shared" ref="S958:S997" si="70">COUNTIFS($J$2:$J$997,J958,$I$2:$I$997,I958,$E$2:$E$997,E958)</f>
        <v>30</v>
      </c>
    </row>
    <row r="959" spans="1:19" x14ac:dyDescent="0.2">
      <c r="A959"/>
      <c r="B959" t="s">
        <v>2998</v>
      </c>
      <c r="C959" t="s">
        <v>2999</v>
      </c>
      <c r="D959" t="s">
        <v>3000</v>
      </c>
      <c r="I959">
        <f t="shared" si="68"/>
        <v>2022</v>
      </c>
      <c r="J959">
        <f t="shared" si="67"/>
        <v>31</v>
      </c>
      <c r="K959" s="2">
        <v>44768</v>
      </c>
      <c r="L959" s="2" t="s">
        <v>23</v>
      </c>
      <c r="M959" t="s">
        <v>3001</v>
      </c>
      <c r="N959" t="s">
        <v>3002</v>
      </c>
      <c r="O959" s="9" t="str">
        <f ca="1">IFERROR(__xludf.DUMMYFUNCTION("googletranslate(D84,""ar"",""en"")"),"Video: Watch the amount of jellyfish that was collected at the Ashkelon Energy Station Sawa News Agency")</f>
        <v>Video: Watch the amount of jellyfish that was collected at the Ashkelon Energy Station Sawa News Agency</v>
      </c>
      <c r="P959" s="9">
        <v>1</v>
      </c>
      <c r="R959">
        <f t="shared" si="69"/>
        <v>44</v>
      </c>
      <c r="S959">
        <f t="shared" si="70"/>
        <v>0</v>
      </c>
    </row>
    <row r="960" spans="1:19" x14ac:dyDescent="0.2">
      <c r="A960"/>
      <c r="B960" t="s">
        <v>3003</v>
      </c>
      <c r="C960" t="s">
        <v>1579</v>
      </c>
      <c r="D960" t="s">
        <v>3004</v>
      </c>
      <c r="I960">
        <f t="shared" si="68"/>
        <v>2022</v>
      </c>
      <c r="J960">
        <f t="shared" si="67"/>
        <v>31</v>
      </c>
      <c r="K960" s="2">
        <v>44768</v>
      </c>
      <c r="L960" s="2" t="s">
        <v>23</v>
      </c>
      <c r="M960" t="s">
        <v>3005</v>
      </c>
      <c r="N960" t="s">
        <v>3006</v>
      </c>
      <c r="O960" s="12" t="str">
        <f ca="1">IFERROR(__xludf.DUMMYFUNCTION("googletranslate(D69,""ar"",""en"")"),"If the Israeli epidemic does not distance the beaches, the huge beaches may keep them away - Times of Israel")</f>
        <v>If the Israeli epidemic does not distance the beaches, the huge beaches may keep them away - Times of Israel</v>
      </c>
      <c r="P960" s="12">
        <v>1</v>
      </c>
      <c r="R960">
        <f t="shared" si="69"/>
        <v>44</v>
      </c>
      <c r="S960">
        <f t="shared" si="70"/>
        <v>0</v>
      </c>
    </row>
    <row r="961" spans="1:19" x14ac:dyDescent="0.2">
      <c r="A961"/>
      <c r="B961" t="s">
        <v>3007</v>
      </c>
      <c r="C961" t="s">
        <v>2069</v>
      </c>
      <c r="D961" t="s">
        <v>3008</v>
      </c>
      <c r="I961">
        <f t="shared" si="68"/>
        <v>2022</v>
      </c>
      <c r="J961">
        <f t="shared" si="67"/>
        <v>31</v>
      </c>
      <c r="K961" s="2">
        <v>44768</v>
      </c>
      <c r="L961" s="2" t="s">
        <v>23</v>
      </c>
      <c r="M961" t="s">
        <v>3009</v>
      </c>
      <c r="N961" t="s">
        <v>3010</v>
      </c>
      <c r="O961" s="9" t="str">
        <f ca="1">IFERROR(__xludf.DUMMYFUNCTION("googletranslate(D246,""ar"",""en"")"),"His bite and the grave?")</f>
        <v>His bite and the grave?</v>
      </c>
      <c r="P961">
        <v>1</v>
      </c>
      <c r="R961">
        <f t="shared" si="69"/>
        <v>44</v>
      </c>
      <c r="S961">
        <f t="shared" si="70"/>
        <v>0</v>
      </c>
    </row>
    <row r="962" spans="1:19" x14ac:dyDescent="0.2">
      <c r="A962" s="12">
        <v>184</v>
      </c>
      <c r="B962" s="12" t="s">
        <v>3011</v>
      </c>
      <c r="C962" s="12" t="s">
        <v>962</v>
      </c>
      <c r="D962" s="13" t="s">
        <v>3012</v>
      </c>
      <c r="E962" s="12" t="s">
        <v>29</v>
      </c>
      <c r="F962" s="12" t="s">
        <v>30</v>
      </c>
      <c r="G962" s="12"/>
      <c r="H962" s="12"/>
      <c r="I962">
        <f t="shared" si="68"/>
        <v>2022</v>
      </c>
      <c r="J962">
        <f t="shared" ref="J962:J997" si="71">WEEKNUM(K962)</f>
        <v>31</v>
      </c>
      <c r="K962" s="14">
        <v>44768</v>
      </c>
      <c r="L962" s="2" t="s">
        <v>23</v>
      </c>
      <c r="M962" s="12" t="s">
        <v>3013</v>
      </c>
      <c r="N962" s="12" t="s">
        <v>3014</v>
      </c>
      <c r="O962" s="12" t="str">
        <f ca="1">IFERROR(__xludf.DUMMYFUNCTION("googletranslate(D342,""ar"",""en"")"),"Jordan- 11 people died of Corona, Halal, a day ago Place")</f>
        <v>Jordan- 11 people died of Corona, Halal, a day ago Place</v>
      </c>
      <c r="P962">
        <v>1</v>
      </c>
      <c r="R962">
        <f t="shared" si="69"/>
        <v>44</v>
      </c>
      <c r="S962">
        <f t="shared" si="70"/>
        <v>30</v>
      </c>
    </row>
    <row r="963" spans="1:19" x14ac:dyDescent="0.2">
      <c r="A963" s="12"/>
      <c r="B963" s="12"/>
      <c r="C963" s="12" t="s">
        <v>3015</v>
      </c>
      <c r="D963" s="13" t="s">
        <v>3016</v>
      </c>
      <c r="E963" s="12" t="s">
        <v>29</v>
      </c>
      <c r="F963" s="12" t="s">
        <v>30</v>
      </c>
      <c r="G963" s="12"/>
      <c r="H963" s="12"/>
      <c r="I963">
        <f t="shared" si="68"/>
        <v>2022</v>
      </c>
      <c r="J963">
        <f t="shared" si="71"/>
        <v>31</v>
      </c>
      <c r="K963" s="14">
        <v>44768</v>
      </c>
      <c r="L963" s="2" t="s">
        <v>23</v>
      </c>
      <c r="M963" s="12"/>
      <c r="N963" s="12"/>
      <c r="O963" s="9" t="str">
        <f ca="1">IFERROR(__xludf.DUMMYFUNCTION("googletranslate(D259,""ar"",""en"")"),"What do you know about the jellyfish? | Al -Mayaden")</f>
        <v>What do you know about the jellyfish? | Al -Mayaden</v>
      </c>
      <c r="P963">
        <v>1</v>
      </c>
      <c r="R963">
        <f t="shared" si="69"/>
        <v>44</v>
      </c>
      <c r="S963">
        <f t="shared" si="70"/>
        <v>30</v>
      </c>
    </row>
    <row r="964" spans="1:19" x14ac:dyDescent="0.2">
      <c r="A964" s="9">
        <v>127</v>
      </c>
      <c r="B964" s="9" t="s">
        <v>3017</v>
      </c>
      <c r="C964" s="9" t="s">
        <v>3018</v>
      </c>
      <c r="D964" s="9" t="s">
        <v>3019</v>
      </c>
      <c r="E964" s="12" t="s">
        <v>29</v>
      </c>
      <c r="F964" s="9" t="s">
        <v>30</v>
      </c>
      <c r="I964">
        <f t="shared" si="68"/>
        <v>2022</v>
      </c>
      <c r="J964">
        <f t="shared" si="71"/>
        <v>31</v>
      </c>
      <c r="K964" s="16">
        <v>44768</v>
      </c>
      <c r="L964" s="2" t="s">
        <v>23</v>
      </c>
      <c r="M964" s="9" t="s">
        <v>3020</v>
      </c>
      <c r="N964" s="9" t="s">
        <v>3021</v>
      </c>
      <c r="O964" s="12" t="str">
        <f ca="1">IFERROR(__xludf.DUMMYFUNCTION("googletranslate(D34,""ar"",""en"")"),"Beware of stings: the jellyfish reaches the beaches of the country")</f>
        <v>Beware of stings: the jellyfish reaches the beaches of the country</v>
      </c>
      <c r="P964" s="12">
        <v>1</v>
      </c>
      <c r="R964">
        <f t="shared" si="69"/>
        <v>44</v>
      </c>
      <c r="S964">
        <f t="shared" si="70"/>
        <v>30</v>
      </c>
    </row>
    <row r="965" spans="1:19" x14ac:dyDescent="0.2">
      <c r="A965" s="12">
        <v>69</v>
      </c>
      <c r="B965" s="12" t="s">
        <v>3022</v>
      </c>
      <c r="C965" s="12" t="s">
        <v>3023</v>
      </c>
      <c r="D965" s="12" t="s">
        <v>3024</v>
      </c>
      <c r="E965" s="12" t="s">
        <v>29</v>
      </c>
      <c r="F965" s="12" t="s">
        <v>30</v>
      </c>
      <c r="I965">
        <f t="shared" si="68"/>
        <v>2022</v>
      </c>
      <c r="J965">
        <f t="shared" si="71"/>
        <v>31</v>
      </c>
      <c r="K965" s="17">
        <v>44768</v>
      </c>
      <c r="L965" s="2" t="s">
        <v>23</v>
      </c>
      <c r="M965" s="12" t="s">
        <v>3025</v>
      </c>
      <c r="N965" s="12" t="s">
        <v>3021</v>
      </c>
      <c r="O965" s="9" t="str">
        <f ca="1">IFERROR(__xludf.DUMMYFUNCTION("googletranslate(D73,""ar"",""en"")"),"Masdar News Network Sea jellyfish bit ... first aid and first aid")</f>
        <v>Masdar News Network Sea jellyfish bit ... first aid and first aid</v>
      </c>
      <c r="P965" s="9">
        <v>1</v>
      </c>
      <c r="R965">
        <f t="shared" si="69"/>
        <v>44</v>
      </c>
      <c r="S965">
        <f t="shared" si="70"/>
        <v>30</v>
      </c>
    </row>
    <row r="966" spans="1:19" x14ac:dyDescent="0.2">
      <c r="A966">
        <v>604</v>
      </c>
      <c r="B966" t="s">
        <v>3026</v>
      </c>
      <c r="C966" t="s">
        <v>164</v>
      </c>
      <c r="D966" t="s">
        <v>2034</v>
      </c>
      <c r="E966" s="12" t="s">
        <v>29</v>
      </c>
      <c r="F966" t="s">
        <v>30</v>
      </c>
      <c r="G966">
        <v>32.8371203553017</v>
      </c>
      <c r="H966">
        <v>34.9792189455856</v>
      </c>
      <c r="I966">
        <f t="shared" si="68"/>
        <v>2022</v>
      </c>
      <c r="J966">
        <f t="shared" si="71"/>
        <v>31</v>
      </c>
      <c r="K966" s="2">
        <v>44769</v>
      </c>
      <c r="L966" s="2" t="s">
        <v>23</v>
      </c>
      <c r="M966" t="s">
        <v>3027</v>
      </c>
      <c r="N966" t="s">
        <v>2036</v>
      </c>
      <c r="O966" s="12" t="str">
        <f ca="1">IFERROR(__xludf.DUMMYFUNCTION("googletranslate(D297,""ar"",""en"")"),"Useful foods to reduce the risk of cancerous tumors! Echo News Agency")</f>
        <v>Useful foods to reduce the risk of cancerous tumors! Echo News Agency</v>
      </c>
      <c r="P966">
        <v>1</v>
      </c>
      <c r="R966">
        <f t="shared" si="69"/>
        <v>44</v>
      </c>
      <c r="S966">
        <f t="shared" si="70"/>
        <v>30</v>
      </c>
    </row>
    <row r="967" spans="1:19" x14ac:dyDescent="0.2">
      <c r="B967" t="s">
        <v>3028</v>
      </c>
      <c r="C967" t="s">
        <v>3029</v>
      </c>
      <c r="D967" t="s">
        <v>3030</v>
      </c>
      <c r="E967" s="12" t="s">
        <v>29</v>
      </c>
      <c r="F967" t="s">
        <v>30</v>
      </c>
      <c r="G967">
        <v>32.8371203553017</v>
      </c>
      <c r="H967">
        <v>34.9792189455856</v>
      </c>
      <c r="I967">
        <f t="shared" si="68"/>
        <v>2022</v>
      </c>
      <c r="J967">
        <f t="shared" si="71"/>
        <v>31</v>
      </c>
      <c r="K967" s="2">
        <v>44769</v>
      </c>
      <c r="L967" s="2" t="s">
        <v>23</v>
      </c>
      <c r="M967" t="s">
        <v>3031</v>
      </c>
      <c r="N967" t="s">
        <v>3032</v>
      </c>
      <c r="O967" s="9" t="str">
        <f ca="1">IFERROR(__xludf.DUMMYFUNCTION("googletranslate(D324,""ar"",""en"")"),"Semi -burns and severe redness ... symptoms of jellyfish capacity Varieties ...")</f>
        <v>Semi -burns and severe redness ... symptoms of jellyfish capacity Varieties ...</v>
      </c>
      <c r="P967">
        <v>1</v>
      </c>
      <c r="R967">
        <f t="shared" si="69"/>
        <v>44</v>
      </c>
      <c r="S967">
        <f t="shared" si="70"/>
        <v>30</v>
      </c>
    </row>
    <row r="968" spans="1:19" x14ac:dyDescent="0.2">
      <c r="A968">
        <v>70</v>
      </c>
      <c r="B968" t="s">
        <v>3033</v>
      </c>
      <c r="C968" t="s">
        <v>3034</v>
      </c>
      <c r="D968" t="s">
        <v>3035</v>
      </c>
      <c r="E968" s="5" t="s">
        <v>47</v>
      </c>
      <c r="F968" t="s">
        <v>243</v>
      </c>
      <c r="G968">
        <v>32.177466819907004</v>
      </c>
      <c r="H968">
        <v>34.801354466376203</v>
      </c>
      <c r="I968">
        <f t="shared" si="68"/>
        <v>2022</v>
      </c>
      <c r="J968">
        <f t="shared" si="71"/>
        <v>31</v>
      </c>
      <c r="K968" s="2">
        <v>44769</v>
      </c>
      <c r="L968" s="2" t="s">
        <v>23</v>
      </c>
      <c r="M968" t="s">
        <v>3036</v>
      </c>
      <c r="N968" t="s">
        <v>3037</v>
      </c>
      <c r="O968" s="12" t="str">
        <f ca="1">IFERROR(__xludf.DUMMYFUNCTION("googletranslate(D78,""ar"",""en"")"),"The emergence of a huge swarm of jellyfish off the coast of Haifa - Times of Israel")</f>
        <v>The emergence of a huge swarm of jellyfish off the coast of Haifa - Times of Israel</v>
      </c>
      <c r="P968" s="12">
        <v>1</v>
      </c>
      <c r="R968">
        <f t="shared" si="69"/>
        <v>44</v>
      </c>
      <c r="S968">
        <f t="shared" si="70"/>
        <v>2</v>
      </c>
    </row>
    <row r="969" spans="1:19" x14ac:dyDescent="0.2">
      <c r="A969"/>
      <c r="B969" t="s">
        <v>3038</v>
      </c>
      <c r="C969" t="s">
        <v>3039</v>
      </c>
      <c r="D969" t="s">
        <v>3040</v>
      </c>
      <c r="I969">
        <f t="shared" si="68"/>
        <v>2022</v>
      </c>
      <c r="J969">
        <f t="shared" si="71"/>
        <v>31</v>
      </c>
      <c r="K969" s="2">
        <v>44769</v>
      </c>
      <c r="L969" s="2" t="s">
        <v>23</v>
      </c>
      <c r="M969" t="s">
        <v>3041</v>
      </c>
      <c r="N969" t="s">
        <v>3042</v>
      </c>
      <c r="O969" s="9" t="str">
        <f ca="1">IFERROR(__xludf.DUMMYFUNCTION("googletranslate(D114,""ar"",""en"")"),"Monitoring the lanest lanesty swarm off the coast of Haifa Bay 7/20/2022")</f>
        <v>Monitoring the lanest lanesty swarm off the coast of Haifa Bay 7/20/2022</v>
      </c>
      <c r="P969" s="9">
        <v>1</v>
      </c>
      <c r="R969">
        <f t="shared" si="69"/>
        <v>44</v>
      </c>
      <c r="S969">
        <f t="shared" si="70"/>
        <v>0</v>
      </c>
    </row>
    <row r="970" spans="1:19" x14ac:dyDescent="0.2">
      <c r="A970" s="1">
        <v>442</v>
      </c>
      <c r="B970" t="s">
        <v>3043</v>
      </c>
      <c r="C970" t="s">
        <v>1697</v>
      </c>
      <c r="D970" t="s">
        <v>3044</v>
      </c>
      <c r="E970" s="12" t="s">
        <v>29</v>
      </c>
      <c r="F970" t="s">
        <v>30</v>
      </c>
      <c r="G970">
        <v>32.8371203553017</v>
      </c>
      <c r="H970">
        <v>34.9792189455856</v>
      </c>
      <c r="I970">
        <f t="shared" si="68"/>
        <v>2022</v>
      </c>
      <c r="J970">
        <f t="shared" si="71"/>
        <v>31</v>
      </c>
      <c r="K970" s="2">
        <v>44770</v>
      </c>
      <c r="L970" s="2" t="s">
        <v>23</v>
      </c>
      <c r="M970" t="s">
        <v>3045</v>
      </c>
      <c r="N970" t="s">
        <v>3046</v>
      </c>
      <c r="O970" s="12" t="str">
        <f ca="1">IFERROR(__xludf.DUMMYFUNCTION("googletranslate(D347,""ar"",""en"")"),"The jellyfish invades the Haifa Gulf area")</f>
        <v>The jellyfish invades the Haifa Gulf area</v>
      </c>
      <c r="P970" s="12">
        <v>1</v>
      </c>
      <c r="R970">
        <f t="shared" si="69"/>
        <v>44</v>
      </c>
      <c r="S970">
        <f t="shared" si="70"/>
        <v>30</v>
      </c>
    </row>
    <row r="971" spans="1:19" x14ac:dyDescent="0.2">
      <c r="B971" t="s">
        <v>3047</v>
      </c>
      <c r="C971" t="s">
        <v>3048</v>
      </c>
      <c r="D971" t="s">
        <v>3044</v>
      </c>
      <c r="E971" s="12" t="s">
        <v>29</v>
      </c>
      <c r="F971" t="s">
        <v>30</v>
      </c>
      <c r="G971">
        <v>32.8371203553017</v>
      </c>
      <c r="H971">
        <v>34.9792189455856</v>
      </c>
      <c r="I971">
        <f t="shared" si="68"/>
        <v>2022</v>
      </c>
      <c r="J971">
        <f t="shared" si="71"/>
        <v>31</v>
      </c>
      <c r="K971" s="2">
        <v>44770</v>
      </c>
      <c r="L971" s="2" t="s">
        <v>23</v>
      </c>
      <c r="M971" t="s">
        <v>3049</v>
      </c>
      <c r="N971" t="s">
        <v>3046</v>
      </c>
      <c r="O971" s="9" t="str">
        <f ca="1">IFERROR(__xludf.DUMMYFUNCTION("googletranslate(D236,""ar"",""en"")"),"Beaches - Times of Israel")</f>
        <v>Beaches - Times of Israel</v>
      </c>
      <c r="P971" s="9">
        <v>1</v>
      </c>
      <c r="R971">
        <f t="shared" si="69"/>
        <v>44</v>
      </c>
      <c r="S971">
        <f t="shared" si="70"/>
        <v>30</v>
      </c>
    </row>
    <row r="972" spans="1:19" x14ac:dyDescent="0.2">
      <c r="B972" t="s">
        <v>3050</v>
      </c>
      <c r="C972" t="s">
        <v>3051</v>
      </c>
      <c r="D972" t="s">
        <v>3052</v>
      </c>
      <c r="E972" s="12" t="s">
        <v>29</v>
      </c>
      <c r="F972" t="s">
        <v>30</v>
      </c>
      <c r="G972">
        <v>32.8371203553017</v>
      </c>
      <c r="H972">
        <v>34.9792189455856</v>
      </c>
      <c r="I972">
        <f t="shared" si="68"/>
        <v>2022</v>
      </c>
      <c r="J972">
        <f t="shared" si="71"/>
        <v>31</v>
      </c>
      <c r="K972" s="2">
        <v>44770</v>
      </c>
      <c r="L972" s="2" t="s">
        <v>23</v>
      </c>
      <c r="M972" t="s">
        <v>3053</v>
      </c>
      <c r="N972" t="s">
        <v>3054</v>
      </c>
      <c r="O972" s="12" t="str">
        <f ca="1">IFERROR(__xludf.DUMMYFUNCTION("googletranslate(D343,""ar"",""en"")"),"The Levantine Bulletin - Times of Israel")</f>
        <v>The Levantine Bulletin - Times of Israel</v>
      </c>
      <c r="P972">
        <v>1</v>
      </c>
      <c r="R972">
        <f t="shared" si="69"/>
        <v>44</v>
      </c>
      <c r="S972">
        <f t="shared" si="70"/>
        <v>30</v>
      </c>
    </row>
    <row r="973" spans="1:19" x14ac:dyDescent="0.2">
      <c r="B973" t="s">
        <v>3055</v>
      </c>
      <c r="C973" t="s">
        <v>3056</v>
      </c>
      <c r="D973" t="s">
        <v>3057</v>
      </c>
      <c r="E973" s="12" t="s">
        <v>29</v>
      </c>
      <c r="F973" t="s">
        <v>30</v>
      </c>
      <c r="G973">
        <v>32.8371203553017</v>
      </c>
      <c r="H973">
        <v>34.9792189455856</v>
      </c>
      <c r="I973">
        <f t="shared" si="68"/>
        <v>2022</v>
      </c>
      <c r="J973">
        <f t="shared" si="71"/>
        <v>31</v>
      </c>
      <c r="K973" s="2">
        <v>44770</v>
      </c>
      <c r="L973" s="2" t="s">
        <v>23</v>
      </c>
      <c r="M973" t="s">
        <v>3058</v>
      </c>
      <c r="N973" t="s">
        <v>3059</v>
      </c>
      <c r="O973" s="9" t="str">
        <f ca="1">IFERROR(__xludf.DUMMYFUNCTION("googletranslate(D121,""ar"",""en"")"),"Watch .. Thousands of sea lamps surround a boat in the sea in Israel - CNN Arabic")</f>
        <v>Watch .. Thousands of sea lamps surround a boat in the sea in Israel - CNN Arabic</v>
      </c>
      <c r="P973" s="9">
        <v>1</v>
      </c>
      <c r="R973">
        <f t="shared" si="69"/>
        <v>44</v>
      </c>
      <c r="S973">
        <f t="shared" si="70"/>
        <v>30</v>
      </c>
    </row>
    <row r="974" spans="1:19" x14ac:dyDescent="0.2">
      <c r="B974" t="s">
        <v>3060</v>
      </c>
      <c r="C974" t="s">
        <v>3061</v>
      </c>
      <c r="D974" t="s">
        <v>3062</v>
      </c>
      <c r="E974" s="12" t="s">
        <v>47</v>
      </c>
      <c r="F974" t="s">
        <v>48</v>
      </c>
      <c r="G974">
        <v>32.305869740247999</v>
      </c>
      <c r="H974">
        <v>34.842875660039503</v>
      </c>
      <c r="I974">
        <f t="shared" si="68"/>
        <v>2022</v>
      </c>
      <c r="J974">
        <f t="shared" si="71"/>
        <v>31</v>
      </c>
      <c r="K974" s="2">
        <v>44770</v>
      </c>
      <c r="L974" s="2" t="s">
        <v>23</v>
      </c>
      <c r="M974" t="s">
        <v>3063</v>
      </c>
      <c r="N974" t="s">
        <v>3064</v>
      </c>
      <c r="O974" s="12" t="str">
        <f ca="1">IFERROR(__xludf.DUMMYFUNCTION("googletranslate(D21,""ar"",""en"")"),"Cairo 24 | Jellyfish")</f>
        <v>Cairo 24 | Jellyfish</v>
      </c>
      <c r="P974" s="12">
        <v>1</v>
      </c>
      <c r="R974">
        <f t="shared" si="69"/>
        <v>44</v>
      </c>
      <c r="S974">
        <f t="shared" si="70"/>
        <v>2</v>
      </c>
    </row>
    <row r="975" spans="1:19" x14ac:dyDescent="0.2">
      <c r="A975" s="9">
        <v>137</v>
      </c>
      <c r="B975" s="9" t="s">
        <v>3065</v>
      </c>
      <c r="C975" s="9" t="s">
        <v>3066</v>
      </c>
      <c r="D975" s="10" t="s">
        <v>3067</v>
      </c>
      <c r="E975" s="12" t="s">
        <v>29</v>
      </c>
      <c r="F975" s="9" t="s">
        <v>30</v>
      </c>
      <c r="G975" s="9"/>
      <c r="H975" s="9"/>
      <c r="I975">
        <f t="shared" si="68"/>
        <v>2022</v>
      </c>
      <c r="J975">
        <f t="shared" si="71"/>
        <v>31</v>
      </c>
      <c r="K975" s="11">
        <v>44770</v>
      </c>
      <c r="L975" s="2" t="s">
        <v>23</v>
      </c>
      <c r="M975" s="9" t="s">
        <v>3068</v>
      </c>
      <c r="N975" s="9" t="s">
        <v>3069</v>
      </c>
      <c r="O975" s="9" t="str">
        <f ca="1">IFERROR(__xludf.DUMMYFUNCTION("googletranslate(D63,""ar"",""en"")"),"Cairo 24 | Sea jellyfish Israel")</f>
        <v>Cairo 24 | Sea jellyfish Israel</v>
      </c>
      <c r="P975" s="9">
        <v>1</v>
      </c>
      <c r="R975">
        <f t="shared" si="69"/>
        <v>44</v>
      </c>
      <c r="S975">
        <f t="shared" si="70"/>
        <v>30</v>
      </c>
    </row>
    <row r="976" spans="1:19" x14ac:dyDescent="0.2">
      <c r="B976" t="s">
        <v>3070</v>
      </c>
      <c r="C976" t="s">
        <v>19</v>
      </c>
      <c r="D976" t="s">
        <v>3071</v>
      </c>
      <c r="E976" s="12" t="s">
        <v>29</v>
      </c>
      <c r="F976" t="s">
        <v>30</v>
      </c>
      <c r="G976">
        <v>32.8371203553017</v>
      </c>
      <c r="H976">
        <v>34.9792189455856</v>
      </c>
      <c r="I976">
        <f t="shared" ref="I976:I997" si="72">YEAR(K976)</f>
        <v>2022</v>
      </c>
      <c r="J976">
        <f t="shared" si="71"/>
        <v>31</v>
      </c>
      <c r="K976" s="2">
        <v>44771</v>
      </c>
      <c r="L976" s="2" t="s">
        <v>23</v>
      </c>
      <c r="M976" t="s">
        <v>3072</v>
      </c>
      <c r="N976" t="s">
        <v>3073</v>
      </c>
      <c r="O976" s="12" t="str">
        <f ca="1">IFERROR(__xludf.DUMMYFUNCTION("googletranslate(D44,""ar"",""en"")"),"A sea invasion expels vacationers from the coast of Israel")</f>
        <v>A sea invasion expels vacationers from the coast of Israel</v>
      </c>
      <c r="P976" s="12">
        <v>1</v>
      </c>
      <c r="R976">
        <f t="shared" si="69"/>
        <v>44</v>
      </c>
      <c r="S976">
        <f t="shared" si="70"/>
        <v>30</v>
      </c>
    </row>
    <row r="977" spans="1:19" x14ac:dyDescent="0.2">
      <c r="A977" s="9">
        <v>482</v>
      </c>
      <c r="B977" s="9" t="s">
        <v>3074</v>
      </c>
      <c r="C977" s="9" t="s">
        <v>3075</v>
      </c>
      <c r="D977" s="10" t="s">
        <v>3076</v>
      </c>
      <c r="E977" s="12" t="s">
        <v>29</v>
      </c>
      <c r="F977" s="9" t="s">
        <v>665</v>
      </c>
      <c r="G977" s="9"/>
      <c r="H977" s="9"/>
      <c r="I977">
        <f t="shared" si="72"/>
        <v>2022</v>
      </c>
      <c r="J977">
        <f t="shared" si="71"/>
        <v>31</v>
      </c>
      <c r="K977" s="11">
        <v>44772</v>
      </c>
      <c r="L977" s="2" t="s">
        <v>23</v>
      </c>
      <c r="M977" s="9" t="s">
        <v>3077</v>
      </c>
      <c r="N977" s="9" t="s">
        <v>3078</v>
      </c>
      <c r="O977" s="9" t="str">
        <f ca="1">IFERROR(__xludf.DUMMYFUNCTION("googletranslate(D112,""ar"",""en"")"),"The jellyfish invades the coasts of Israel - the newspaper")</f>
        <v>The jellyfish invades the coasts of Israel - the newspaper</v>
      </c>
      <c r="P977" s="9">
        <v>1</v>
      </c>
      <c r="R977">
        <f t="shared" si="69"/>
        <v>44</v>
      </c>
      <c r="S977">
        <f t="shared" si="70"/>
        <v>30</v>
      </c>
    </row>
    <row r="978" spans="1:19" x14ac:dyDescent="0.2">
      <c r="A978" s="9">
        <v>269</v>
      </c>
      <c r="B978" s="9" t="s">
        <v>3079</v>
      </c>
      <c r="C978" s="9" t="s">
        <v>3075</v>
      </c>
      <c r="D978" s="10" t="s">
        <v>3080</v>
      </c>
      <c r="E978" s="10"/>
      <c r="F978" s="9"/>
      <c r="G978" s="9"/>
      <c r="H978" s="9"/>
      <c r="I978">
        <f t="shared" si="72"/>
        <v>2022</v>
      </c>
      <c r="J978">
        <f t="shared" si="71"/>
        <v>31</v>
      </c>
      <c r="K978" s="11">
        <v>44772</v>
      </c>
      <c r="L978" s="2" t="s">
        <v>23</v>
      </c>
      <c r="M978" s="9" t="s">
        <v>3081</v>
      </c>
      <c r="N978" s="9" t="s">
        <v>3082</v>
      </c>
      <c r="O978" s="12" t="str">
        <f ca="1">IFERROR(__xludf.DUMMYFUNCTION("googletranslate(D30,""ar"",""en"")"),"Sea jellyfish invades the coast of Israel Today's opinion")</f>
        <v>Sea jellyfish invades the coast of Israel Today's opinion</v>
      </c>
      <c r="P978" s="12">
        <v>1</v>
      </c>
      <c r="R978">
        <f t="shared" si="69"/>
        <v>44</v>
      </c>
      <c r="S978">
        <f t="shared" si="70"/>
        <v>0</v>
      </c>
    </row>
    <row r="979" spans="1:19" x14ac:dyDescent="0.2">
      <c r="A979" t="s">
        <v>3083</v>
      </c>
      <c r="B979" t="s">
        <v>3084</v>
      </c>
      <c r="C979" t="s">
        <v>2469</v>
      </c>
      <c r="D979" t="s">
        <v>3085</v>
      </c>
      <c r="I979">
        <f t="shared" si="72"/>
        <v>2022</v>
      </c>
      <c r="J979">
        <f t="shared" si="71"/>
        <v>32</v>
      </c>
      <c r="K979" s="2">
        <v>44773</v>
      </c>
      <c r="L979" s="2" t="s">
        <v>23</v>
      </c>
      <c r="M979" t="s">
        <v>3086</v>
      </c>
      <c r="N979" t="s">
        <v>3087</v>
      </c>
      <c r="O979" s="9" t="str">
        <f ca="1">IFERROR(__xludf.DUMMYFUNCTION("googletranslate(D128,""ar"",""en"")"),"Israel loses 10 million dollars due to jellyfish")</f>
        <v>Israel loses 10 million dollars due to jellyfish</v>
      </c>
      <c r="P979" s="9">
        <v>1</v>
      </c>
      <c r="R979">
        <f t="shared" si="69"/>
        <v>11</v>
      </c>
      <c r="S979">
        <f t="shared" si="70"/>
        <v>0</v>
      </c>
    </row>
    <row r="980" spans="1:19" x14ac:dyDescent="0.2">
      <c r="A980"/>
      <c r="B980" t="s">
        <v>3088</v>
      </c>
      <c r="C980" t="s">
        <v>3089</v>
      </c>
      <c r="D980" t="s">
        <v>3090</v>
      </c>
      <c r="I980">
        <f t="shared" si="72"/>
        <v>2022</v>
      </c>
      <c r="J980">
        <f t="shared" si="71"/>
        <v>32</v>
      </c>
      <c r="K980" s="2">
        <v>44776</v>
      </c>
      <c r="L980" s="2" t="s">
        <v>23</v>
      </c>
      <c r="M980" t="s">
        <v>3091</v>
      </c>
      <c r="N980" t="s">
        <v>3092</v>
      </c>
      <c r="O980" s="12" t="str">
        <f ca="1">IFERROR(__xludf.DUMMYFUNCTION("googletranslate(D70,""ar"",""en"")"),"Israel loses 10 million dollars due to jellyfish")</f>
        <v>Israel loses 10 million dollars due to jellyfish</v>
      </c>
      <c r="P980" s="12">
        <v>1</v>
      </c>
      <c r="R980">
        <f t="shared" si="69"/>
        <v>11</v>
      </c>
      <c r="S980">
        <f t="shared" si="70"/>
        <v>0</v>
      </c>
    </row>
    <row r="981" spans="1:19" x14ac:dyDescent="0.2">
      <c r="A981" s="9">
        <v>92</v>
      </c>
      <c r="B981" s="9" t="s">
        <v>3093</v>
      </c>
      <c r="C981" s="9" t="s">
        <v>3094</v>
      </c>
      <c r="D981" s="10" t="s">
        <v>3095</v>
      </c>
      <c r="E981" s="12" t="s">
        <v>29</v>
      </c>
      <c r="F981" s="9" t="s">
        <v>30</v>
      </c>
      <c r="G981" s="9"/>
      <c r="H981" s="9"/>
      <c r="I981">
        <f t="shared" si="72"/>
        <v>2022</v>
      </c>
      <c r="J981">
        <f t="shared" si="71"/>
        <v>32</v>
      </c>
      <c r="K981" s="11">
        <v>44776</v>
      </c>
      <c r="L981" s="2" t="s">
        <v>23</v>
      </c>
      <c r="M981" s="9" t="s">
        <v>3096</v>
      </c>
      <c r="N981" s="9" t="s">
        <v>3097</v>
      </c>
      <c r="O981" s="9" t="str">
        <f ca="1">IFERROR(__xludf.DUMMYFUNCTION("googletranslate(D383,""ar"",""en"")"),"Sea jellyfish dyeing Haifa Bay in white .. Stin and preventing them ...")</f>
        <v>Sea jellyfish dyeing Haifa Bay in white .. Stin and preventing them ...</v>
      </c>
      <c r="P981" s="9">
        <v>1</v>
      </c>
      <c r="R981">
        <f t="shared" si="69"/>
        <v>11</v>
      </c>
      <c r="S981">
        <f t="shared" si="70"/>
        <v>5</v>
      </c>
    </row>
    <row r="982" spans="1:19" x14ac:dyDescent="0.2">
      <c r="A982" s="9">
        <v>160</v>
      </c>
      <c r="B982" s="9" t="s">
        <v>3098</v>
      </c>
      <c r="C982" s="9" t="s">
        <v>3099</v>
      </c>
      <c r="D982" s="10" t="s">
        <v>3100</v>
      </c>
      <c r="E982" s="12" t="s">
        <v>29</v>
      </c>
      <c r="F982" s="9" t="s">
        <v>30</v>
      </c>
      <c r="G982" s="9"/>
      <c r="H982" s="9"/>
      <c r="I982">
        <f t="shared" si="72"/>
        <v>2022</v>
      </c>
      <c r="J982">
        <f t="shared" si="71"/>
        <v>32</v>
      </c>
      <c r="K982" s="11">
        <v>44777</v>
      </c>
      <c r="L982" s="2" t="s">
        <v>23</v>
      </c>
      <c r="M982" s="9" t="s">
        <v>3101</v>
      </c>
      <c r="N982" s="9" t="s">
        <v>3102</v>
      </c>
      <c r="O982" s="12" t="str">
        <f ca="1">IFERROR(__xludf.DUMMYFUNCTION("googletranslate(D17,""ar"",""en"")"),"Sea jellyfish invades the coast of Israel Arab day")</f>
        <v>Sea jellyfish invades the coast of Israel Arab day</v>
      </c>
      <c r="P982" s="12">
        <v>1</v>
      </c>
      <c r="R982">
        <f t="shared" si="69"/>
        <v>11</v>
      </c>
      <c r="S982">
        <f t="shared" si="70"/>
        <v>5</v>
      </c>
    </row>
    <row r="983" spans="1:19" x14ac:dyDescent="0.2">
      <c r="A983" s="12">
        <v>343</v>
      </c>
      <c r="B983" s="12" t="s">
        <v>3103</v>
      </c>
      <c r="C983" s="12" t="s">
        <v>3104</v>
      </c>
      <c r="D983" s="13" t="s">
        <v>3105</v>
      </c>
      <c r="E983" s="12" t="s">
        <v>29</v>
      </c>
      <c r="F983" s="12" t="s">
        <v>30</v>
      </c>
      <c r="G983" s="12"/>
      <c r="H983" s="12"/>
      <c r="I983">
        <f t="shared" si="72"/>
        <v>2022</v>
      </c>
      <c r="J983">
        <f t="shared" si="71"/>
        <v>32</v>
      </c>
      <c r="K983" s="14">
        <v>44777</v>
      </c>
      <c r="L983" s="2" t="s">
        <v>23</v>
      </c>
      <c r="M983" s="12" t="s">
        <v>3106</v>
      </c>
      <c r="N983" s="12" t="s">
        <v>3107</v>
      </c>
      <c r="O983" s="9" t="str">
        <f ca="1">IFERROR(__xludf.DUMMYFUNCTION("googletranslate(D68,""ar"",""en"")"),"How do we deal with the sting of the jellyfish - the Palestinian Ministry of Health")</f>
        <v>How do we deal with the sting of the jellyfish - the Palestinian Ministry of Health</v>
      </c>
      <c r="P983" s="9">
        <v>1</v>
      </c>
      <c r="R983">
        <f t="shared" si="69"/>
        <v>11</v>
      </c>
      <c r="S983">
        <f t="shared" si="70"/>
        <v>5</v>
      </c>
    </row>
    <row r="984" spans="1:19" x14ac:dyDescent="0.2">
      <c r="A984" s="9">
        <v>59</v>
      </c>
      <c r="B984" s="9" t="s">
        <v>3108</v>
      </c>
      <c r="C984" s="9" t="s">
        <v>3109</v>
      </c>
      <c r="D984" s="10" t="s">
        <v>3110</v>
      </c>
      <c r="E984" s="12" t="s">
        <v>29</v>
      </c>
      <c r="F984" s="9" t="s">
        <v>30</v>
      </c>
      <c r="G984" s="9"/>
      <c r="H984" s="9"/>
      <c r="I984">
        <f t="shared" si="72"/>
        <v>2022</v>
      </c>
      <c r="J984">
        <f t="shared" si="71"/>
        <v>32</v>
      </c>
      <c r="K984" s="11">
        <v>44777</v>
      </c>
      <c r="L984" s="2" t="s">
        <v>23</v>
      </c>
      <c r="M984" s="9" t="s">
        <v>3111</v>
      </c>
      <c r="N984" s="9" t="s">
        <v>3112</v>
      </c>
      <c r="O984" s="12" t="str">
        <f ca="1">IFERROR(__xludf.DUMMYFUNCTION("googletranslate(D75,""ar"",""en"")"),"The jellyfish invades the beaches of Gaza and dominates the nets of the fishermen")</f>
        <v>The jellyfish invades the beaches of Gaza and dominates the nets of the fishermen</v>
      </c>
      <c r="P984" s="12">
        <v>1</v>
      </c>
      <c r="R984">
        <f t="shared" si="69"/>
        <v>11</v>
      </c>
      <c r="S984">
        <f t="shared" si="70"/>
        <v>5</v>
      </c>
    </row>
    <row r="985" spans="1:19" x14ac:dyDescent="0.2">
      <c r="A985"/>
      <c r="B985" t="s">
        <v>3113</v>
      </c>
      <c r="C985" t="s">
        <v>3114</v>
      </c>
      <c r="D985" t="s">
        <v>3115</v>
      </c>
      <c r="I985">
        <f t="shared" si="72"/>
        <v>2022</v>
      </c>
      <c r="J985">
        <f t="shared" si="71"/>
        <v>32</v>
      </c>
      <c r="K985" s="2">
        <v>44778</v>
      </c>
      <c r="L985" s="2" t="s">
        <v>23</v>
      </c>
      <c r="M985" t="s">
        <v>3116</v>
      </c>
      <c r="N985" t="s">
        <v>3117</v>
      </c>
      <c r="O985" s="9" t="str">
        <f ca="1">IFERROR(__xludf.DUMMYFUNCTION("googletranslate(D110,""ar"",""en"")"),"The reasons for the appearance of the jellyfish in the coast and ways to deal with a sting ...")</f>
        <v>The reasons for the appearance of the jellyfish in the coast and ways to deal with a sting ...</v>
      </c>
      <c r="P985" s="9">
        <v>1</v>
      </c>
      <c r="R985">
        <f t="shared" si="69"/>
        <v>11</v>
      </c>
      <c r="S985">
        <f t="shared" si="70"/>
        <v>0</v>
      </c>
    </row>
    <row r="986" spans="1:19" x14ac:dyDescent="0.2">
      <c r="A986" s="9">
        <v>267</v>
      </c>
      <c r="B986" s="9" t="s">
        <v>3118</v>
      </c>
      <c r="C986" s="9" t="s">
        <v>321</v>
      </c>
      <c r="D986" s="10" t="s">
        <v>3119</v>
      </c>
      <c r="E986" s="4" t="s">
        <v>21</v>
      </c>
      <c r="F986" s="9" t="s">
        <v>64</v>
      </c>
      <c r="G986" s="9"/>
      <c r="H986" s="9"/>
      <c r="I986">
        <f t="shared" si="72"/>
        <v>2022</v>
      </c>
      <c r="J986">
        <f t="shared" si="71"/>
        <v>32</v>
      </c>
      <c r="K986" s="11">
        <v>44778</v>
      </c>
      <c r="L986" s="2" t="s">
        <v>23</v>
      </c>
      <c r="M986" s="9" t="s">
        <v>3120</v>
      </c>
      <c r="N986" s="9" t="s">
        <v>3121</v>
      </c>
      <c r="O986" s="12" t="str">
        <f ca="1">IFERROR(__xludf.DUMMYFUNCTION("googletranslate(D138,""ar"",""en"")"),"The pink jellyfish overwhelms the jungle of Jaffa, Haifa and Ashkalan Zamn ...")</f>
        <v>The pink jellyfish overwhelms the jungle of Jaffa, Haifa and Ashkalan Zamn ...</v>
      </c>
      <c r="P986">
        <v>1</v>
      </c>
      <c r="R986">
        <f t="shared" si="69"/>
        <v>11</v>
      </c>
      <c r="S986">
        <f t="shared" si="70"/>
        <v>1</v>
      </c>
    </row>
    <row r="987" spans="1:19" x14ac:dyDescent="0.2">
      <c r="A987" s="9"/>
      <c r="B987" s="9"/>
      <c r="C987" s="9" t="s">
        <v>135</v>
      </c>
      <c r="D987" s="10" t="s">
        <v>3119</v>
      </c>
      <c r="E987" s="9" t="s">
        <v>100</v>
      </c>
      <c r="G987" s="9"/>
      <c r="H987" s="9"/>
      <c r="I987">
        <f t="shared" si="72"/>
        <v>2022</v>
      </c>
      <c r="J987">
        <f t="shared" si="71"/>
        <v>32</v>
      </c>
      <c r="K987" s="11">
        <v>44778</v>
      </c>
      <c r="L987" s="2" t="s">
        <v>23</v>
      </c>
      <c r="M987" s="9"/>
      <c r="N987" s="9"/>
      <c r="O987" s="9" t="str">
        <f ca="1">IFERROR(__xludf.DUMMYFUNCTION("googletranslate(D140,""ar"",""en"")"),"White Ghazi ""... huge swarms from jellyfish reach the beaches ...")</f>
        <v>White Ghazi "... huge swarms from jellyfish reach the beaches ...</v>
      </c>
      <c r="P987" s="9">
        <v>1</v>
      </c>
      <c r="R987">
        <f t="shared" si="69"/>
        <v>11</v>
      </c>
      <c r="S987">
        <f t="shared" si="70"/>
        <v>1</v>
      </c>
    </row>
    <row r="988" spans="1:19" x14ac:dyDescent="0.2">
      <c r="A988" s="9"/>
      <c r="B988" s="9"/>
      <c r="C988" s="9" t="s">
        <v>135</v>
      </c>
      <c r="D988" s="10" t="s">
        <v>3119</v>
      </c>
      <c r="E988" s="10" t="s">
        <v>47</v>
      </c>
      <c r="F988" s="9" t="s">
        <v>3122</v>
      </c>
      <c r="G988" s="9"/>
      <c r="H988" s="9"/>
      <c r="I988">
        <f t="shared" si="72"/>
        <v>2022</v>
      </c>
      <c r="J988">
        <f t="shared" si="71"/>
        <v>32</v>
      </c>
      <c r="K988" s="11">
        <v>44778</v>
      </c>
      <c r="L988" s="2" t="s">
        <v>23</v>
      </c>
      <c r="M988" s="9"/>
      <c r="N988" s="9"/>
      <c r="O988" s="9" t="str">
        <f ca="1">IFERROR(__xludf.DUMMYFUNCTION("googletranslate(D140,""ar"",""en"")"),"White Ghazi ""... huge swarms from jellyfish reach the beaches ...")</f>
        <v>White Ghazi "... huge swarms from jellyfish reach the beaches ...</v>
      </c>
      <c r="P988" s="9">
        <v>1</v>
      </c>
      <c r="R988">
        <f t="shared" si="69"/>
        <v>11</v>
      </c>
      <c r="S988">
        <f t="shared" si="70"/>
        <v>1</v>
      </c>
    </row>
    <row r="989" spans="1:19" x14ac:dyDescent="0.2">
      <c r="A989" s="9">
        <v>197</v>
      </c>
      <c r="B989" s="9" t="s">
        <v>3123</v>
      </c>
      <c r="C989" s="9" t="s">
        <v>3124</v>
      </c>
      <c r="D989" s="10" t="s">
        <v>3125</v>
      </c>
      <c r="E989" s="12" t="s">
        <v>29</v>
      </c>
      <c r="F989" s="9" t="s">
        <v>30</v>
      </c>
      <c r="G989" s="9"/>
      <c r="H989" s="9"/>
      <c r="I989">
        <f t="shared" si="72"/>
        <v>2022</v>
      </c>
      <c r="J989">
        <f t="shared" si="71"/>
        <v>32</v>
      </c>
      <c r="K989" s="11">
        <v>44778</v>
      </c>
      <c r="L989" s="2" t="s">
        <v>23</v>
      </c>
      <c r="M989" s="9" t="s">
        <v>3126</v>
      </c>
      <c r="N989" s="9" t="s">
        <v>3127</v>
      </c>
      <c r="O989" s="12" t="str">
        <f ca="1">IFERROR(__xludf.DUMMYFUNCTION("googletranslate(D163,""ar"",""en"")"),"In pictures, the jellyfish attacks an electricity generation station in Israel ...")</f>
        <v>In pictures, the jellyfish attacks an electricity generation station in Israel ...</v>
      </c>
      <c r="P989" s="12">
        <v>1</v>
      </c>
      <c r="R989">
        <f t="shared" si="69"/>
        <v>11</v>
      </c>
      <c r="S989">
        <f t="shared" si="70"/>
        <v>5</v>
      </c>
    </row>
    <row r="990" spans="1:19" x14ac:dyDescent="0.2">
      <c r="A990" s="12">
        <v>201</v>
      </c>
      <c r="B990" s="12" t="s">
        <v>3128</v>
      </c>
      <c r="C990" s="12" t="s">
        <v>321</v>
      </c>
      <c r="D990" s="13" t="s">
        <v>3129</v>
      </c>
      <c r="E990" s="13"/>
      <c r="F990" s="12"/>
      <c r="G990" s="12"/>
      <c r="H990" s="12"/>
      <c r="I990">
        <f t="shared" si="72"/>
        <v>2022</v>
      </c>
      <c r="J990">
        <f t="shared" si="71"/>
        <v>33</v>
      </c>
      <c r="K990" s="14">
        <v>44781</v>
      </c>
      <c r="L990" s="2" t="s">
        <v>23</v>
      </c>
      <c r="M990" s="12" t="s">
        <v>3130</v>
      </c>
      <c r="N990" s="12" t="s">
        <v>3131</v>
      </c>
      <c r="O990" s="9" t="str">
        <f ca="1">IFERROR(__xludf.DUMMYFUNCTION("googletranslate(D268,""ar"",""en"")"),"Beirut International Voice The jellyfish invades the Lebanese beaches")</f>
        <v>Beirut International Voice The jellyfish invades the Lebanese beaches</v>
      </c>
      <c r="P990" s="9">
        <v>1</v>
      </c>
      <c r="R990">
        <f t="shared" si="69"/>
        <v>3</v>
      </c>
      <c r="S990">
        <f t="shared" si="70"/>
        <v>0</v>
      </c>
    </row>
    <row r="991" spans="1:19" x14ac:dyDescent="0.2">
      <c r="A991" s="12">
        <v>306</v>
      </c>
      <c r="B991" s="12" t="s">
        <v>3132</v>
      </c>
      <c r="C991" s="12" t="s">
        <v>2599</v>
      </c>
      <c r="D991" s="13" t="s">
        <v>3133</v>
      </c>
      <c r="E991" s="13"/>
      <c r="F991" s="12"/>
      <c r="G991" s="12"/>
      <c r="H991" s="12"/>
      <c r="I991">
        <f t="shared" si="72"/>
        <v>2022</v>
      </c>
      <c r="J991">
        <f t="shared" si="71"/>
        <v>33</v>
      </c>
      <c r="K991" s="14">
        <v>44781</v>
      </c>
      <c r="L991" s="2" t="s">
        <v>23</v>
      </c>
      <c r="M991" s="12" t="s">
        <v>3134</v>
      </c>
      <c r="N991" s="12" t="s">
        <v>3135</v>
      </c>
      <c r="O991" s="12" t="str">
        <f ca="1">IFERROR(__xludf.DUMMYFUNCTION("googletranslate(D229,""ar"",""en"")"),"Sea jellyfish invades the coast of Israel Gulf newspaper")</f>
        <v>Sea jellyfish invades the coast of Israel Gulf newspaper</v>
      </c>
      <c r="P991" s="12">
        <v>1</v>
      </c>
      <c r="R991">
        <f t="shared" si="69"/>
        <v>3</v>
      </c>
      <c r="S991">
        <f t="shared" si="70"/>
        <v>0</v>
      </c>
    </row>
    <row r="992" spans="1:19" x14ac:dyDescent="0.2">
      <c r="A992" s="9">
        <v>102</v>
      </c>
      <c r="B992" s="9" t="s">
        <v>3136</v>
      </c>
      <c r="C992" s="9" t="s">
        <v>3137</v>
      </c>
      <c r="D992" s="10" t="s">
        <v>3138</v>
      </c>
      <c r="E992" s="10"/>
      <c r="F992" s="9"/>
      <c r="G992" s="9"/>
      <c r="H992" s="9"/>
      <c r="I992">
        <f t="shared" si="72"/>
        <v>2022</v>
      </c>
      <c r="J992">
        <f t="shared" si="71"/>
        <v>33</v>
      </c>
      <c r="K992" s="11">
        <v>44781</v>
      </c>
      <c r="L992" s="2" t="s">
        <v>23</v>
      </c>
      <c r="M992" s="9" t="s">
        <v>3139</v>
      </c>
      <c r="N992" s="9" t="s">
        <v>3140</v>
      </c>
      <c r="O992" s="9" t="str">
        <f ca="1">IFERROR(__xludf.DUMMYFUNCTION("googletranslate(D269,""ar"",""en"")"),"Sea jellyfish surrounds the coast of Israel due to high temperatures photo")</f>
        <v>Sea jellyfish surrounds the coast of Israel due to high temperatures photo</v>
      </c>
      <c r="P992" s="9">
        <v>1</v>
      </c>
      <c r="R992">
        <f t="shared" si="69"/>
        <v>3</v>
      </c>
      <c r="S992">
        <f t="shared" si="70"/>
        <v>0</v>
      </c>
    </row>
    <row r="993" spans="1:19" x14ac:dyDescent="0.2">
      <c r="A993" t="s">
        <v>3141</v>
      </c>
      <c r="B993" t="s">
        <v>3142</v>
      </c>
      <c r="C993" t="s">
        <v>458</v>
      </c>
      <c r="D993" t="s">
        <v>3143</v>
      </c>
      <c r="I993">
        <f t="shared" si="72"/>
        <v>2022</v>
      </c>
      <c r="J993">
        <f t="shared" si="71"/>
        <v>40</v>
      </c>
      <c r="K993" s="2">
        <v>44831</v>
      </c>
      <c r="L993" s="2" t="s">
        <v>23</v>
      </c>
      <c r="M993" t="s">
        <v>3144</v>
      </c>
      <c r="N993" t="s">
        <v>3145</v>
      </c>
      <c r="O993" s="12" t="str">
        <f ca="1">IFERROR(__xludf.DUMMYFUNCTION("googletranslate(D385,""ar"",""en"")"),"What is the truth behind the large numbers of jellyfish in the beaches ...")</f>
        <v>What is the truth behind the large numbers of jellyfish in the beaches ...</v>
      </c>
      <c r="P993" s="12">
        <v>1</v>
      </c>
      <c r="R993">
        <f t="shared" si="69"/>
        <v>1</v>
      </c>
      <c r="S993">
        <f t="shared" si="70"/>
        <v>0</v>
      </c>
    </row>
    <row r="994" spans="1:19" x14ac:dyDescent="0.2">
      <c r="A994" s="1">
        <v>886</v>
      </c>
      <c r="B994" t="s">
        <v>3146</v>
      </c>
      <c r="C994" t="s">
        <v>1261</v>
      </c>
      <c r="D994" t="s">
        <v>3147</v>
      </c>
      <c r="E994" s="4" t="s">
        <v>21</v>
      </c>
      <c r="F994" t="s">
        <v>64</v>
      </c>
      <c r="G994">
        <v>31.8169667122236</v>
      </c>
      <c r="H994">
        <v>34.639611775767101</v>
      </c>
      <c r="I994">
        <f t="shared" si="72"/>
        <v>2022</v>
      </c>
      <c r="J994">
        <f t="shared" si="71"/>
        <v>41</v>
      </c>
      <c r="K994" s="2">
        <v>44841</v>
      </c>
      <c r="L994" s="2" t="s">
        <v>23</v>
      </c>
      <c r="M994" t="s">
        <v>3148</v>
      </c>
      <c r="N994" t="s">
        <v>3149</v>
      </c>
      <c r="O994" s="9" t="str">
        <f ca="1">IFERROR(__xludf.DUMMYFUNCTION("googletranslate(D397,""ar"",""en"")"),"Sea jellyfish disrupts an Israeli power station Palestine now")</f>
        <v>Sea jellyfish disrupts an Israeli power station Palestine now</v>
      </c>
      <c r="P994" s="9">
        <v>1</v>
      </c>
      <c r="R994">
        <f t="shared" si="69"/>
        <v>1</v>
      </c>
      <c r="S994">
        <f t="shared" si="70"/>
        <v>1</v>
      </c>
    </row>
    <row r="995" spans="1:19" x14ac:dyDescent="0.2">
      <c r="A995" s="9">
        <v>383</v>
      </c>
      <c r="B995" s="9" t="s">
        <v>3150</v>
      </c>
      <c r="C995" s="9" t="s">
        <v>1230</v>
      </c>
      <c r="D995" s="9" t="s">
        <v>3151</v>
      </c>
      <c r="E995" s="12" t="s">
        <v>29</v>
      </c>
      <c r="F995" s="9" t="s">
        <v>30</v>
      </c>
      <c r="I995">
        <f t="shared" si="72"/>
        <v>2023</v>
      </c>
      <c r="J995">
        <f t="shared" si="71"/>
        <v>3</v>
      </c>
      <c r="K995" s="16">
        <v>44942</v>
      </c>
      <c r="L995" s="2" t="s">
        <v>23</v>
      </c>
      <c r="M995" s="10" t="s">
        <v>3152</v>
      </c>
      <c r="N995" s="9" t="s">
        <v>3153</v>
      </c>
      <c r="O995" s="12" t="str">
        <f ca="1">IFERROR(__xludf.DUMMYFUNCTION("googletranslate(D317,""ar"",""en"")"),"As Eid Al -Fitr approaches: huge numbers of jellyfish on their way to the coast of Israel")</f>
        <v>As Eid Al -Fitr approaches: huge numbers of jellyfish on their way to the coast of Israel</v>
      </c>
      <c r="P995" s="12">
        <v>1</v>
      </c>
      <c r="R995">
        <f t="shared" si="69"/>
        <v>1</v>
      </c>
      <c r="S995">
        <f t="shared" si="70"/>
        <v>1</v>
      </c>
    </row>
    <row r="996" spans="1:19" x14ac:dyDescent="0.2">
      <c r="A996" s="12">
        <v>580</v>
      </c>
      <c r="B996" s="12" t="s">
        <v>3154</v>
      </c>
      <c r="C996" s="12" t="s">
        <v>757</v>
      </c>
      <c r="D996" s="13" t="s">
        <v>3155</v>
      </c>
      <c r="E996" s="13"/>
      <c r="F996" s="12"/>
      <c r="G996" s="12"/>
      <c r="H996" s="12"/>
      <c r="I996">
        <f t="shared" si="72"/>
        <v>2023</v>
      </c>
      <c r="J996">
        <f t="shared" si="71"/>
        <v>4</v>
      </c>
      <c r="K996" s="14">
        <v>44949</v>
      </c>
      <c r="L996" s="2" t="s">
        <v>23</v>
      </c>
      <c r="M996" s="12" t="s">
        <v>3156</v>
      </c>
      <c r="N996" s="12" t="s">
        <v>3157</v>
      </c>
      <c r="O996" s="9" t="str">
        <f ca="1">IFERROR(__xludf.DUMMYFUNCTION("googletranslate(D326,""ar"",""en"")"),"Huge numbers of jellyfish on their way to the coast of Israel")</f>
        <v>Huge numbers of jellyfish on their way to the coast of Israel</v>
      </c>
      <c r="P996" s="9">
        <v>1</v>
      </c>
      <c r="R996">
        <f t="shared" si="69"/>
        <v>1</v>
      </c>
      <c r="S996">
        <f t="shared" si="70"/>
        <v>0</v>
      </c>
    </row>
    <row r="997" spans="1:19" x14ac:dyDescent="0.2">
      <c r="A997" s="9"/>
      <c r="B997" s="9"/>
      <c r="C997" s="9" t="s">
        <v>3158</v>
      </c>
      <c r="D997" s="10" t="s">
        <v>3159</v>
      </c>
      <c r="E997" s="10" t="s">
        <v>47</v>
      </c>
      <c r="F997" s="9" t="s">
        <v>48</v>
      </c>
      <c r="G997" s="9"/>
      <c r="H997" s="9"/>
      <c r="I997">
        <f t="shared" si="72"/>
        <v>2026</v>
      </c>
      <c r="J997">
        <f t="shared" si="71"/>
        <v>26</v>
      </c>
      <c r="K997" s="11">
        <v>46195</v>
      </c>
      <c r="L997" s="2" t="s">
        <v>23</v>
      </c>
      <c r="M997" s="9"/>
      <c r="N997" s="9"/>
      <c r="O997" s="12" t="str">
        <f ca="1">IFERROR(__xludf.DUMMYFUNCTION("googletranslate(D375,""ar"",""en"")"),"Watch: The jellyfish sweeps the shores of Israel - Shamous News Gate")</f>
        <v>Watch: The jellyfish sweeps the shores of Israel - Shamous News Gate</v>
      </c>
      <c r="P997" s="12">
        <v>1</v>
      </c>
      <c r="R997">
        <f t="shared" si="69"/>
        <v>1</v>
      </c>
      <c r="S997">
        <f t="shared" si="70"/>
        <v>1</v>
      </c>
    </row>
    <row r="998" spans="1:19" x14ac:dyDescent="0.2">
      <c r="E998" s="4"/>
    </row>
  </sheetData>
  <autoFilter ref="A1:BC997" xr:uid="{3762F04E-AE3A-8247-93C2-3CE4B961449C}"/>
  <conditionalFormatting sqref="D618:E618 D577:E577 D610:D617 D585:E585 D590:E593 D600:E600 D604:E604 D607:E609 D605:D606 D637:E637 D636 D638:D643 D633:E635 D587:E587 D586 D601:D603 D575:D576 D579:E582 D578 D583:D584 D588:D589 D595:E595 D594 D596:D599 D619:D632">
    <cfRule type="duplicateValues" dxfId="34" priority="31"/>
  </conditionalFormatting>
  <conditionalFormatting sqref="D677:E677 D756:E759 D751:D755 D760:D764 D765:E766 D767:D774 D775:E775 D816:D819 D820:E823 D846:E847 D862:D866 D689:E692 D688 D705:E705 D701:D704 D709:E718 D726:E726 D725 D734:D735 D748:E750 D746:D747 D781:E784 D788:E791 D793:E795 D792 D797:E797 D796 D799:E802 D798 D807:E807 D803:D806 D815:E815 D812:D814 D824:D826 D840:D845 D852:E855 D850:D851 D857:E857 D856 D925:D928 D859:E861 D858 D811:E811 D810 D779:D780 D695:E695 D679:E684 D678 D693:D694 D697:E698 D696 D700:E700 D699 D720:E724 D719 D727:D729 D809:E809 D808 D849:E849 D848 D687:E687 D685:D686 D706:D708 D744:E745 D743 D777:E778 D776 D785:D787 D836:E839 D834:D835 D920:D921 D730:E733 D736:E742 D827:E833 D867:E919 D922:E924 E926:E929">
    <cfRule type="duplicateValues" dxfId="33" priority="35"/>
  </conditionalFormatting>
  <conditionalFormatting sqref="D930:E931 D988:E988 D986:D987 D996:E997 D969:E969 D929 D944:E949 D932:D943 D953:E953 D950:D952 D959:E961 D954:D958 D962:D968 D974:E974 D970:D973 D978:E980 D975:D977 D985:E985 D981:D984 D990:E993 D989 D994:D995">
    <cfRule type="duplicateValues" dxfId="32" priority="29"/>
  </conditionalFormatting>
  <conditionalFormatting sqref="E616">
    <cfRule type="duplicateValues" dxfId="31" priority="28"/>
  </conditionalFormatting>
  <conditionalFormatting sqref="E667">
    <cfRule type="duplicateValues" dxfId="30" priority="26"/>
  </conditionalFormatting>
  <conditionalFormatting sqref="E669">
    <cfRule type="duplicateValues" dxfId="29" priority="27"/>
  </conditionalFormatting>
  <conditionalFormatting sqref="E752">
    <cfRule type="duplicateValues" dxfId="28" priority="24"/>
  </conditionalFormatting>
  <conditionalFormatting sqref="E754">
    <cfRule type="duplicateValues" dxfId="27" priority="25"/>
  </conditionalFormatting>
  <conditionalFormatting sqref="E761">
    <cfRule type="duplicateValues" dxfId="26" priority="22"/>
  </conditionalFormatting>
  <conditionalFormatting sqref="E763">
    <cfRule type="duplicateValues" dxfId="25" priority="23"/>
  </conditionalFormatting>
  <conditionalFormatting sqref="E768">
    <cfRule type="duplicateValues" dxfId="24" priority="20"/>
  </conditionalFormatting>
  <conditionalFormatting sqref="E770">
    <cfRule type="duplicateValues" dxfId="23" priority="21"/>
  </conditionalFormatting>
  <conditionalFormatting sqref="E772">
    <cfRule type="duplicateValues" dxfId="22" priority="19"/>
  </conditionalFormatting>
  <conditionalFormatting sqref="E773">
    <cfRule type="duplicateValues" dxfId="21" priority="18"/>
  </conditionalFormatting>
  <conditionalFormatting sqref="E803">
    <cfRule type="duplicateValues" dxfId="20" priority="17"/>
  </conditionalFormatting>
  <conditionalFormatting sqref="E816">
    <cfRule type="duplicateValues" dxfId="19" priority="16"/>
  </conditionalFormatting>
  <conditionalFormatting sqref="E817">
    <cfRule type="duplicateValues" dxfId="18" priority="15"/>
  </conditionalFormatting>
  <conditionalFormatting sqref="E841">
    <cfRule type="duplicateValues" dxfId="17" priority="14"/>
  </conditionalFormatting>
  <conditionalFormatting sqref="E844">
    <cfRule type="duplicateValues" dxfId="16" priority="13"/>
  </conditionalFormatting>
  <conditionalFormatting sqref="E863">
    <cfRule type="duplicateValues" dxfId="15" priority="12"/>
  </conditionalFormatting>
  <conditionalFormatting sqref="E866">
    <cfRule type="duplicateValues" dxfId="14" priority="11"/>
  </conditionalFormatting>
  <conditionalFormatting sqref="E932:E943">
    <cfRule type="duplicateValues" dxfId="13" priority="10"/>
  </conditionalFormatting>
  <conditionalFormatting sqref="E950:E952">
    <cfRule type="duplicateValues" dxfId="12" priority="9"/>
  </conditionalFormatting>
  <conditionalFormatting sqref="E954:E958">
    <cfRule type="duplicateValues" dxfId="11" priority="8"/>
  </conditionalFormatting>
  <conditionalFormatting sqref="E962:E967">
    <cfRule type="duplicateValues" dxfId="10" priority="7"/>
  </conditionalFormatting>
  <conditionalFormatting sqref="E970:E973">
    <cfRule type="duplicateValues" dxfId="9" priority="6"/>
  </conditionalFormatting>
  <conditionalFormatting sqref="E975:E976">
    <cfRule type="duplicateValues" dxfId="8" priority="5"/>
  </conditionalFormatting>
  <conditionalFormatting sqref="E977">
    <cfRule type="duplicateValues" dxfId="7" priority="4"/>
  </conditionalFormatting>
  <conditionalFormatting sqref="E981:E984">
    <cfRule type="duplicateValues" dxfId="6" priority="3"/>
  </conditionalFormatting>
  <conditionalFormatting sqref="E989">
    <cfRule type="duplicateValues" dxfId="5" priority="2"/>
  </conditionalFormatting>
  <conditionalFormatting sqref="E995">
    <cfRule type="duplicateValues" dxfId="4" priority="1"/>
  </conditionalFormatting>
  <conditionalFormatting sqref="K620:L633 D633:F633 D620:D632 F620:F632">
    <cfRule type="duplicateValues" dxfId="3" priority="34"/>
  </conditionalFormatting>
  <conditionalFormatting sqref="M575:M676">
    <cfRule type="duplicateValues" dxfId="2" priority="33" stopIfTrue="1"/>
  </conditionalFormatting>
  <conditionalFormatting sqref="M652:M676">
    <cfRule type="duplicateValues" dxfId="1" priority="30" stopIfTrue="1"/>
  </conditionalFormatting>
  <conditionalFormatting sqref="N575:N676">
    <cfRule type="duplicateValues" dxfId="0" priority="32" stopIfTrue="1"/>
  </conditionalFormatting>
  <hyperlinks>
    <hyperlink ref="M548" r:id="rId1" xr:uid="{6F584A2F-514B-2040-9B08-6E13185B6B7C}"/>
    <hyperlink ref="M353" r:id="rId2" xr:uid="{4898D61C-238C-7E47-9AF3-830FDFDA509A}"/>
    <hyperlink ref="M351" r:id="rId3" xr:uid="{EDD0F46A-B762-D441-9EAD-E699BF9535E1}"/>
    <hyperlink ref="D619" r:id="rId4" xr:uid="{B5F13E0E-87F2-9740-A178-9CD8A38BA782}"/>
    <hyperlink ref="M6" r:id="rId5" xr:uid="{0FB45286-154E-3642-9E1A-076DA6CDB500}"/>
    <hyperlink ref="D710" r:id="rId6" xr:uid="{0C982E71-ED7C-9643-924D-349F9D2D90CD}"/>
    <hyperlink ref="D198" r:id="rId7" xr:uid="{41146797-73F0-A448-847F-6BB81B088C3F}"/>
    <hyperlink ref="D740" r:id="rId8" xr:uid="{E35B91E1-1396-984D-9DB4-7113075FC91F}"/>
    <hyperlink ref="D741" r:id="rId9" xr:uid="{6125485A-3644-4B4A-AF21-153CF8768609}"/>
    <hyperlink ref="D742" r:id="rId10" xr:uid="{9A1E19AF-C6DF-F04E-A25B-40793215DC98}"/>
    <hyperlink ref="M508" r:id="rId11" xr:uid="{DD7B982C-4D5D-EA47-897E-C17CB49E4E69}"/>
    <hyperlink ref="M462" r:id="rId12" xr:uid="{53D691D9-1ED9-8C4E-AB50-024882025693}"/>
    <hyperlink ref="M187" r:id="rId13" xr:uid="{EA763931-A4D5-9B49-BDF9-2CF688A99325}"/>
    <hyperlink ref="M771" r:id="rId14" xr:uid="{D3A509CF-5807-A241-9730-FC0A666BA22D}"/>
    <hyperlink ref="D174" r:id="rId15" xr:uid="{4D22FCCE-AB71-8341-BEE1-AAB4A2E7ECC5}"/>
    <hyperlink ref="M995" r:id="rId16" xr:uid="{8825321F-5811-0D40-AF30-6F953E04C13F}"/>
    <hyperlink ref="M924" r:id="rId17" xr:uid="{F7BEE2E2-0863-7A47-9CB5-C899AA0DDE98}"/>
    <hyperlink ref="M684" r:id="rId18" xr:uid="{B340EBBD-5F56-0A42-9957-542A1C47EA2F}"/>
    <hyperlink ref="M838" r:id="rId19" xr:uid="{AF016765-87F9-7B4F-8954-EC9291AEA964}"/>
    <hyperlink ref="M783" r:id="rId20" xr:uid="{708B8B52-1B72-5F4E-AACA-2DAE36A74C81}"/>
    <hyperlink ref="M329" r:id="rId21" xr:uid="{C4EB60D2-BF97-E24C-87C0-CD5ABD33CA12}"/>
    <hyperlink ref="M338" r:id="rId22" xr:uid="{05B41EFF-A9F5-0A49-9A46-E0426A973584}"/>
    <hyperlink ref="M428" r:id="rId23" xr:uid="{933D9ECB-6A51-A140-A815-3F03A4F879AA}"/>
    <hyperlink ref="M162" r:id="rId24" xr:uid="{97614087-9F5A-024B-B65C-66E0677F9D27}"/>
    <hyperlink ref="M427" r:id="rId25" xr:uid="{7AC16B2C-0AE6-984C-BC18-D51663812B09}"/>
    <hyperlink ref="M328" r:id="rId26" xr:uid="{33B8FE72-5150-E941-9BB4-2B71322DFCD9}"/>
    <hyperlink ref="M205" r:id="rId27" xr:uid="{5EB7F3D8-DC2F-524A-A82D-02123603756A}"/>
    <hyperlink ref="M342" r:id="rId28" xr:uid="{85D7C767-4A83-2647-A12F-EE9A0D7219B9}"/>
    <hyperlink ref="M681" r:id="rId29" xr:uid="{651DE8D6-0737-C84E-9A7D-A0BEBEBA6B4F}"/>
    <hyperlink ref="M724" r:id="rId30" xr:uid="{6593BECC-DBB4-0D48-AEC2-38B9A0A4DCDB}"/>
    <hyperlink ref="M767" r:id="rId31" xr:uid="{0BFBE592-9D64-DD42-8A9C-954E95AC6F52}"/>
    <hyperlink ref="M768" r:id="rId32" xr:uid="{D9E025AD-C37B-D248-B08B-38E65C572C21}"/>
    <hyperlink ref="M769" r:id="rId33" xr:uid="{8B568DA1-230E-5946-B592-83D5096E5FF6}"/>
    <hyperlink ref="M770" r:id="rId34" xr:uid="{FEF6C718-3E34-424C-9A36-6EDDF064BB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googleimages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Levy</dc:creator>
  <cp:lastModifiedBy>Tal Levy</cp:lastModifiedBy>
  <dcterms:created xsi:type="dcterms:W3CDTF">2023-12-09T14:06:32Z</dcterms:created>
  <dcterms:modified xsi:type="dcterms:W3CDTF">2023-12-09T14:07:23Z</dcterms:modified>
</cp:coreProperties>
</file>